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15600" windowHeight="8190" tabRatio="947" activeTab="9"/>
  </bookViews>
  <sheets>
    <sheet name="CIRCLE INPUT" sheetId="1" r:id="rId1"/>
    <sheet name="FORMAT A" sheetId="2" r:id="rId2"/>
    <sheet name="33KV FEEDER INPUT" sheetId="3" r:id="rId3"/>
    <sheet name="IMP-EXP" sheetId="4" r:id="rId4"/>
    <sheet name="RAO HT" sheetId="5" r:id="rId5"/>
    <sheet name="33 KV HT" sheetId="6" r:id="rId6"/>
    <sheet name="11 KV HT" sheetId="7" r:id="rId7"/>
    <sheet name="MIS" sheetId="8" r:id="rId8"/>
    <sheet name="SS LOSS" sheetId="9" r:id="rId9"/>
    <sheet name="SS INPUT" sheetId="10" r:id="rId10"/>
    <sheet name="Sheet3" sheetId="11" r:id="rId11"/>
    <sheet name="T&amp;D" sheetId="12" r:id="rId12"/>
    <sheet name="MDM" sheetId="13" r:id="rId13"/>
    <sheet name="Sheet27" sheetId="14" r:id="rId14"/>
    <sheet name="FORMAT C" sheetId="15" r:id="rId15"/>
    <sheet name="INDUSTRIAL FEEDER INPUT" sheetId="16" r:id="rId16"/>
    <sheet name="33 KV FEEDER LOSS" sheetId="17" r:id="rId17"/>
    <sheet name="Sheet1" sheetId="18" r:id="rId18"/>
    <sheet name="Sheet4" sheetId="19" r:id="rId19"/>
    <sheet name="Sheet2" sheetId="20" r:id="rId20"/>
    <sheet name="Sheet6" sheetId="21" r:id="rId21"/>
    <sheet name="c office" sheetId="22" r:id="rId22"/>
    <sheet name="Sheet11" sheetId="23" r:id="rId23"/>
    <sheet name="Sheet12" sheetId="24" r:id="rId24"/>
    <sheet name="Sheet14" sheetId="25" r:id="rId25"/>
    <sheet name="Sheet5" sheetId="26" r:id="rId26"/>
    <sheet name="Sheet7" sheetId="27" r:id="rId27"/>
    <sheet name="Sheet8" sheetId="28" r:id="rId28"/>
    <sheet name="Sheet9" sheetId="29" r:id="rId29"/>
    <sheet name="Sheet10" sheetId="30" r:id="rId30"/>
    <sheet name="Sheet13" sheetId="31" r:id="rId31"/>
    <sheet name="Sheet15" sheetId="32" r:id="rId32"/>
    <sheet name="Sheet16" sheetId="33" r:id="rId33"/>
    <sheet name="Sheet17" sheetId="34" r:id="rId34"/>
    <sheet name="Sheet18" sheetId="35" r:id="rId35"/>
    <sheet name="Sheet19" sheetId="36" r:id="rId36"/>
    <sheet name="Sheet20" sheetId="37" r:id="rId37"/>
    <sheet name="Sheet21" sheetId="38" r:id="rId38"/>
    <sheet name="Sheet22" sheetId="39" r:id="rId39"/>
    <sheet name="Sheet23" sheetId="40" r:id="rId40"/>
    <sheet name="Sheet24" sheetId="41" r:id="rId41"/>
    <sheet name="Sheet25" sheetId="42" r:id="rId42"/>
  </sheets>
  <definedNames>
    <definedName name="_11KV_BARAGHATA__RURAL">'SS INPUT'!$B$153</definedName>
    <definedName name="_xlnm._FilterDatabase" localSheetId="5">'33 KV HT'!$B$3:$R$141</definedName>
    <definedName name="_xlnm._FilterDatabase" localSheetId="21" hidden="1">'c office'!$A$4:$N$237</definedName>
    <definedName name="_xlnm._FilterDatabase" localSheetId="12" hidden="1">MDM!$I$7:$M$466</definedName>
    <definedName name="_xlnm._FilterDatabase" localSheetId="4" hidden="1">'RAO HT'!$A$2:$FO$271</definedName>
    <definedName name="_xlnm._FilterDatabase" localSheetId="10" hidden="1">Sheet3!$A$2:$AK$174</definedName>
    <definedName name="_xlnm._FilterDatabase" localSheetId="9">'SS INPUT'!#REF!</definedName>
    <definedName name="_xlnm._FilterDatabase" localSheetId="8">'SS LOSS'!$A$6:$M$74</definedName>
    <definedName name="_xlnm._FilterDatabase" localSheetId="11" hidden="1">'T&amp;D'!$260:$313</definedName>
    <definedName name="_xlnm.Print_Area" localSheetId="16">'33 KV FEEDER LOSS'!$C$7:$S$75</definedName>
    <definedName name="_xlnm.Print_Area" localSheetId="5">'33 KV HT'!$B$1:$R$141</definedName>
    <definedName name="_xlnm.Print_Area" localSheetId="2">'33KV FEEDER INPUT'!$A$75:$I$106</definedName>
    <definedName name="_xlnm.Print_Area" localSheetId="0">'CIRCLE INPUT'!$A$2:$T$35</definedName>
    <definedName name="_xlnm.Print_Area" localSheetId="1">'FORMAT A'!$A$2:$G$54</definedName>
    <definedName name="_xlnm.Print_Area" localSheetId="14">'FORMAT C'!$A$1:$E$29</definedName>
    <definedName name="_xlnm.Print_Area" localSheetId="3">'IMP-EXP'!$A$1:$M$42</definedName>
    <definedName name="_xlnm.Print_Area" localSheetId="15">'INDUSTRIAL FEEDER INPUT'!$A$1:$K$9</definedName>
    <definedName name="_xlnm.Print_Area" localSheetId="7">MIS!$A$2:$P$20</definedName>
    <definedName name="_xlnm.Print_Area" localSheetId="4">'RAO HT'!$A$2:$I$216</definedName>
    <definedName name="_xlnm.Print_Area" localSheetId="23">Sheet12!#REF!</definedName>
    <definedName name="_xlnm.Print_Area" localSheetId="24">Sheet14!#REF!</definedName>
    <definedName name="_xlnm.Print_Area" localSheetId="19">Sheet2!$B$2:$G$31</definedName>
    <definedName name="_xlnm.Print_Area" localSheetId="9">'SS INPUT'!$S$374:$V$380</definedName>
    <definedName name="_xlnm.Print_Area" localSheetId="8">'SS LOSS'!$A$2:$F$75</definedName>
    <definedName name="_xlnm.Print_Area" localSheetId="11">'T&amp;D'!$A$1:$K$309</definedName>
    <definedName name="_xlnm.Print_Titles" localSheetId="5">'33 KV HT'!$3:$3</definedName>
    <definedName name="Print_Titles_0" localSheetId="5">'33 KV HT'!$3:$3</definedName>
    <definedName name="Print_Titles_0_0" localSheetId="5">'33 KV HT'!$3:$3</definedName>
    <definedName name="repbot" localSheetId="17">Sheet1!$A$55</definedName>
    <definedName name="reptop" localSheetId="17">Sheet1!$D$1</definedName>
  </definedNames>
  <calcPr calcId="144525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F228" i="12" l="1"/>
  <c r="E21" i="8" l="1"/>
  <c r="I25" i="8" l="1"/>
  <c r="I136" i="12" l="1"/>
  <c r="H136" i="12"/>
  <c r="G136" i="12"/>
  <c r="G192" i="12" s="1"/>
  <c r="G39" i="12" l="1"/>
  <c r="U76" i="12" l="1"/>
  <c r="U75" i="12"/>
  <c r="U71" i="12"/>
  <c r="U70" i="12"/>
  <c r="N587" i="10"/>
  <c r="N586" i="10"/>
  <c r="J365" i="10" l="1"/>
  <c r="I275" i="5"/>
  <c r="G5" i="21"/>
  <c r="G6" i="21"/>
  <c r="G7" i="21"/>
  <c r="G8" i="21"/>
  <c r="G9" i="21"/>
  <c r="G10" i="21"/>
  <c r="G11" i="21"/>
  <c r="G12" i="21"/>
  <c r="G13" i="21"/>
  <c r="G14" i="21"/>
  <c r="G15" i="21"/>
  <c r="G16" i="21"/>
  <c r="G17" i="21"/>
  <c r="G18" i="21"/>
  <c r="G19" i="21"/>
  <c r="G20" i="21"/>
  <c r="G21" i="21"/>
  <c r="G22" i="21"/>
  <c r="G23" i="21"/>
  <c r="G24" i="21"/>
  <c r="G25" i="21"/>
  <c r="G26" i="21"/>
  <c r="G27" i="21"/>
  <c r="G28" i="21"/>
  <c r="G4" i="21"/>
  <c r="I171" i="12" l="1"/>
  <c r="J171" i="12"/>
  <c r="G172" i="12"/>
  <c r="F172" i="12"/>
  <c r="J693" i="10"/>
  <c r="F171" i="12" s="1"/>
  <c r="J61" i="10"/>
  <c r="F51" i="12"/>
  <c r="M8" i="10"/>
  <c r="M9" i="10"/>
  <c r="M10" i="10"/>
  <c r="M11" i="10"/>
  <c r="M13" i="10"/>
  <c r="M21" i="10"/>
  <c r="M22" i="10"/>
  <c r="M23" i="10"/>
  <c r="M24" i="10"/>
  <c r="M25" i="10"/>
  <c r="M28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9" i="10"/>
  <c r="M60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6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9" i="10"/>
  <c r="M120" i="10"/>
  <c r="M122" i="10"/>
  <c r="M124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1" i="10"/>
  <c r="M142" i="10"/>
  <c r="M144" i="10"/>
  <c r="M150" i="10"/>
  <c r="M151" i="10"/>
  <c r="M152" i="10"/>
  <c r="M153" i="10"/>
  <c r="M156" i="10"/>
  <c r="M157" i="10"/>
  <c r="M158" i="10"/>
  <c r="M159" i="10"/>
  <c r="M160" i="10"/>
  <c r="M161" i="10"/>
  <c r="M162" i="10"/>
  <c r="M163" i="10"/>
  <c r="M164" i="10"/>
  <c r="M165" i="10"/>
  <c r="M175" i="10"/>
  <c r="M176" i="10"/>
  <c r="M177" i="10"/>
  <c r="M178" i="10"/>
  <c r="M179" i="10"/>
  <c r="M180" i="10"/>
  <c r="M181" i="10"/>
  <c r="M190" i="10"/>
  <c r="M191" i="10"/>
  <c r="M192" i="10"/>
  <c r="M193" i="10"/>
  <c r="M194" i="10"/>
  <c r="M195" i="10"/>
  <c r="M196" i="10"/>
  <c r="M197" i="10"/>
  <c r="M198" i="10"/>
  <c r="M199" i="10"/>
  <c r="M200" i="10"/>
  <c r="M201" i="10"/>
  <c r="M202" i="10"/>
  <c r="M203" i="10"/>
  <c r="M204" i="10"/>
  <c r="M205" i="10"/>
  <c r="M206" i="10"/>
  <c r="M207" i="10"/>
  <c r="M208" i="10"/>
  <c r="M209" i="10"/>
  <c r="M210" i="10"/>
  <c r="M211" i="10"/>
  <c r="M212" i="10"/>
  <c r="M213" i="10"/>
  <c r="M214" i="10"/>
  <c r="M215" i="10"/>
  <c r="M216" i="10"/>
  <c r="M217" i="10"/>
  <c r="M218" i="10"/>
  <c r="M219" i="10"/>
  <c r="M220" i="10"/>
  <c r="M221" i="10"/>
  <c r="M222" i="10"/>
  <c r="M223" i="10"/>
  <c r="M224" i="10"/>
  <c r="M225" i="10"/>
  <c r="M226" i="10"/>
  <c r="M227" i="10"/>
  <c r="M228" i="10"/>
  <c r="M229" i="10"/>
  <c r="M230" i="10"/>
  <c r="M231" i="10"/>
  <c r="M232" i="10"/>
  <c r="M233" i="10"/>
  <c r="M234" i="10"/>
  <c r="M235" i="10"/>
  <c r="M236" i="10"/>
  <c r="M237" i="10"/>
  <c r="M238" i="10"/>
  <c r="M239" i="10"/>
  <c r="M240" i="10"/>
  <c r="M241" i="10"/>
  <c r="M242" i="10"/>
  <c r="M243" i="10"/>
  <c r="M244" i="10"/>
  <c r="M251" i="10"/>
  <c r="M252" i="10"/>
  <c r="M253" i="10"/>
  <c r="M254" i="10"/>
  <c r="M255" i="10"/>
  <c r="M256" i="10"/>
  <c r="M257" i="10"/>
  <c r="M258" i="10"/>
  <c r="M259" i="10"/>
  <c r="M260" i="10"/>
  <c r="M261" i="10"/>
  <c r="M262" i="10"/>
  <c r="M263" i="10"/>
  <c r="M264" i="10"/>
  <c r="M265" i="10"/>
  <c r="M266" i="10"/>
  <c r="M267" i="10"/>
  <c r="M268" i="10"/>
  <c r="M269" i="10"/>
  <c r="M270" i="10"/>
  <c r="M271" i="10"/>
  <c r="M272" i="10"/>
  <c r="M273" i="10"/>
  <c r="M274" i="10"/>
  <c r="M275" i="10"/>
  <c r="M276" i="10"/>
  <c r="M277" i="10"/>
  <c r="M278" i="10"/>
  <c r="M279" i="10"/>
  <c r="M280" i="10"/>
  <c r="M281" i="10"/>
  <c r="M282" i="10"/>
  <c r="M283" i="10"/>
  <c r="M284" i="10"/>
  <c r="M285" i="10"/>
  <c r="M294" i="10"/>
  <c r="M295" i="10"/>
  <c r="M296" i="10"/>
  <c r="M297" i="10"/>
  <c r="M298" i="10"/>
  <c r="M299" i="10"/>
  <c r="M300" i="10"/>
  <c r="M301" i="10"/>
  <c r="M302" i="10"/>
  <c r="M303" i="10"/>
  <c r="M304" i="10"/>
  <c r="M305" i="10"/>
  <c r="M306" i="10"/>
  <c r="M314" i="10"/>
  <c r="M315" i="10"/>
  <c r="M316" i="10"/>
  <c r="M317" i="10"/>
  <c r="M318" i="10"/>
  <c r="M319" i="10"/>
  <c r="M320" i="10"/>
  <c r="M321" i="10"/>
  <c r="M322" i="10"/>
  <c r="M323" i="10"/>
  <c r="M324" i="10"/>
  <c r="M325" i="10"/>
  <c r="M326" i="10"/>
  <c r="M327" i="10"/>
  <c r="M328" i="10"/>
  <c r="M329" i="10"/>
  <c r="M330" i="10"/>
  <c r="M331" i="10"/>
  <c r="M332" i="10"/>
  <c r="M333" i="10"/>
  <c r="M334" i="10"/>
  <c r="M335" i="10"/>
  <c r="M336" i="10"/>
  <c r="M337" i="10"/>
  <c r="M338" i="10"/>
  <c r="M339" i="10"/>
  <c r="M340" i="10"/>
  <c r="M341" i="10"/>
  <c r="M342" i="10"/>
  <c r="M343" i="10"/>
  <c r="M344" i="10"/>
  <c r="M345" i="10"/>
  <c r="M346" i="10"/>
  <c r="M347" i="10"/>
  <c r="M348" i="10"/>
  <c r="M349" i="10"/>
  <c r="M350" i="10"/>
  <c r="M351" i="10"/>
  <c r="M361" i="10"/>
  <c r="M362" i="10"/>
  <c r="M363" i="10"/>
  <c r="M364" i="10"/>
  <c r="M365" i="10"/>
  <c r="M366" i="10"/>
  <c r="M374" i="10"/>
  <c r="M375" i="10"/>
  <c r="M376" i="10"/>
  <c r="M377" i="10"/>
  <c r="M378" i="10"/>
  <c r="M379" i="10"/>
  <c r="M380" i="10"/>
  <c r="M381" i="10"/>
  <c r="M382" i="10"/>
  <c r="M383" i="10"/>
  <c r="M384" i="10"/>
  <c r="M385" i="10"/>
  <c r="M386" i="10"/>
  <c r="M387" i="10"/>
  <c r="M388" i="10"/>
  <c r="M389" i="10"/>
  <c r="M390" i="10"/>
  <c r="M391" i="10"/>
  <c r="M392" i="10"/>
  <c r="M393" i="10"/>
  <c r="M394" i="10"/>
  <c r="M395" i="10"/>
  <c r="M396" i="10"/>
  <c r="M397" i="10"/>
  <c r="M398" i="10"/>
  <c r="M399" i="10"/>
  <c r="M400" i="10"/>
  <c r="M401" i="10"/>
  <c r="M402" i="10"/>
  <c r="M403" i="10"/>
  <c r="M404" i="10"/>
  <c r="M405" i="10"/>
  <c r="M406" i="10"/>
  <c r="M407" i="10"/>
  <c r="M408" i="10"/>
  <c r="M416" i="10"/>
  <c r="M417" i="10"/>
  <c r="M6" i="10"/>
  <c r="M695" i="10" l="1"/>
  <c r="M696" i="10"/>
  <c r="M697" i="10"/>
  <c r="M699" i="10"/>
  <c r="M700" i="10"/>
  <c r="M689" i="10"/>
  <c r="M563" i="10"/>
  <c r="M564" i="10"/>
  <c r="M565" i="10"/>
  <c r="M566" i="10"/>
  <c r="M567" i="10"/>
  <c r="M568" i="10"/>
  <c r="M569" i="10"/>
  <c r="M570" i="10"/>
  <c r="M571" i="10"/>
  <c r="M572" i="10"/>
  <c r="M574" i="10"/>
  <c r="M575" i="10"/>
  <c r="M577" i="10"/>
  <c r="M589" i="10"/>
  <c r="M590" i="10"/>
  <c r="M591" i="10"/>
  <c r="M592" i="10"/>
  <c r="M593" i="10"/>
  <c r="M594" i="10"/>
  <c r="M597" i="10"/>
  <c r="M600" i="10"/>
  <c r="M601" i="10"/>
  <c r="M602" i="10"/>
  <c r="M603" i="10"/>
  <c r="M604" i="10"/>
  <c r="M605" i="10"/>
  <c r="M606" i="10"/>
  <c r="M609" i="10"/>
  <c r="M610" i="10"/>
  <c r="M613" i="10"/>
  <c r="M614" i="10"/>
  <c r="M615" i="10"/>
  <c r="M616" i="10"/>
  <c r="M617" i="10"/>
  <c r="M618" i="10"/>
  <c r="M619" i="10"/>
  <c r="M620" i="10"/>
  <c r="M621" i="10"/>
  <c r="M622" i="10"/>
  <c r="M624" i="10"/>
  <c r="M626" i="10"/>
  <c r="M630" i="10"/>
  <c r="M633" i="10"/>
  <c r="M634" i="10"/>
  <c r="M636" i="10"/>
  <c r="M638" i="10"/>
  <c r="M640" i="10"/>
  <c r="M641" i="10"/>
  <c r="M644" i="10"/>
  <c r="M647" i="10"/>
  <c r="M648" i="10"/>
  <c r="M650" i="10"/>
  <c r="M652" i="10"/>
  <c r="M653" i="10"/>
  <c r="M654" i="10"/>
  <c r="M655" i="10"/>
  <c r="M656" i="10"/>
  <c r="M657" i="10"/>
  <c r="M658" i="10"/>
  <c r="M659" i="10"/>
  <c r="M660" i="10"/>
  <c r="M662" i="10"/>
  <c r="M664" i="10"/>
  <c r="M668" i="10"/>
  <c r="M670" i="10"/>
  <c r="M671" i="10"/>
  <c r="M672" i="10"/>
  <c r="M673" i="10"/>
  <c r="M674" i="10"/>
  <c r="M676" i="10"/>
  <c r="M678" i="10"/>
  <c r="M682" i="10"/>
  <c r="M684" i="10"/>
  <c r="M686" i="10"/>
  <c r="M548" i="10"/>
  <c r="M549" i="10"/>
  <c r="M550" i="10"/>
  <c r="M551" i="10"/>
  <c r="M553" i="10"/>
  <c r="M534" i="10"/>
  <c r="M535" i="10"/>
  <c r="M536" i="10"/>
  <c r="M537" i="10"/>
  <c r="M538" i="10"/>
  <c r="M539" i="10"/>
  <c r="M540" i="10"/>
  <c r="M541" i="10"/>
  <c r="M542" i="10"/>
  <c r="M543" i="10"/>
  <c r="M544" i="10"/>
  <c r="M545" i="10"/>
  <c r="M546" i="10"/>
  <c r="M533" i="10"/>
  <c r="O490" i="10"/>
  <c r="O491" i="10"/>
  <c r="O489" i="10"/>
  <c r="I108" i="10"/>
  <c r="J70" i="10"/>
  <c r="J319" i="10" l="1"/>
  <c r="J322" i="10"/>
  <c r="J720" i="23" l="1"/>
  <c r="D715" i="23"/>
  <c r="D714" i="23"/>
  <c r="I705" i="23"/>
  <c r="H705" i="23"/>
  <c r="H704" i="23"/>
  <c r="J700" i="23"/>
  <c r="M701" i="23" s="1"/>
  <c r="M699" i="23"/>
  <c r="J699" i="23"/>
  <c r="M700" i="23" s="1"/>
  <c r="H698" i="23"/>
  <c r="J698" i="23" s="1"/>
  <c r="F698" i="23"/>
  <c r="J697" i="23"/>
  <c r="M698" i="23" s="1"/>
  <c r="H697" i="23"/>
  <c r="F697" i="23"/>
  <c r="M696" i="23"/>
  <c r="J696" i="23"/>
  <c r="M697" i="23" s="1"/>
  <c r="H696" i="23"/>
  <c r="F696" i="23"/>
  <c r="J694" i="23"/>
  <c r="M695" i="23" s="1"/>
  <c r="H694" i="23"/>
  <c r="F694" i="23"/>
  <c r="K693" i="23"/>
  <c r="J693" i="23"/>
  <c r="J692" i="23"/>
  <c r="J690" i="23"/>
  <c r="J691" i="23" s="1"/>
  <c r="M688" i="23"/>
  <c r="J687" i="23"/>
  <c r="H687" i="23"/>
  <c r="F687" i="23"/>
  <c r="M686" i="23"/>
  <c r="H686" i="23"/>
  <c r="J685" i="23" s="1"/>
  <c r="M685" i="23" s="1"/>
  <c r="F686" i="23"/>
  <c r="F685" i="23"/>
  <c r="H685" i="23" s="1"/>
  <c r="H684" i="23"/>
  <c r="J684" i="23" s="1"/>
  <c r="M684" i="23" s="1"/>
  <c r="F684" i="23"/>
  <c r="F683" i="23"/>
  <c r="H683" i="23" s="1"/>
  <c r="J683" i="23" s="1"/>
  <c r="M682" i="23"/>
  <c r="M680" i="23"/>
  <c r="F680" i="23"/>
  <c r="H680" i="23" s="1"/>
  <c r="J680" i="23" s="1"/>
  <c r="M679" i="23"/>
  <c r="F679" i="23"/>
  <c r="H679" i="23" s="1"/>
  <c r="J679" i="23" s="1"/>
  <c r="J681" i="23" s="1"/>
  <c r="M678" i="23"/>
  <c r="M676" i="23"/>
  <c r="F676" i="23"/>
  <c r="H676" i="23" s="1"/>
  <c r="J676" i="23" s="1"/>
  <c r="M675" i="23"/>
  <c r="F675" i="23"/>
  <c r="H675" i="23" s="1"/>
  <c r="J675" i="23" s="1"/>
  <c r="J677" i="23" s="1"/>
  <c r="M677" i="23" s="1"/>
  <c r="M674" i="23"/>
  <c r="F674" i="23"/>
  <c r="H674" i="23" s="1"/>
  <c r="J674" i="23" s="1"/>
  <c r="M673" i="23"/>
  <c r="M671" i="23"/>
  <c r="J671" i="23"/>
  <c r="H671" i="23"/>
  <c r="F671" i="23"/>
  <c r="M670" i="23"/>
  <c r="J668" i="23"/>
  <c r="M668" i="23" s="1"/>
  <c r="H668" i="23"/>
  <c r="F668" i="23"/>
  <c r="J667" i="23"/>
  <c r="M667" i="23" s="1"/>
  <c r="H667" i="23"/>
  <c r="F667" i="23"/>
  <c r="J666" i="23"/>
  <c r="M666" i="23" s="1"/>
  <c r="F666" i="23"/>
  <c r="H666" i="23" s="1"/>
  <c r="I666" i="23" s="1"/>
  <c r="F665" i="23"/>
  <c r="H665" i="23" s="1"/>
  <c r="M664" i="23"/>
  <c r="F662" i="23"/>
  <c r="H662" i="23" s="1"/>
  <c r="J662" i="23" s="1"/>
  <c r="M662" i="23" s="1"/>
  <c r="M661" i="23"/>
  <c r="F661" i="23"/>
  <c r="H661" i="23" s="1"/>
  <c r="J661" i="23" s="1"/>
  <c r="J663" i="23" s="1"/>
  <c r="M660" i="23"/>
  <c r="J659" i="23"/>
  <c r="M659" i="23" s="1"/>
  <c r="M658" i="23"/>
  <c r="F658" i="23"/>
  <c r="H658" i="23" s="1"/>
  <c r="J658" i="23" s="1"/>
  <c r="F657" i="23"/>
  <c r="H657" i="23" s="1"/>
  <c r="J657" i="23" s="1"/>
  <c r="M657" i="23" s="1"/>
  <c r="M656" i="23"/>
  <c r="F656" i="23"/>
  <c r="H656" i="23" s="1"/>
  <c r="J656" i="23" s="1"/>
  <c r="M655" i="23"/>
  <c r="J653" i="23"/>
  <c r="H653" i="23"/>
  <c r="F653" i="23"/>
  <c r="M652" i="23"/>
  <c r="M650" i="23"/>
  <c r="J650" i="23"/>
  <c r="H650" i="23"/>
  <c r="F650" i="23"/>
  <c r="M649" i="23"/>
  <c r="J649" i="23"/>
  <c r="H649" i="23"/>
  <c r="F649" i="23"/>
  <c r="M648" i="23"/>
  <c r="J648" i="23"/>
  <c r="J651" i="23" s="1"/>
  <c r="M651" i="23" s="1"/>
  <c r="H648" i="23"/>
  <c r="F648" i="23"/>
  <c r="M647" i="23"/>
  <c r="H645" i="23"/>
  <c r="J645" i="23" s="1"/>
  <c r="F645" i="23"/>
  <c r="M644" i="23"/>
  <c r="J642" i="23"/>
  <c r="M642" i="23" s="1"/>
  <c r="H642" i="23"/>
  <c r="F642" i="23"/>
  <c r="J641" i="23"/>
  <c r="M641" i="23" s="1"/>
  <c r="H641" i="23"/>
  <c r="F641" i="23"/>
  <c r="H640" i="23"/>
  <c r="J640" i="23" s="1"/>
  <c r="M640" i="23" s="1"/>
  <c r="F640" i="23"/>
  <c r="H639" i="23"/>
  <c r="J639" i="23" s="1"/>
  <c r="F639" i="23"/>
  <c r="M638" i="23"/>
  <c r="N637" i="23"/>
  <c r="N638" i="23" s="1"/>
  <c r="M636" i="23"/>
  <c r="M635" i="23"/>
  <c r="F635" i="23"/>
  <c r="H635" i="23" s="1"/>
  <c r="J635" i="23" s="1"/>
  <c r="F634" i="23"/>
  <c r="H634" i="23" s="1"/>
  <c r="J634" i="23" s="1"/>
  <c r="M633" i="23"/>
  <c r="F631" i="23"/>
  <c r="H631" i="23" s="1"/>
  <c r="J631" i="23" s="1"/>
  <c r="M631" i="23" s="1"/>
  <c r="M630" i="23"/>
  <c r="F630" i="23"/>
  <c r="H630" i="23" s="1"/>
  <c r="J630" i="23" s="1"/>
  <c r="F629" i="23"/>
  <c r="H629" i="23" s="1"/>
  <c r="J629" i="23" s="1"/>
  <c r="M629" i="23" s="1"/>
  <c r="M628" i="23"/>
  <c r="F628" i="23"/>
  <c r="H628" i="23" s="1"/>
  <c r="J628" i="23" s="1"/>
  <c r="F627" i="23"/>
  <c r="H627" i="23" s="1"/>
  <c r="J627" i="23" s="1"/>
  <c r="M626" i="23"/>
  <c r="M624" i="23"/>
  <c r="J624" i="23"/>
  <c r="H624" i="23"/>
  <c r="F624" i="23"/>
  <c r="M623" i="23"/>
  <c r="J623" i="23"/>
  <c r="J625" i="23" s="1"/>
  <c r="H623" i="23"/>
  <c r="M622" i="23"/>
  <c r="O621" i="23"/>
  <c r="O620" i="23"/>
  <c r="M620" i="23"/>
  <c r="J619" i="23"/>
  <c r="M619" i="23" s="1"/>
  <c r="H619" i="23"/>
  <c r="F619" i="23"/>
  <c r="F618" i="23"/>
  <c r="H618" i="23" s="1"/>
  <c r="J618" i="23" s="1"/>
  <c r="O619" i="23" s="1"/>
  <c r="F617" i="23"/>
  <c r="H617" i="23" s="1"/>
  <c r="J617" i="23" s="1"/>
  <c r="J616" i="23"/>
  <c r="H616" i="23"/>
  <c r="F616" i="23"/>
  <c r="J615" i="23"/>
  <c r="J621" i="23" s="1"/>
  <c r="H615" i="23"/>
  <c r="F615" i="23"/>
  <c r="O614" i="23"/>
  <c r="M614" i="23"/>
  <c r="F614" i="23"/>
  <c r="H614" i="23" s="1"/>
  <c r="J614" i="23" s="1"/>
  <c r="O615" i="23" s="1"/>
  <c r="M613" i="23"/>
  <c r="H611" i="23"/>
  <c r="J611" i="23" s="1"/>
  <c r="F611" i="23"/>
  <c r="J610" i="23"/>
  <c r="H610" i="23"/>
  <c r="F610" i="23"/>
  <c r="M609" i="23"/>
  <c r="H607" i="23"/>
  <c r="J607" i="23" s="1"/>
  <c r="M607" i="23" s="1"/>
  <c r="F607" i="23"/>
  <c r="H606" i="23"/>
  <c r="J606" i="23" s="1"/>
  <c r="M606" i="23" s="1"/>
  <c r="F606" i="23"/>
  <c r="J605" i="23"/>
  <c r="H605" i="23"/>
  <c r="F605" i="23"/>
  <c r="M604" i="23"/>
  <c r="F602" i="23"/>
  <c r="H602" i="23" s="1"/>
  <c r="J602" i="23" s="1"/>
  <c r="M602" i="23" s="1"/>
  <c r="H601" i="23"/>
  <c r="J601" i="23" s="1"/>
  <c r="M601" i="23" s="1"/>
  <c r="F601" i="23"/>
  <c r="M600" i="23"/>
  <c r="H598" i="23"/>
  <c r="F598" i="23"/>
  <c r="M597" i="23"/>
  <c r="J597" i="23"/>
  <c r="H597" i="23"/>
  <c r="O597" i="23" s="1"/>
  <c r="F597" i="23"/>
  <c r="F596" i="23"/>
  <c r="H596" i="23" s="1"/>
  <c r="O595" i="23"/>
  <c r="H595" i="23"/>
  <c r="J595" i="23" s="1"/>
  <c r="M595" i="23" s="1"/>
  <c r="F595" i="23"/>
  <c r="M594" i="23"/>
  <c r="M592" i="23"/>
  <c r="F592" i="23"/>
  <c r="H592" i="23" s="1"/>
  <c r="J592" i="23" s="1"/>
  <c r="F591" i="23"/>
  <c r="H591" i="23" s="1"/>
  <c r="J591" i="23" s="1"/>
  <c r="M591" i="23" s="1"/>
  <c r="M590" i="23"/>
  <c r="F590" i="23"/>
  <c r="H590" i="23" s="1"/>
  <c r="J590" i="23" s="1"/>
  <c r="M589" i="23"/>
  <c r="F587" i="23"/>
  <c r="H587" i="23" s="1"/>
  <c r="J587" i="23" s="1"/>
  <c r="M587" i="23" s="1"/>
  <c r="M586" i="23"/>
  <c r="J586" i="23"/>
  <c r="H586" i="23"/>
  <c r="F586" i="23"/>
  <c r="M585" i="23"/>
  <c r="J585" i="23"/>
  <c r="H585" i="23"/>
  <c r="F585" i="23"/>
  <c r="M584" i="23"/>
  <c r="J584" i="23"/>
  <c r="H584" i="23"/>
  <c r="F584" i="23"/>
  <c r="M583" i="23"/>
  <c r="J583" i="23"/>
  <c r="H583" i="23"/>
  <c r="F583" i="23"/>
  <c r="M582" i="23"/>
  <c r="J582" i="23"/>
  <c r="H582" i="23"/>
  <c r="F582" i="23"/>
  <c r="F581" i="23"/>
  <c r="H581" i="23" s="1"/>
  <c r="J581" i="23" s="1"/>
  <c r="M581" i="23" s="1"/>
  <c r="M580" i="23"/>
  <c r="J580" i="23"/>
  <c r="F580" i="23"/>
  <c r="H580" i="23" s="1"/>
  <c r="H579" i="23"/>
  <c r="F579" i="23"/>
  <c r="H578" i="23"/>
  <c r="J578" i="23" s="1"/>
  <c r="F578" i="23"/>
  <c r="M577" i="23"/>
  <c r="J575" i="23"/>
  <c r="M575" i="23" s="1"/>
  <c r="H575" i="23"/>
  <c r="F575" i="23"/>
  <c r="H574" i="23"/>
  <c r="J574" i="23" s="1"/>
  <c r="M574" i="23" s="1"/>
  <c r="F574" i="23"/>
  <c r="F573" i="23"/>
  <c r="H573" i="23" s="1"/>
  <c r="J573" i="23" s="1"/>
  <c r="M572" i="23"/>
  <c r="F570" i="23"/>
  <c r="H570" i="23" s="1"/>
  <c r="J570" i="23" s="1"/>
  <c r="M570" i="23" s="1"/>
  <c r="J569" i="23"/>
  <c r="M569" i="23" s="1"/>
  <c r="H569" i="23"/>
  <c r="F569" i="23"/>
  <c r="H568" i="23"/>
  <c r="J568" i="23" s="1"/>
  <c r="F568" i="23"/>
  <c r="M567" i="23"/>
  <c r="H565" i="23"/>
  <c r="J565" i="23" s="1"/>
  <c r="F564" i="23"/>
  <c r="H564" i="23" s="1"/>
  <c r="J564" i="23" s="1"/>
  <c r="M564" i="23" s="1"/>
  <c r="M563" i="23"/>
  <c r="M561" i="23"/>
  <c r="J561" i="23"/>
  <c r="N560" i="23"/>
  <c r="M560" i="23"/>
  <c r="J560" i="23"/>
  <c r="H560" i="23"/>
  <c r="F560" i="23"/>
  <c r="N559" i="23"/>
  <c r="F559" i="23"/>
  <c r="H559" i="23" s="1"/>
  <c r="J559" i="23" s="1"/>
  <c r="M559" i="23" s="1"/>
  <c r="M558" i="23"/>
  <c r="F558" i="23"/>
  <c r="H558" i="23" s="1"/>
  <c r="J558" i="23" s="1"/>
  <c r="N557" i="23"/>
  <c r="F557" i="23"/>
  <c r="H557" i="23" s="1"/>
  <c r="J557" i="23" s="1"/>
  <c r="M557" i="23" s="1"/>
  <c r="H556" i="23"/>
  <c r="J556" i="23" s="1"/>
  <c r="M556" i="23" s="1"/>
  <c r="F556" i="23"/>
  <c r="F555" i="23"/>
  <c r="H555" i="23" s="1"/>
  <c r="J555" i="23" s="1"/>
  <c r="M555" i="23" s="1"/>
  <c r="H554" i="23"/>
  <c r="J554" i="23" s="1"/>
  <c r="F554" i="23"/>
  <c r="M553" i="23"/>
  <c r="H550" i="23"/>
  <c r="J550" i="23" s="1"/>
  <c r="F550" i="23"/>
  <c r="J549" i="23"/>
  <c r="M549" i="23" s="1"/>
  <c r="H549" i="23"/>
  <c r="F549" i="23"/>
  <c r="H548" i="23"/>
  <c r="J548" i="23" s="1"/>
  <c r="M548" i="23" s="1"/>
  <c r="F548" i="23"/>
  <c r="H547" i="23"/>
  <c r="J547" i="23" s="1"/>
  <c r="F547" i="23"/>
  <c r="H544" i="23"/>
  <c r="J544" i="23" s="1"/>
  <c r="M545" i="23" s="1"/>
  <c r="F544" i="23"/>
  <c r="H543" i="23"/>
  <c r="J543" i="23" s="1"/>
  <c r="M544" i="23" s="1"/>
  <c r="F543" i="23"/>
  <c r="H542" i="23"/>
  <c r="J542" i="23" s="1"/>
  <c r="M543" i="23" s="1"/>
  <c r="F542" i="23"/>
  <c r="J541" i="23"/>
  <c r="M542" i="23" s="1"/>
  <c r="H541" i="23"/>
  <c r="F541" i="23"/>
  <c r="M540" i="23"/>
  <c r="J540" i="23"/>
  <c r="H540" i="23"/>
  <c r="F540" i="23"/>
  <c r="M538" i="23"/>
  <c r="F537" i="23"/>
  <c r="H537" i="23" s="1"/>
  <c r="J537" i="23" s="1"/>
  <c r="M536" i="23"/>
  <c r="H536" i="23"/>
  <c r="J536" i="23" s="1"/>
  <c r="F536" i="23"/>
  <c r="J535" i="23"/>
  <c r="F535" i="23"/>
  <c r="M534" i="23"/>
  <c r="F534" i="23"/>
  <c r="H534" i="23" s="1"/>
  <c r="J534" i="23" s="1"/>
  <c r="M535" i="23" s="1"/>
  <c r="M533" i="23"/>
  <c r="F533" i="23"/>
  <c r="H533" i="23" s="1"/>
  <c r="J533" i="23" s="1"/>
  <c r="M532" i="23"/>
  <c r="M531" i="23"/>
  <c r="M530" i="23"/>
  <c r="M529" i="23"/>
  <c r="M528" i="23"/>
  <c r="M525" i="23"/>
  <c r="I523" i="23"/>
  <c r="G523" i="23"/>
  <c r="E523" i="23"/>
  <c r="D523" i="23"/>
  <c r="C523" i="23"/>
  <c r="J521" i="23"/>
  <c r="M522" i="23" s="1"/>
  <c r="H521" i="23"/>
  <c r="F521" i="23"/>
  <c r="J520" i="23"/>
  <c r="M521" i="23" s="1"/>
  <c r="H520" i="23"/>
  <c r="F520" i="23"/>
  <c r="M519" i="23"/>
  <c r="J519" i="23"/>
  <c r="H519" i="23"/>
  <c r="F519" i="23"/>
  <c r="M517" i="23"/>
  <c r="M516" i="23"/>
  <c r="H516" i="23"/>
  <c r="J516" i="23" s="1"/>
  <c r="J517" i="23" s="1"/>
  <c r="M518" i="23" s="1"/>
  <c r="F516" i="23"/>
  <c r="M514" i="23"/>
  <c r="F513" i="23"/>
  <c r="H513" i="23" s="1"/>
  <c r="I512" i="23" s="1"/>
  <c r="M512" i="23"/>
  <c r="H512" i="23"/>
  <c r="F512" i="23"/>
  <c r="H511" i="23"/>
  <c r="I510" i="23" s="1"/>
  <c r="F511" i="23"/>
  <c r="M510" i="23"/>
  <c r="H510" i="23"/>
  <c r="F510" i="23"/>
  <c r="M508" i="23"/>
  <c r="F507" i="23"/>
  <c r="H507" i="23" s="1"/>
  <c r="I506" i="23" s="1"/>
  <c r="M506" i="23"/>
  <c r="H506" i="23"/>
  <c r="J506" i="23" s="1"/>
  <c r="M505" i="23"/>
  <c r="M502" i="23"/>
  <c r="F502" i="23"/>
  <c r="H502" i="23" s="1"/>
  <c r="J502" i="23" s="1"/>
  <c r="M503" i="23" s="1"/>
  <c r="H501" i="23"/>
  <c r="J501" i="23" s="1"/>
  <c r="F501" i="23"/>
  <c r="M500" i="23"/>
  <c r="F500" i="23"/>
  <c r="H500" i="23" s="1"/>
  <c r="J500" i="23" s="1"/>
  <c r="M499" i="23"/>
  <c r="M497" i="23"/>
  <c r="F496" i="23"/>
  <c r="H496" i="23" s="1"/>
  <c r="J496" i="23" s="1"/>
  <c r="M496" i="23" s="1"/>
  <c r="M495" i="23"/>
  <c r="H495" i="23"/>
  <c r="J495" i="23" s="1"/>
  <c r="F495" i="23"/>
  <c r="F494" i="23"/>
  <c r="H494" i="23" s="1"/>
  <c r="J494" i="23" s="1"/>
  <c r="M493" i="23"/>
  <c r="F491" i="23"/>
  <c r="H491" i="23" s="1"/>
  <c r="F490" i="23"/>
  <c r="H490" i="23" s="1"/>
  <c r="J490" i="23" s="1"/>
  <c r="L489" i="23"/>
  <c r="J489" i="23"/>
  <c r="H489" i="23"/>
  <c r="F489" i="23"/>
  <c r="M488" i="23"/>
  <c r="L488" i="23"/>
  <c r="H486" i="23"/>
  <c r="J486" i="23" s="1"/>
  <c r="F486" i="23"/>
  <c r="M485" i="23"/>
  <c r="M484" i="23"/>
  <c r="F482" i="23"/>
  <c r="H482" i="23" s="1"/>
  <c r="J482" i="23" s="1"/>
  <c r="M482" i="23" s="1"/>
  <c r="F481" i="23"/>
  <c r="H481" i="23" s="1"/>
  <c r="J481" i="23" s="1"/>
  <c r="M481" i="23" s="1"/>
  <c r="F480" i="23"/>
  <c r="H480" i="23" s="1"/>
  <c r="J480" i="23" s="1"/>
  <c r="M479" i="23"/>
  <c r="H477" i="23"/>
  <c r="J477" i="23" s="1"/>
  <c r="F477" i="23"/>
  <c r="M476" i="23"/>
  <c r="H474" i="23"/>
  <c r="J474" i="23" s="1"/>
  <c r="M474" i="23" s="1"/>
  <c r="F474" i="23"/>
  <c r="H473" i="23"/>
  <c r="J473" i="23" s="1"/>
  <c r="M473" i="23" s="1"/>
  <c r="F473" i="23"/>
  <c r="M472" i="23"/>
  <c r="H472" i="23"/>
  <c r="J472" i="23" s="1"/>
  <c r="F472" i="23"/>
  <c r="M471" i="23"/>
  <c r="H471" i="23"/>
  <c r="J471" i="23" s="1"/>
  <c r="J475" i="23" s="1"/>
  <c r="M475" i="23" s="1"/>
  <c r="F471" i="23"/>
  <c r="M470" i="23"/>
  <c r="J468" i="23"/>
  <c r="H468" i="23"/>
  <c r="F468" i="23"/>
  <c r="M467" i="23"/>
  <c r="F465" i="23"/>
  <c r="H465" i="23" s="1"/>
  <c r="J465" i="23" s="1"/>
  <c r="M465" i="23" s="1"/>
  <c r="F464" i="23"/>
  <c r="H464" i="23" s="1"/>
  <c r="J464" i="23" s="1"/>
  <c r="M463" i="23"/>
  <c r="H461" i="23"/>
  <c r="J461" i="23" s="1"/>
  <c r="J462" i="23" s="1"/>
  <c r="M462" i="23" s="1"/>
  <c r="F461" i="23"/>
  <c r="M460" i="23"/>
  <c r="F458" i="23"/>
  <c r="H458" i="23" s="1"/>
  <c r="J458" i="23" s="1"/>
  <c r="M458" i="23" s="1"/>
  <c r="M457" i="23"/>
  <c r="F457" i="23"/>
  <c r="H457" i="23" s="1"/>
  <c r="J457" i="23" s="1"/>
  <c r="H456" i="23"/>
  <c r="F456" i="23"/>
  <c r="H455" i="23"/>
  <c r="F455" i="23"/>
  <c r="H454" i="23"/>
  <c r="J454" i="23" s="1"/>
  <c r="M454" i="23" s="1"/>
  <c r="F454" i="23"/>
  <c r="F453" i="23"/>
  <c r="H453" i="23" s="1"/>
  <c r="J453" i="23" s="1"/>
  <c r="M453" i="23" s="1"/>
  <c r="M452" i="23"/>
  <c r="M450" i="23"/>
  <c r="F449" i="23"/>
  <c r="H449" i="23" s="1"/>
  <c r="J449" i="23" s="1"/>
  <c r="M449" i="23" s="1"/>
  <c r="H448" i="23"/>
  <c r="J448" i="23" s="1"/>
  <c r="F448" i="23"/>
  <c r="M447" i="23"/>
  <c r="F445" i="23"/>
  <c r="H445" i="23" s="1"/>
  <c r="J445" i="23" s="1"/>
  <c r="M445" i="23" s="1"/>
  <c r="F444" i="23"/>
  <c r="H444" i="23" s="1"/>
  <c r="J444" i="23" s="1"/>
  <c r="M444" i="23" s="1"/>
  <c r="J443" i="23"/>
  <c r="M443" i="23" s="1"/>
  <c r="F443" i="23"/>
  <c r="H443" i="23" s="1"/>
  <c r="H442" i="23"/>
  <c r="J442" i="23" s="1"/>
  <c r="F442" i="23"/>
  <c r="M441" i="23"/>
  <c r="F439" i="23"/>
  <c r="H439" i="23" s="1"/>
  <c r="J439" i="23" s="1"/>
  <c r="M439" i="23" s="1"/>
  <c r="M438" i="23"/>
  <c r="F436" i="23"/>
  <c r="H436" i="23" s="1"/>
  <c r="H435" i="23"/>
  <c r="J435" i="23" s="1"/>
  <c r="M435" i="23" s="1"/>
  <c r="F435" i="23"/>
  <c r="H434" i="23"/>
  <c r="J434" i="23" s="1"/>
  <c r="F434" i="23"/>
  <c r="M433" i="23"/>
  <c r="J432" i="23"/>
  <c r="M431" i="23"/>
  <c r="F431" i="23"/>
  <c r="H431" i="23" s="1"/>
  <c r="J431" i="23" s="1"/>
  <c r="N430" i="23"/>
  <c r="M430" i="23"/>
  <c r="N429" i="23"/>
  <c r="H428" i="23"/>
  <c r="J428" i="23" s="1"/>
  <c r="M428" i="23" s="1"/>
  <c r="F428" i="23"/>
  <c r="H427" i="23"/>
  <c r="J427" i="23" s="1"/>
  <c r="M427" i="23" s="1"/>
  <c r="F427" i="23"/>
  <c r="M426" i="23"/>
  <c r="H426" i="23"/>
  <c r="J426" i="23" s="1"/>
  <c r="F426" i="23"/>
  <c r="M425" i="23"/>
  <c r="J423" i="23"/>
  <c r="H423" i="23"/>
  <c r="F423" i="23"/>
  <c r="M422" i="23"/>
  <c r="H420" i="23"/>
  <c r="F420" i="23"/>
  <c r="H419" i="23"/>
  <c r="J419" i="23" s="1"/>
  <c r="M419" i="23" s="1"/>
  <c r="F419" i="23"/>
  <c r="H418" i="23"/>
  <c r="J418" i="23" s="1"/>
  <c r="F418" i="23"/>
  <c r="F417" i="23"/>
  <c r="M416" i="23"/>
  <c r="F416" i="23"/>
  <c r="H416" i="23" s="1"/>
  <c r="M414" i="23"/>
  <c r="J414" i="23"/>
  <c r="H413" i="23"/>
  <c r="J413" i="23" s="1"/>
  <c r="M413" i="23" s="1"/>
  <c r="F413" i="23"/>
  <c r="F412" i="23"/>
  <c r="H412" i="23" s="1"/>
  <c r="J412" i="23" s="1"/>
  <c r="M412" i="23" s="1"/>
  <c r="F411" i="23"/>
  <c r="H411" i="23" s="1"/>
  <c r="J411" i="23" s="1"/>
  <c r="M411" i="23" s="1"/>
  <c r="H410" i="23"/>
  <c r="J410" i="23" s="1"/>
  <c r="M410" i="23" s="1"/>
  <c r="F410" i="23"/>
  <c r="H409" i="23"/>
  <c r="J409" i="23" s="1"/>
  <c r="F409" i="23"/>
  <c r="M408" i="23"/>
  <c r="F406" i="23"/>
  <c r="H406" i="23" s="1"/>
  <c r="J406" i="23" s="1"/>
  <c r="M406" i="23" s="1"/>
  <c r="H405" i="23"/>
  <c r="J405" i="23" s="1"/>
  <c r="M405" i="23" s="1"/>
  <c r="F405" i="23"/>
  <c r="H404" i="23"/>
  <c r="J404" i="23" s="1"/>
  <c r="M404" i="23" s="1"/>
  <c r="F404" i="23"/>
  <c r="M403" i="23"/>
  <c r="H403" i="23"/>
  <c r="J403" i="23" s="1"/>
  <c r="F403" i="23"/>
  <c r="M402" i="23"/>
  <c r="J400" i="23"/>
  <c r="H400" i="23"/>
  <c r="F400" i="23"/>
  <c r="F399" i="23"/>
  <c r="H399" i="23" s="1"/>
  <c r="J399" i="23" s="1"/>
  <c r="M398" i="23"/>
  <c r="F396" i="23"/>
  <c r="H396" i="23" s="1"/>
  <c r="J396" i="23" s="1"/>
  <c r="M396" i="23" s="1"/>
  <c r="F395" i="23"/>
  <c r="H395" i="23" s="1"/>
  <c r="J395" i="23" s="1"/>
  <c r="M395" i="23" s="1"/>
  <c r="J394" i="23"/>
  <c r="M394" i="23" s="1"/>
  <c r="H394" i="23"/>
  <c r="F394" i="23"/>
  <c r="F393" i="23"/>
  <c r="H393" i="23" s="1"/>
  <c r="J393" i="23" s="1"/>
  <c r="M393" i="23" s="1"/>
  <c r="M392" i="23"/>
  <c r="F390" i="23"/>
  <c r="H390" i="23" s="1"/>
  <c r="J390" i="23" s="1"/>
  <c r="M390" i="23" s="1"/>
  <c r="M389" i="23"/>
  <c r="H389" i="23"/>
  <c r="J389" i="23" s="1"/>
  <c r="J391" i="23" s="1"/>
  <c r="F389" i="23"/>
  <c r="M388" i="23"/>
  <c r="N387" i="23"/>
  <c r="J386" i="23"/>
  <c r="H386" i="23"/>
  <c r="F386" i="23"/>
  <c r="J385" i="23"/>
  <c r="M385" i="23" s="1"/>
  <c r="H385" i="23"/>
  <c r="F385" i="23"/>
  <c r="M384" i="23"/>
  <c r="F383" i="23"/>
  <c r="H383" i="23" s="1"/>
  <c r="J383" i="23" s="1"/>
  <c r="M383" i="23" s="1"/>
  <c r="J382" i="23"/>
  <c r="M382" i="23" s="1"/>
  <c r="F382" i="23"/>
  <c r="H382" i="23" s="1"/>
  <c r="J381" i="23"/>
  <c r="F381" i="23"/>
  <c r="H381" i="23" s="1"/>
  <c r="M380" i="23"/>
  <c r="M378" i="23"/>
  <c r="M377" i="23"/>
  <c r="F377" i="23"/>
  <c r="H377" i="23" s="1"/>
  <c r="J377" i="23" s="1"/>
  <c r="G376" i="23"/>
  <c r="F376" i="23"/>
  <c r="H375" i="23"/>
  <c r="J375" i="23" s="1"/>
  <c r="F375" i="23"/>
  <c r="M374" i="23"/>
  <c r="F372" i="23"/>
  <c r="H372" i="23" s="1"/>
  <c r="J372" i="23" s="1"/>
  <c r="M372" i="23" s="1"/>
  <c r="F371" i="23"/>
  <c r="H371" i="23" s="1"/>
  <c r="J371" i="23" s="1"/>
  <c r="M371" i="23" s="1"/>
  <c r="H370" i="23"/>
  <c r="J370" i="23" s="1"/>
  <c r="M370" i="23" s="1"/>
  <c r="F370" i="23"/>
  <c r="H369" i="23"/>
  <c r="J369" i="23" s="1"/>
  <c r="M369" i="23" s="1"/>
  <c r="F369" i="23"/>
  <c r="H368" i="23"/>
  <c r="J368" i="23" s="1"/>
  <c r="F368" i="23"/>
  <c r="J367" i="23"/>
  <c r="M367" i="23" s="1"/>
  <c r="H367" i="23"/>
  <c r="F367" i="23"/>
  <c r="M366" i="23"/>
  <c r="M364" i="23"/>
  <c r="H363" i="23"/>
  <c r="J363" i="23" s="1"/>
  <c r="M363" i="23" s="1"/>
  <c r="F363" i="23"/>
  <c r="H362" i="23"/>
  <c r="F362" i="23"/>
  <c r="M361" i="23"/>
  <c r="J359" i="23"/>
  <c r="M359" i="23" s="1"/>
  <c r="F359" i="23"/>
  <c r="H359" i="23" s="1"/>
  <c r="F358" i="23"/>
  <c r="H358" i="23" s="1"/>
  <c r="J358" i="23" s="1"/>
  <c r="M358" i="23" s="1"/>
  <c r="N357" i="23"/>
  <c r="N358" i="23" s="1"/>
  <c r="N359" i="23" s="1"/>
  <c r="F357" i="23"/>
  <c r="H357" i="23" s="1"/>
  <c r="J357" i="23" s="1"/>
  <c r="Q356" i="23"/>
  <c r="O356" i="23"/>
  <c r="N356" i="23"/>
  <c r="F356" i="23"/>
  <c r="H356" i="23" s="1"/>
  <c r="J356" i="23" s="1"/>
  <c r="M356" i="23" s="1"/>
  <c r="Q355" i="23"/>
  <c r="F355" i="23"/>
  <c r="H355" i="23" s="1"/>
  <c r="J355" i="23" s="1"/>
  <c r="M355" i="23" s="1"/>
  <c r="Q354" i="23"/>
  <c r="M354" i="23"/>
  <c r="J354" i="23"/>
  <c r="F354" i="23"/>
  <c r="H354" i="23" s="1"/>
  <c r="N353" i="23"/>
  <c r="N354" i="23" s="1"/>
  <c r="M353" i="23"/>
  <c r="H353" i="23"/>
  <c r="J353" i="23" s="1"/>
  <c r="N352" i="23"/>
  <c r="H352" i="23"/>
  <c r="J352" i="23" s="1"/>
  <c r="F352" i="23"/>
  <c r="M351" i="23"/>
  <c r="F348" i="23"/>
  <c r="H348" i="23" s="1"/>
  <c r="J348" i="23" s="1"/>
  <c r="M348" i="23" s="1"/>
  <c r="F347" i="23"/>
  <c r="H347" i="23" s="1"/>
  <c r="J347" i="23" s="1"/>
  <c r="M347" i="23" s="1"/>
  <c r="H346" i="23"/>
  <c r="J346" i="23" s="1"/>
  <c r="M346" i="23" s="1"/>
  <c r="F346" i="23"/>
  <c r="M345" i="23"/>
  <c r="H343" i="23"/>
  <c r="J343" i="23" s="1"/>
  <c r="M343" i="23" s="1"/>
  <c r="F343" i="23"/>
  <c r="F342" i="23"/>
  <c r="H342" i="23" s="1"/>
  <c r="J342" i="23" s="1"/>
  <c r="M342" i="23" s="1"/>
  <c r="J341" i="23"/>
  <c r="F341" i="23"/>
  <c r="H341" i="23" s="1"/>
  <c r="M340" i="23"/>
  <c r="M339" i="23"/>
  <c r="J337" i="23"/>
  <c r="M337" i="23" s="1"/>
  <c r="H337" i="23"/>
  <c r="F337" i="23"/>
  <c r="J336" i="23"/>
  <c r="M336" i="23" s="1"/>
  <c r="H336" i="23"/>
  <c r="F336" i="23"/>
  <c r="J335" i="23"/>
  <c r="M335" i="23" s="1"/>
  <c r="H335" i="23"/>
  <c r="F335" i="23"/>
  <c r="J334" i="23"/>
  <c r="J338" i="23" s="1"/>
  <c r="M338" i="23" s="1"/>
  <c r="H334" i="23"/>
  <c r="F334" i="23"/>
  <c r="M333" i="23"/>
  <c r="J331" i="23"/>
  <c r="H331" i="23"/>
  <c r="F331" i="23"/>
  <c r="M330" i="23"/>
  <c r="F328" i="23"/>
  <c r="H328" i="23" s="1"/>
  <c r="J328" i="23" s="1"/>
  <c r="M328" i="23" s="1"/>
  <c r="J327" i="23"/>
  <c r="M327" i="23" s="1"/>
  <c r="F327" i="23"/>
  <c r="H327" i="23" s="1"/>
  <c r="F326" i="23"/>
  <c r="H326" i="23" s="1"/>
  <c r="J326" i="23" s="1"/>
  <c r="M326" i="23" s="1"/>
  <c r="H325" i="23"/>
  <c r="J325" i="23" s="1"/>
  <c r="M325" i="23" s="1"/>
  <c r="F325" i="23"/>
  <c r="F324" i="23"/>
  <c r="H324" i="23" s="1"/>
  <c r="J324" i="23" s="1"/>
  <c r="M323" i="23"/>
  <c r="F321" i="23"/>
  <c r="H321" i="23" s="1"/>
  <c r="J321" i="23" s="1"/>
  <c r="M321" i="23" s="1"/>
  <c r="M320" i="23"/>
  <c r="F320" i="23"/>
  <c r="H320" i="23" s="1"/>
  <c r="J320" i="23" s="1"/>
  <c r="H318" i="23"/>
  <c r="J318" i="23" s="1"/>
  <c r="M318" i="23" s="1"/>
  <c r="F318" i="23"/>
  <c r="H317" i="23"/>
  <c r="J317" i="23" s="1"/>
  <c r="F317" i="23"/>
  <c r="F316" i="23"/>
  <c r="H316" i="23" s="1"/>
  <c r="J316" i="23" s="1"/>
  <c r="M316" i="23" s="1"/>
  <c r="M315" i="23"/>
  <c r="F315" i="23"/>
  <c r="H315" i="23" s="1"/>
  <c r="J315" i="23" s="1"/>
  <c r="M314" i="23"/>
  <c r="F312" i="23"/>
  <c r="H312" i="23" s="1"/>
  <c r="J312" i="23" s="1"/>
  <c r="M312" i="23" s="1"/>
  <c r="H311" i="23"/>
  <c r="J311" i="23" s="1"/>
  <c r="M311" i="23" s="1"/>
  <c r="F311" i="23"/>
  <c r="T310" i="23"/>
  <c r="U310" i="23" s="1"/>
  <c r="S310" i="23"/>
  <c r="R310" i="23"/>
  <c r="Q310" i="23"/>
  <c r="F310" i="23"/>
  <c r="H310" i="23" s="1"/>
  <c r="J310" i="23" s="1"/>
  <c r="M310" i="23" s="1"/>
  <c r="U309" i="23"/>
  <c r="T309" i="23"/>
  <c r="R309" i="23"/>
  <c r="S309" i="23" s="1"/>
  <c r="Q309" i="23"/>
  <c r="M309" i="23"/>
  <c r="F309" i="23"/>
  <c r="H309" i="23" s="1"/>
  <c r="J309" i="23" s="1"/>
  <c r="U308" i="23"/>
  <c r="U311" i="23" s="1"/>
  <c r="U313" i="23" s="1"/>
  <c r="T308" i="23"/>
  <c r="R308" i="23"/>
  <c r="S308" i="23" s="1"/>
  <c r="S311" i="23" s="1"/>
  <c r="S313" i="23" s="1"/>
  <c r="Q308" i="23"/>
  <c r="F308" i="23"/>
  <c r="H308" i="23" s="1"/>
  <c r="J308" i="23" s="1"/>
  <c r="H307" i="23"/>
  <c r="J307" i="23" s="1"/>
  <c r="F307" i="23"/>
  <c r="M306" i="23"/>
  <c r="N305" i="23"/>
  <c r="F304" i="23"/>
  <c r="H304" i="23" s="1"/>
  <c r="J304" i="23" s="1"/>
  <c r="M303" i="23"/>
  <c r="H301" i="23"/>
  <c r="J301" i="23" s="1"/>
  <c r="M301" i="23" s="1"/>
  <c r="F301" i="23"/>
  <c r="F300" i="23"/>
  <c r="H300" i="23" s="1"/>
  <c r="J300" i="23" s="1"/>
  <c r="M300" i="23" s="1"/>
  <c r="H299" i="23"/>
  <c r="J299" i="23" s="1"/>
  <c r="M299" i="23" s="1"/>
  <c r="F299" i="23"/>
  <c r="F298" i="23"/>
  <c r="H298" i="23" s="1"/>
  <c r="J298" i="23" s="1"/>
  <c r="M297" i="23"/>
  <c r="F295" i="23"/>
  <c r="H295" i="23" s="1"/>
  <c r="J295" i="23" s="1"/>
  <c r="J296" i="23" s="1"/>
  <c r="M294" i="23"/>
  <c r="F292" i="23"/>
  <c r="H292" i="23" s="1"/>
  <c r="J292" i="23" s="1"/>
  <c r="H291" i="23"/>
  <c r="J291" i="23" s="1"/>
  <c r="M291" i="23" s="1"/>
  <c r="F291" i="23"/>
  <c r="N290" i="23"/>
  <c r="J290" i="23"/>
  <c r="M290" i="23" s="1"/>
  <c r="H290" i="23"/>
  <c r="F290" i="23"/>
  <c r="J289" i="23"/>
  <c r="M289" i="23" s="1"/>
  <c r="F289" i="23"/>
  <c r="H289" i="23" s="1"/>
  <c r="N288" i="23"/>
  <c r="F288" i="23"/>
  <c r="H288" i="23" s="1"/>
  <c r="J288" i="23" s="1"/>
  <c r="M288" i="23" s="1"/>
  <c r="N287" i="23"/>
  <c r="F287" i="23"/>
  <c r="H287" i="23" s="1"/>
  <c r="J287" i="23" s="1"/>
  <c r="M287" i="23" s="1"/>
  <c r="N289" i="23" s="1"/>
  <c r="H286" i="23"/>
  <c r="J286" i="23" s="1"/>
  <c r="M286" i="23" s="1"/>
  <c r="F286" i="23"/>
  <c r="F284" i="23"/>
  <c r="H284" i="23" s="1"/>
  <c r="J284" i="23" s="1"/>
  <c r="M284" i="23" s="1"/>
  <c r="F283" i="23"/>
  <c r="H283" i="23" s="1"/>
  <c r="J283" i="23" s="1"/>
  <c r="M283" i="23" s="1"/>
  <c r="Q282" i="23"/>
  <c r="Q283" i="23" s="1"/>
  <c r="H282" i="23"/>
  <c r="J282" i="23" s="1"/>
  <c r="F282" i="23"/>
  <c r="F281" i="23"/>
  <c r="H281" i="23" s="1"/>
  <c r="J281" i="23" s="1"/>
  <c r="M281" i="23" s="1"/>
  <c r="M280" i="23"/>
  <c r="H278" i="23"/>
  <c r="J278" i="23" s="1"/>
  <c r="M278" i="23" s="1"/>
  <c r="F278" i="23"/>
  <c r="F277" i="23"/>
  <c r="H277" i="23" s="1"/>
  <c r="J277" i="23" s="1"/>
  <c r="M277" i="23" s="1"/>
  <c r="H276" i="23"/>
  <c r="J276" i="23" s="1"/>
  <c r="M276" i="23" s="1"/>
  <c r="F276" i="23"/>
  <c r="F275" i="23"/>
  <c r="H275" i="23" s="1"/>
  <c r="J275" i="23" s="1"/>
  <c r="M274" i="23"/>
  <c r="F272" i="23"/>
  <c r="H272" i="23" s="1"/>
  <c r="J272" i="23" s="1"/>
  <c r="M272" i="23" s="1"/>
  <c r="M271" i="23"/>
  <c r="F271" i="23"/>
  <c r="H271" i="23" s="1"/>
  <c r="J271" i="23" s="1"/>
  <c r="J273" i="23" s="1"/>
  <c r="M270" i="23"/>
  <c r="M269" i="23"/>
  <c r="H267" i="23"/>
  <c r="J267" i="23" s="1"/>
  <c r="M267" i="23" s="1"/>
  <c r="F267" i="23"/>
  <c r="J266" i="23"/>
  <c r="M266" i="23" s="1"/>
  <c r="H266" i="23"/>
  <c r="F266" i="23"/>
  <c r="J265" i="23"/>
  <c r="M265" i="23" s="1"/>
  <c r="H265" i="23"/>
  <c r="F265" i="23"/>
  <c r="H264" i="23"/>
  <c r="J264" i="23" s="1"/>
  <c r="F264" i="23"/>
  <c r="M263" i="23"/>
  <c r="H261" i="23"/>
  <c r="J261" i="23" s="1"/>
  <c r="M261" i="23" s="1"/>
  <c r="F261" i="23"/>
  <c r="F260" i="23"/>
  <c r="H260" i="23" s="1"/>
  <c r="J260" i="23" s="1"/>
  <c r="M260" i="23" s="1"/>
  <c r="H259" i="23"/>
  <c r="J259" i="23" s="1"/>
  <c r="M259" i="23" s="1"/>
  <c r="F259" i="23"/>
  <c r="F258" i="23"/>
  <c r="H258" i="23" s="1"/>
  <c r="J258" i="23" s="1"/>
  <c r="H257" i="23"/>
  <c r="J257" i="23" s="1"/>
  <c r="M257" i="23" s="1"/>
  <c r="F257" i="23"/>
  <c r="M256" i="23"/>
  <c r="M255" i="23"/>
  <c r="M254" i="23"/>
  <c r="M253" i="23"/>
  <c r="M252" i="23"/>
  <c r="M251" i="23"/>
  <c r="G247" i="23"/>
  <c r="E247" i="23"/>
  <c r="D247" i="23"/>
  <c r="C247" i="23"/>
  <c r="G246" i="23"/>
  <c r="E246" i="23"/>
  <c r="D246" i="23"/>
  <c r="C246" i="23"/>
  <c r="G245" i="23"/>
  <c r="E245" i="23"/>
  <c r="D245" i="23"/>
  <c r="C245" i="23"/>
  <c r="M244" i="23"/>
  <c r="F242" i="23"/>
  <c r="H242" i="23" s="1"/>
  <c r="J242" i="23" s="1"/>
  <c r="M242" i="23" s="1"/>
  <c r="H241" i="23"/>
  <c r="J241" i="23" s="1"/>
  <c r="M241" i="23" s="1"/>
  <c r="F241" i="23"/>
  <c r="M240" i="23"/>
  <c r="J239" i="23"/>
  <c r="M239" i="23" s="1"/>
  <c r="M238" i="23"/>
  <c r="F238" i="23"/>
  <c r="H238" i="23" s="1"/>
  <c r="J238" i="23" s="1"/>
  <c r="M237" i="23"/>
  <c r="N235" i="23"/>
  <c r="H235" i="23"/>
  <c r="J235" i="23" s="1"/>
  <c r="M235" i="23" s="1"/>
  <c r="F235" i="23"/>
  <c r="F234" i="23"/>
  <c r="H234" i="23" s="1"/>
  <c r="J234" i="23" s="1"/>
  <c r="M234" i="23" s="1"/>
  <c r="H233" i="23"/>
  <c r="J233" i="23" s="1"/>
  <c r="M233" i="23" s="1"/>
  <c r="F233" i="23"/>
  <c r="F232" i="23"/>
  <c r="H232" i="23" s="1"/>
  <c r="J232" i="23" s="1"/>
  <c r="M231" i="23"/>
  <c r="F229" i="23"/>
  <c r="H229" i="23" s="1"/>
  <c r="J229" i="23" s="1"/>
  <c r="M229" i="23" s="1"/>
  <c r="M228" i="23"/>
  <c r="F228" i="23"/>
  <c r="H228" i="23" s="1"/>
  <c r="J228" i="23" s="1"/>
  <c r="J230" i="23" s="1"/>
  <c r="M227" i="23"/>
  <c r="M225" i="23"/>
  <c r="F225" i="23"/>
  <c r="H225" i="23" s="1"/>
  <c r="J225" i="23" s="1"/>
  <c r="F224" i="23"/>
  <c r="H224" i="23" s="1"/>
  <c r="J224" i="23" s="1"/>
  <c r="M224" i="23" s="1"/>
  <c r="M223" i="23"/>
  <c r="F223" i="23"/>
  <c r="H223" i="23" s="1"/>
  <c r="J223" i="23" s="1"/>
  <c r="M222" i="23"/>
  <c r="M220" i="23"/>
  <c r="J220" i="23"/>
  <c r="F220" i="23"/>
  <c r="H220" i="23" s="1"/>
  <c r="M219" i="23"/>
  <c r="F217" i="23"/>
  <c r="H217" i="23" s="1"/>
  <c r="J217" i="23" s="1"/>
  <c r="M217" i="23" s="1"/>
  <c r="M216" i="23"/>
  <c r="F216" i="23"/>
  <c r="H216" i="23" s="1"/>
  <c r="J216" i="23" s="1"/>
  <c r="F215" i="23"/>
  <c r="H215" i="23" s="1"/>
  <c r="J215" i="23" s="1"/>
  <c r="M215" i="23" s="1"/>
  <c r="H214" i="23"/>
  <c r="J214" i="23" s="1"/>
  <c r="M214" i="23" s="1"/>
  <c r="N215" i="23" s="1"/>
  <c r="N218" i="23" s="1"/>
  <c r="F214" i="23"/>
  <c r="F213" i="23"/>
  <c r="H213" i="23" s="1"/>
  <c r="J213" i="23" s="1"/>
  <c r="M212" i="23"/>
  <c r="F210" i="23"/>
  <c r="H210" i="23" s="1"/>
  <c r="J210" i="23" s="1"/>
  <c r="M210" i="23" s="1"/>
  <c r="M209" i="23"/>
  <c r="F209" i="23"/>
  <c r="H209" i="23" s="1"/>
  <c r="J209" i="23" s="1"/>
  <c r="J211" i="23" s="1"/>
  <c r="M208" i="23"/>
  <c r="M206" i="23"/>
  <c r="F206" i="23"/>
  <c r="H206" i="23" s="1"/>
  <c r="J206" i="23" s="1"/>
  <c r="F205" i="23"/>
  <c r="H205" i="23" s="1"/>
  <c r="J205" i="23" s="1"/>
  <c r="M205" i="23" s="1"/>
  <c r="M204" i="23"/>
  <c r="F204" i="23"/>
  <c r="H204" i="23" s="1"/>
  <c r="J204" i="23" s="1"/>
  <c r="M203" i="23"/>
  <c r="M201" i="23"/>
  <c r="J201" i="23"/>
  <c r="F201" i="23"/>
  <c r="H201" i="23" s="1"/>
  <c r="J200" i="23"/>
  <c r="J202" i="23" s="1"/>
  <c r="F200" i="23"/>
  <c r="H200" i="23" s="1"/>
  <c r="M199" i="23"/>
  <c r="M197" i="23"/>
  <c r="F197" i="23"/>
  <c r="H197" i="23" s="1"/>
  <c r="J197" i="23" s="1"/>
  <c r="F196" i="23"/>
  <c r="H196" i="23" s="1"/>
  <c r="J196" i="23" s="1"/>
  <c r="M196" i="23" s="1"/>
  <c r="M195" i="23"/>
  <c r="F195" i="23"/>
  <c r="H195" i="23" s="1"/>
  <c r="J195" i="23" s="1"/>
  <c r="F194" i="23"/>
  <c r="H194" i="23" s="1"/>
  <c r="J194" i="23" s="1"/>
  <c r="J198" i="23" s="1"/>
  <c r="M198" i="23" s="1"/>
  <c r="M193" i="23"/>
  <c r="F191" i="23"/>
  <c r="H191" i="23" s="1"/>
  <c r="J191" i="23" s="1"/>
  <c r="M190" i="23"/>
  <c r="M188" i="23"/>
  <c r="J188" i="23"/>
  <c r="F188" i="23"/>
  <c r="H188" i="23" s="1"/>
  <c r="J187" i="23"/>
  <c r="M187" i="23" s="1"/>
  <c r="F187" i="23"/>
  <c r="H187" i="23" s="1"/>
  <c r="F186" i="23"/>
  <c r="H186" i="23" s="1"/>
  <c r="J186" i="23" s="1"/>
  <c r="M186" i="23" s="1"/>
  <c r="F185" i="23"/>
  <c r="H185" i="23" s="1"/>
  <c r="J185" i="23" s="1"/>
  <c r="M185" i="23" s="1"/>
  <c r="F184" i="23"/>
  <c r="N183" i="23"/>
  <c r="M183" i="23"/>
  <c r="H183" i="23"/>
  <c r="J183" i="23" s="1"/>
  <c r="F183" i="23"/>
  <c r="H182" i="23"/>
  <c r="J182" i="23" s="1"/>
  <c r="F182" i="23"/>
  <c r="J180" i="23"/>
  <c r="M180" i="23" s="1"/>
  <c r="H180" i="23"/>
  <c r="F180" i="23"/>
  <c r="J179" i="23"/>
  <c r="M179" i="23" s="1"/>
  <c r="H179" i="23"/>
  <c r="F179" i="23"/>
  <c r="M178" i="23"/>
  <c r="M177" i="23"/>
  <c r="J177" i="23"/>
  <c r="F177" i="23"/>
  <c r="H177" i="23" s="1"/>
  <c r="J176" i="23"/>
  <c r="J181" i="23" s="1"/>
  <c r="M181" i="23" s="1"/>
  <c r="F176" i="23"/>
  <c r="H176" i="23" s="1"/>
  <c r="M175" i="23"/>
  <c r="H173" i="23"/>
  <c r="J173" i="23" s="1"/>
  <c r="F173" i="23"/>
  <c r="I172" i="23"/>
  <c r="F172" i="23"/>
  <c r="J171" i="23"/>
  <c r="M171" i="23" s="1"/>
  <c r="H171" i="23"/>
  <c r="F171" i="23"/>
  <c r="N170" i="23"/>
  <c r="N171" i="23" s="1"/>
  <c r="M170" i="23"/>
  <c r="J170" i="23"/>
  <c r="Q170" i="23" s="1"/>
  <c r="F170" i="23"/>
  <c r="H170" i="23" s="1"/>
  <c r="Q169" i="23"/>
  <c r="M169" i="23"/>
  <c r="H169" i="23"/>
  <c r="J169" i="23" s="1"/>
  <c r="F169" i="23"/>
  <c r="J168" i="23"/>
  <c r="H168" i="23"/>
  <c r="H246" i="23" s="1"/>
  <c r="F168" i="23"/>
  <c r="F246" i="23" s="1"/>
  <c r="T167" i="23"/>
  <c r="H167" i="23"/>
  <c r="J167" i="23" s="1"/>
  <c r="F167" i="23"/>
  <c r="J166" i="23"/>
  <c r="F166" i="23"/>
  <c r="H166" i="23" s="1"/>
  <c r="V165" i="23"/>
  <c r="V167" i="23" s="1"/>
  <c r="U165" i="23"/>
  <c r="U167" i="23" s="1"/>
  <c r="T165" i="23"/>
  <c r="Q165" i="23"/>
  <c r="M165" i="23"/>
  <c r="F163" i="23"/>
  <c r="H163" i="23" s="1"/>
  <c r="J163" i="23" s="1"/>
  <c r="F162" i="23"/>
  <c r="H162" i="23" s="1"/>
  <c r="J162" i="23" s="1"/>
  <c r="M161" i="23"/>
  <c r="M160" i="23"/>
  <c r="E160" i="23"/>
  <c r="E255" i="23" s="1"/>
  <c r="E531" i="23" s="1"/>
  <c r="D160" i="23"/>
  <c r="D255" i="23" s="1"/>
  <c r="D531" i="23" s="1"/>
  <c r="N159" i="23"/>
  <c r="M159" i="23"/>
  <c r="M158" i="23"/>
  <c r="M157" i="23"/>
  <c r="M156" i="23"/>
  <c r="G152" i="23"/>
  <c r="F152" i="23"/>
  <c r="E152" i="23"/>
  <c r="D152" i="23"/>
  <c r="C152" i="23"/>
  <c r="E151" i="23"/>
  <c r="F151" i="23" s="1"/>
  <c r="H151" i="23" s="1"/>
  <c r="J151" i="23" s="1"/>
  <c r="D151" i="23"/>
  <c r="M150" i="23"/>
  <c r="G148" i="23"/>
  <c r="F148" i="23"/>
  <c r="E148" i="23"/>
  <c r="D148" i="23"/>
  <c r="G147" i="23"/>
  <c r="F147" i="23"/>
  <c r="E147" i="23"/>
  <c r="D147" i="23"/>
  <c r="G146" i="23"/>
  <c r="F146" i="23"/>
  <c r="E146" i="23"/>
  <c r="D146" i="23"/>
  <c r="J145" i="23"/>
  <c r="M145" i="23" s="1"/>
  <c r="H145" i="23"/>
  <c r="G145" i="23"/>
  <c r="F145" i="23"/>
  <c r="E145" i="23"/>
  <c r="D145" i="23"/>
  <c r="C145" i="23"/>
  <c r="M144" i="23"/>
  <c r="F142" i="23"/>
  <c r="H142" i="23" s="1"/>
  <c r="J142" i="23" s="1"/>
  <c r="M142" i="23" s="1"/>
  <c r="F141" i="23"/>
  <c r="H141" i="23" s="1"/>
  <c r="J141" i="23" s="1"/>
  <c r="M141" i="23" s="1"/>
  <c r="F140" i="23"/>
  <c r="H140" i="23" s="1"/>
  <c r="J140" i="23" s="1"/>
  <c r="M139" i="23"/>
  <c r="M138" i="23"/>
  <c r="J137" i="23"/>
  <c r="M137" i="23" s="1"/>
  <c r="H137" i="23"/>
  <c r="F137" i="23"/>
  <c r="M136" i="23"/>
  <c r="F134" i="23"/>
  <c r="H134" i="23" s="1"/>
  <c r="J134" i="23" s="1"/>
  <c r="M134" i="23" s="1"/>
  <c r="F133" i="23"/>
  <c r="H133" i="23" s="1"/>
  <c r="J133" i="23" s="1"/>
  <c r="M132" i="23"/>
  <c r="M131" i="23"/>
  <c r="F130" i="23"/>
  <c r="H130" i="23" s="1"/>
  <c r="J130" i="23" s="1"/>
  <c r="M129" i="23"/>
  <c r="F127" i="23"/>
  <c r="H127" i="23" s="1"/>
  <c r="J127" i="23" s="1"/>
  <c r="F126" i="23"/>
  <c r="H126" i="23" s="1"/>
  <c r="J126" i="23" s="1"/>
  <c r="M126" i="23" s="1"/>
  <c r="M124" i="23"/>
  <c r="J123" i="23"/>
  <c r="J125" i="23" s="1"/>
  <c r="M125" i="23" s="1"/>
  <c r="H123" i="23"/>
  <c r="F123" i="23"/>
  <c r="M122" i="23"/>
  <c r="J120" i="23"/>
  <c r="M120" i="23" s="1"/>
  <c r="H120" i="23"/>
  <c r="F120" i="23"/>
  <c r="J119" i="23"/>
  <c r="M119" i="23" s="1"/>
  <c r="H119" i="23"/>
  <c r="F119" i="23"/>
  <c r="J118" i="23"/>
  <c r="M118" i="23" s="1"/>
  <c r="H118" i="23"/>
  <c r="F118" i="23"/>
  <c r="J117" i="23"/>
  <c r="M117" i="23" s="1"/>
  <c r="H117" i="23"/>
  <c r="F117" i="23"/>
  <c r="J116" i="23"/>
  <c r="M116" i="23" s="1"/>
  <c r="H116" i="23"/>
  <c r="F116" i="23"/>
  <c r="F114" i="23"/>
  <c r="H114" i="23" s="1"/>
  <c r="J114" i="23" s="1"/>
  <c r="M114" i="23" s="1"/>
  <c r="F113" i="23"/>
  <c r="H113" i="23" s="1"/>
  <c r="J113" i="23" s="1"/>
  <c r="M113" i="23" s="1"/>
  <c r="F112" i="23"/>
  <c r="H112" i="23" s="1"/>
  <c r="J112" i="23" s="1"/>
  <c r="M111" i="23"/>
  <c r="F109" i="23"/>
  <c r="H109" i="23" s="1"/>
  <c r="H108" i="23"/>
  <c r="F108" i="23"/>
  <c r="H107" i="23"/>
  <c r="J107" i="23" s="1"/>
  <c r="F107" i="23"/>
  <c r="M106" i="23"/>
  <c r="F104" i="23"/>
  <c r="H104" i="23" s="1"/>
  <c r="J104" i="23" s="1"/>
  <c r="M103" i="23"/>
  <c r="N101" i="23"/>
  <c r="M101" i="23"/>
  <c r="J100" i="23"/>
  <c r="M100" i="23" s="1"/>
  <c r="H100" i="23"/>
  <c r="F100" i="23"/>
  <c r="M99" i="23"/>
  <c r="H97" i="23"/>
  <c r="J97" i="23" s="1"/>
  <c r="F97" i="23"/>
  <c r="M96" i="23"/>
  <c r="M95" i="23"/>
  <c r="J93" i="23"/>
  <c r="M93" i="23" s="1"/>
  <c r="H93" i="23"/>
  <c r="F93" i="23"/>
  <c r="J92" i="23"/>
  <c r="J94" i="23" s="1"/>
  <c r="M94" i="23" s="1"/>
  <c r="H92" i="23"/>
  <c r="F92" i="23"/>
  <c r="M91" i="23"/>
  <c r="N90" i="23"/>
  <c r="J89" i="23"/>
  <c r="J90" i="23" s="1"/>
  <c r="H89" i="23"/>
  <c r="F89" i="23"/>
  <c r="M88" i="23"/>
  <c r="J86" i="23"/>
  <c r="M86" i="23" s="1"/>
  <c r="H86" i="23"/>
  <c r="F86" i="23"/>
  <c r="J85" i="23"/>
  <c r="M85" i="23" s="1"/>
  <c r="H85" i="23"/>
  <c r="F85" i="23"/>
  <c r="J84" i="23"/>
  <c r="M84" i="23" s="1"/>
  <c r="H84" i="23"/>
  <c r="F84" i="23"/>
  <c r="J83" i="23"/>
  <c r="M83" i="23" s="1"/>
  <c r="H83" i="23"/>
  <c r="F83" i="23"/>
  <c r="M82" i="23"/>
  <c r="H80" i="23"/>
  <c r="J80" i="23" s="1"/>
  <c r="M80" i="23" s="1"/>
  <c r="F80" i="23"/>
  <c r="H79" i="23"/>
  <c r="J79" i="23" s="1"/>
  <c r="F79" i="23"/>
  <c r="M78" i="23"/>
  <c r="H76" i="23"/>
  <c r="J76" i="23" s="1"/>
  <c r="M76" i="23" s="1"/>
  <c r="F76" i="23"/>
  <c r="H75" i="23"/>
  <c r="J75" i="23" s="1"/>
  <c r="M75" i="23" s="1"/>
  <c r="F75" i="23"/>
  <c r="H74" i="23"/>
  <c r="J74" i="23" s="1"/>
  <c r="M74" i="23" s="1"/>
  <c r="F74" i="23"/>
  <c r="H73" i="23"/>
  <c r="J73" i="23" s="1"/>
  <c r="M73" i="23" s="1"/>
  <c r="F73" i="23"/>
  <c r="H72" i="23"/>
  <c r="J72" i="23" s="1"/>
  <c r="F72" i="23"/>
  <c r="M71" i="23"/>
  <c r="M69" i="23"/>
  <c r="H68" i="23"/>
  <c r="J68" i="23" s="1"/>
  <c r="F68" i="23"/>
  <c r="M67" i="23"/>
  <c r="H65" i="23"/>
  <c r="J65" i="23" s="1"/>
  <c r="M65" i="23" s="1"/>
  <c r="F65" i="23"/>
  <c r="H64" i="23"/>
  <c r="J64" i="23" s="1"/>
  <c r="M64" i="23" s="1"/>
  <c r="F64" i="23"/>
  <c r="H63" i="23"/>
  <c r="J63" i="23" s="1"/>
  <c r="F63" i="23"/>
  <c r="M62" i="23"/>
  <c r="M60" i="23"/>
  <c r="H59" i="23"/>
  <c r="J59" i="23" s="1"/>
  <c r="M59" i="23" s="1"/>
  <c r="F59" i="23"/>
  <c r="H58" i="23"/>
  <c r="J58" i="23" s="1"/>
  <c r="F58" i="23"/>
  <c r="M57" i="23"/>
  <c r="H55" i="23"/>
  <c r="J55" i="23" s="1"/>
  <c r="M55" i="23" s="1"/>
  <c r="F55" i="23"/>
  <c r="H54" i="23"/>
  <c r="J54" i="23" s="1"/>
  <c r="F54" i="23"/>
  <c r="M53" i="23"/>
  <c r="F51" i="23"/>
  <c r="H51" i="23" s="1"/>
  <c r="J51" i="23" s="1"/>
  <c r="M51" i="23" s="1"/>
  <c r="F50" i="23"/>
  <c r="H50" i="23" s="1"/>
  <c r="J50" i="23" s="1"/>
  <c r="M49" i="23"/>
  <c r="H48" i="23"/>
  <c r="H47" i="23"/>
  <c r="J47" i="23" s="1"/>
  <c r="M47" i="23" s="1"/>
  <c r="F47" i="23"/>
  <c r="H46" i="23"/>
  <c r="J46" i="23" s="1"/>
  <c r="M46" i="23" s="1"/>
  <c r="F46" i="23"/>
  <c r="H45" i="23"/>
  <c r="J45" i="23" s="1"/>
  <c r="F45" i="23"/>
  <c r="M44" i="23"/>
  <c r="M42" i="23"/>
  <c r="H41" i="23"/>
  <c r="J41" i="23" s="1"/>
  <c r="M41" i="23" s="1"/>
  <c r="F41" i="23"/>
  <c r="H40" i="23"/>
  <c r="J40" i="23" s="1"/>
  <c r="F40" i="23"/>
  <c r="M39" i="23"/>
  <c r="H37" i="23"/>
  <c r="J37" i="23" s="1"/>
  <c r="M37" i="23" s="1"/>
  <c r="F37" i="23"/>
  <c r="H36" i="23"/>
  <c r="J36" i="23" s="1"/>
  <c r="M36" i="23" s="1"/>
  <c r="F36" i="23"/>
  <c r="P35" i="23"/>
  <c r="Q35" i="23" s="1"/>
  <c r="F35" i="23"/>
  <c r="H35" i="23" s="1"/>
  <c r="P34" i="23"/>
  <c r="O34" i="23"/>
  <c r="H34" i="23"/>
  <c r="H152" i="23" s="1"/>
  <c r="F34" i="23"/>
  <c r="M33" i="23"/>
  <c r="H31" i="23"/>
  <c r="J31" i="23" s="1"/>
  <c r="F31" i="23"/>
  <c r="M30" i="23"/>
  <c r="H28" i="23"/>
  <c r="J28" i="23" s="1"/>
  <c r="M28" i="23" s="1"/>
  <c r="F28" i="23"/>
  <c r="H27" i="23"/>
  <c r="J27" i="23" s="1"/>
  <c r="M27" i="23" s="1"/>
  <c r="F27" i="23"/>
  <c r="H26" i="23"/>
  <c r="J26" i="23" s="1"/>
  <c r="F26" i="23"/>
  <c r="M25" i="23"/>
  <c r="M23" i="23"/>
  <c r="H22" i="23"/>
  <c r="J22" i="23" s="1"/>
  <c r="F22" i="23"/>
  <c r="M21" i="23"/>
  <c r="N19" i="23"/>
  <c r="O19" i="23" s="1"/>
  <c r="F19" i="23"/>
  <c r="H19" i="23" s="1"/>
  <c r="J19" i="23" s="1"/>
  <c r="M19" i="23" s="1"/>
  <c r="F18" i="23"/>
  <c r="H18" i="23" s="1"/>
  <c r="J18" i="23" s="1"/>
  <c r="M18" i="23" s="1"/>
  <c r="F17" i="23"/>
  <c r="H17" i="23" s="1"/>
  <c r="J17" i="23" s="1"/>
  <c r="M17" i="23" s="1"/>
  <c r="N16" i="23"/>
  <c r="F16" i="23"/>
  <c r="H16" i="23" s="1"/>
  <c r="J16" i="23" s="1"/>
  <c r="M16" i="23" s="1"/>
  <c r="H15" i="23"/>
  <c r="J15" i="23" s="1"/>
  <c r="M15" i="23" s="1"/>
  <c r="F15" i="23"/>
  <c r="H14" i="23"/>
  <c r="J14" i="23" s="1"/>
  <c r="F14" i="23"/>
  <c r="M13" i="23"/>
  <c r="F11" i="23"/>
  <c r="H11" i="23" s="1"/>
  <c r="J11" i="23" s="1"/>
  <c r="M11" i="23" s="1"/>
  <c r="F10" i="23"/>
  <c r="H10" i="23" s="1"/>
  <c r="J10" i="23" s="1"/>
  <c r="M10" i="23" s="1"/>
  <c r="F9" i="23"/>
  <c r="H9" i="23" s="1"/>
  <c r="J9" i="23" s="1"/>
  <c r="M9" i="23" s="1"/>
  <c r="M8" i="23"/>
  <c r="H7" i="23"/>
  <c r="J7" i="23" s="1"/>
  <c r="M7" i="23" s="1"/>
  <c r="F7" i="23"/>
  <c r="H6" i="23"/>
  <c r="J6" i="23" s="1"/>
  <c r="F6" i="23"/>
  <c r="D2" i="23"/>
  <c r="E529" i="23" s="1"/>
  <c r="D158" i="23" l="1"/>
  <c r="D253" i="23" s="1"/>
  <c r="M50" i="23"/>
  <c r="J52" i="23"/>
  <c r="M112" i="23"/>
  <c r="J115" i="23"/>
  <c r="J128" i="23"/>
  <c r="M128" i="23" s="1"/>
  <c r="M127" i="23"/>
  <c r="J192" i="23"/>
  <c r="M191" i="23"/>
  <c r="J329" i="23"/>
  <c r="M329" i="23" s="1"/>
  <c r="M324" i="23"/>
  <c r="O622" i="23"/>
  <c r="M621" i="23"/>
  <c r="J32" i="23"/>
  <c r="M32" i="23" s="1"/>
  <c r="M31" i="23"/>
  <c r="M45" i="23"/>
  <c r="J48" i="23"/>
  <c r="M48" i="23" s="1"/>
  <c r="J61" i="23"/>
  <c r="M58" i="23"/>
  <c r="E714" i="23"/>
  <c r="E715" i="23" s="1"/>
  <c r="J81" i="23"/>
  <c r="M79" i="23"/>
  <c r="M133" i="23"/>
  <c r="N133" i="23" s="1"/>
  <c r="J135" i="23"/>
  <c r="M135" i="23" s="1"/>
  <c r="M211" i="23"/>
  <c r="M213" i="23"/>
  <c r="J218" i="23"/>
  <c r="M218" i="23" s="1"/>
  <c r="M292" i="23"/>
  <c r="O292" i="23"/>
  <c r="M298" i="23"/>
  <c r="J302" i="23"/>
  <c r="M302" i="23" s="1"/>
  <c r="M308" i="23"/>
  <c r="N315" i="23"/>
  <c r="N316" i="23" s="1"/>
  <c r="J319" i="23"/>
  <c r="M317" i="23"/>
  <c r="J12" i="23"/>
  <c r="M6" i="23"/>
  <c r="M22" i="23"/>
  <c r="J24" i="23"/>
  <c r="J29" i="23"/>
  <c r="M29" i="23" s="1"/>
  <c r="M26" i="23"/>
  <c r="M68" i="23"/>
  <c r="J70" i="23"/>
  <c r="J77" i="23"/>
  <c r="M77" i="23" s="1"/>
  <c r="M72" i="23"/>
  <c r="I108" i="23"/>
  <c r="J108" i="23" s="1"/>
  <c r="J109" i="23"/>
  <c r="M109" i="23" s="1"/>
  <c r="M130" i="23"/>
  <c r="N130" i="23" s="1"/>
  <c r="N134" i="23"/>
  <c r="M151" i="23"/>
  <c r="M162" i="23"/>
  <c r="Q162" i="23"/>
  <c r="J164" i="23"/>
  <c r="M273" i="23"/>
  <c r="K279" i="23"/>
  <c r="M275" i="23"/>
  <c r="J279" i="23"/>
  <c r="M279" i="23" s="1"/>
  <c r="J56" i="23"/>
  <c r="M56" i="23" s="1"/>
  <c r="M54" i="23"/>
  <c r="K94" i="23"/>
  <c r="M90" i="23"/>
  <c r="J98" i="23"/>
  <c r="M98" i="23" s="1"/>
  <c r="M97" i="23"/>
  <c r="M104" i="23"/>
  <c r="J105" i="23"/>
  <c r="M105" i="23" s="1"/>
  <c r="Q167" i="23"/>
  <c r="S167" i="23"/>
  <c r="M167" i="23"/>
  <c r="M304" i="23"/>
  <c r="J305" i="23"/>
  <c r="M140" i="23"/>
  <c r="N140" i="23"/>
  <c r="J143" i="23"/>
  <c r="M143" i="23" s="1"/>
  <c r="N143" i="23"/>
  <c r="N144" i="23" s="1"/>
  <c r="J20" i="23"/>
  <c r="M14" i="23"/>
  <c r="N15" i="23" s="1"/>
  <c r="J35" i="23"/>
  <c r="M35" i="23" s="1"/>
  <c r="P32" i="23"/>
  <c r="J43" i="23"/>
  <c r="M40" i="23"/>
  <c r="J66" i="23"/>
  <c r="M66" i="23" s="1"/>
  <c r="M63" i="23"/>
  <c r="M107" i="23"/>
  <c r="Q163" i="23"/>
  <c r="M163" i="23"/>
  <c r="M173" i="23"/>
  <c r="Q173" i="23"/>
  <c r="M230" i="23"/>
  <c r="M232" i="23"/>
  <c r="J236" i="23"/>
  <c r="M236" i="23" s="1"/>
  <c r="M258" i="23"/>
  <c r="J262" i="23"/>
  <c r="J268" i="23"/>
  <c r="M264" i="23"/>
  <c r="M296" i="23"/>
  <c r="M399" i="23"/>
  <c r="J401" i="23"/>
  <c r="P406" i="23"/>
  <c r="M448" i="23"/>
  <c r="J451" i="23"/>
  <c r="M490" i="23"/>
  <c r="J102" i="23"/>
  <c r="M102" i="23" s="1"/>
  <c r="M168" i="23"/>
  <c r="J246" i="23"/>
  <c r="M246" i="23" s="1"/>
  <c r="N197" i="23"/>
  <c r="J207" i="23"/>
  <c r="M207" i="23" s="1"/>
  <c r="J226" i="23"/>
  <c r="M226" i="23" s="1"/>
  <c r="J456" i="23"/>
  <c r="M456" i="23" s="1"/>
  <c r="I455" i="23"/>
  <c r="J455" i="23" s="1"/>
  <c r="M501" i="23"/>
  <c r="J503" i="23"/>
  <c r="M504" i="23" s="1"/>
  <c r="M537" i="23"/>
  <c r="J538" i="23"/>
  <c r="J34" i="23"/>
  <c r="M89" i="23"/>
  <c r="M92" i="23"/>
  <c r="Q168" i="23"/>
  <c r="M182" i="23"/>
  <c r="M194" i="23"/>
  <c r="M341" i="23"/>
  <c r="N342" i="23" s="1"/>
  <c r="J344" i="23"/>
  <c r="M423" i="23"/>
  <c r="J424" i="23"/>
  <c r="M424" i="23" s="1"/>
  <c r="K429" i="23"/>
  <c r="J436" i="23"/>
  <c r="M436" i="23" s="1"/>
  <c r="J551" i="23"/>
  <c r="M551" i="23" s="1"/>
  <c r="M550" i="23"/>
  <c r="M554" i="23"/>
  <c r="J562" i="23"/>
  <c r="M562" i="23" s="1"/>
  <c r="M573" i="23"/>
  <c r="J576" i="23"/>
  <c r="M578" i="23"/>
  <c r="N579" i="23"/>
  <c r="O579" i="23" s="1"/>
  <c r="J632" i="23"/>
  <c r="M632" i="23" s="1"/>
  <c r="M627" i="23"/>
  <c r="J637" i="23"/>
  <c r="M634" i="23"/>
  <c r="M681" i="23"/>
  <c r="J87" i="23"/>
  <c r="M87" i="23" s="1"/>
  <c r="J121" i="23"/>
  <c r="M121" i="23" s="1"/>
  <c r="K128" i="23"/>
  <c r="K143" i="23"/>
  <c r="H147" i="23"/>
  <c r="Q166" i="23"/>
  <c r="Q171" i="23"/>
  <c r="F245" i="23"/>
  <c r="H184" i="23"/>
  <c r="M295" i="23"/>
  <c r="Q311" i="23"/>
  <c r="Q313" i="23" s="1"/>
  <c r="H376" i="23"/>
  <c r="J362" i="23"/>
  <c r="J397" i="23"/>
  <c r="M397" i="23" s="1"/>
  <c r="J415" i="23"/>
  <c r="M409" i="23"/>
  <c r="M434" i="23"/>
  <c r="I436" i="23"/>
  <c r="J487" i="23"/>
  <c r="M486" i="23"/>
  <c r="M547" i="23"/>
  <c r="M616" i="23"/>
  <c r="O617" i="23"/>
  <c r="J654" i="23"/>
  <c r="M653" i="23"/>
  <c r="M202" i="23"/>
  <c r="K207" i="23"/>
  <c r="M375" i="23"/>
  <c r="P386" i="23"/>
  <c r="M386" i="23"/>
  <c r="M391" i="23"/>
  <c r="K397" i="23"/>
  <c r="P405" i="23"/>
  <c r="M400" i="23"/>
  <c r="I420" i="23"/>
  <c r="J420" i="23" s="1"/>
  <c r="M420" i="23" s="1"/>
  <c r="M442" i="23"/>
  <c r="J446" i="23"/>
  <c r="M446" i="23" s="1"/>
  <c r="M464" i="23"/>
  <c r="J466" i="23"/>
  <c r="M565" i="23"/>
  <c r="J566" i="23"/>
  <c r="O612" i="23"/>
  <c r="M611" i="23"/>
  <c r="M123" i="23"/>
  <c r="M166" i="23"/>
  <c r="M176" i="23"/>
  <c r="M200" i="23"/>
  <c r="N368" i="23"/>
  <c r="N369" i="23" s="1"/>
  <c r="M368" i="23"/>
  <c r="J373" i="23"/>
  <c r="M373" i="23" s="1"/>
  <c r="J387" i="23"/>
  <c r="M387" i="23" s="1"/>
  <c r="M381" i="23"/>
  <c r="J440" i="23"/>
  <c r="J498" i="23"/>
  <c r="M494" i="23"/>
  <c r="J147" i="23"/>
  <c r="M147" i="23" s="1"/>
  <c r="F247" i="23"/>
  <c r="H172" i="23"/>
  <c r="K226" i="23"/>
  <c r="J221" i="23"/>
  <c r="M221" i="23" s="1"/>
  <c r="J243" i="23"/>
  <c r="M282" i="23"/>
  <c r="J285" i="23"/>
  <c r="J293" i="23"/>
  <c r="M293" i="23" s="1"/>
  <c r="M307" i="23"/>
  <c r="J313" i="23"/>
  <c r="M313" i="23" s="1"/>
  <c r="M331" i="23"/>
  <c r="J332" i="23"/>
  <c r="J349" i="23"/>
  <c r="M349" i="23" s="1"/>
  <c r="J360" i="23"/>
  <c r="M360" i="23" s="1"/>
  <c r="M352" i="23"/>
  <c r="J407" i="23"/>
  <c r="M407" i="23" s="1"/>
  <c r="M432" i="23"/>
  <c r="M468" i="23"/>
  <c r="J469" i="23"/>
  <c r="J483" i="23"/>
  <c r="M483" i="23" s="1"/>
  <c r="M480" i="23"/>
  <c r="M489" i="23"/>
  <c r="J492" i="23"/>
  <c r="M492" i="23" s="1"/>
  <c r="J491" i="23"/>
  <c r="M491" i="23" s="1"/>
  <c r="L490" i="23"/>
  <c r="M507" i="23"/>
  <c r="J508" i="23"/>
  <c r="M568" i="23"/>
  <c r="J571" i="23"/>
  <c r="M571" i="23" s="1"/>
  <c r="O616" i="23"/>
  <c r="M615" i="23"/>
  <c r="Q357" i="23"/>
  <c r="O357" i="23"/>
  <c r="P357" i="23" s="1"/>
  <c r="F523" i="23"/>
  <c r="H417" i="23"/>
  <c r="J478" i="23"/>
  <c r="M477" i="23"/>
  <c r="J510" i="23"/>
  <c r="J593" i="23"/>
  <c r="M617" i="23"/>
  <c r="O618" i="23"/>
  <c r="M683" i="23"/>
  <c r="J688" i="23"/>
  <c r="M694" i="23" s="1"/>
  <c r="M334" i="23"/>
  <c r="M357" i="23"/>
  <c r="J429" i="23"/>
  <c r="M429" i="23" s="1"/>
  <c r="M461" i="23"/>
  <c r="J522" i="23"/>
  <c r="M520" i="23"/>
  <c r="J545" i="23"/>
  <c r="M541" i="23"/>
  <c r="J596" i="23"/>
  <c r="M596" i="23" s="1"/>
  <c r="O596" i="23"/>
  <c r="J646" i="23"/>
  <c r="M645" i="23"/>
  <c r="J512" i="23"/>
  <c r="M513" i="23" s="1"/>
  <c r="M663" i="23"/>
  <c r="I665" i="23"/>
  <c r="J665" i="23" s="1"/>
  <c r="P356" i="23"/>
  <c r="I579" i="23"/>
  <c r="N581" i="23" s="1"/>
  <c r="O598" i="23"/>
  <c r="J598" i="23"/>
  <c r="M598" i="23" s="1"/>
  <c r="M618" i="23"/>
  <c r="J643" i="23"/>
  <c r="M643" i="23" s="1"/>
  <c r="M639" i="23"/>
  <c r="J603" i="23"/>
  <c r="K633" i="23"/>
  <c r="M625" i="23"/>
  <c r="P586" i="23"/>
  <c r="N586" i="23"/>
  <c r="N587" i="23" s="1"/>
  <c r="J599" i="23"/>
  <c r="M599" i="23" s="1"/>
  <c r="J608" i="23"/>
  <c r="M608" i="23" s="1"/>
  <c r="M605" i="23"/>
  <c r="O611" i="23"/>
  <c r="M610" i="23"/>
  <c r="J612" i="23"/>
  <c r="K678" i="23"/>
  <c r="J672" i="23"/>
  <c r="M672" i="23" s="1"/>
  <c r="D19" i="8"/>
  <c r="M108" i="23" l="1"/>
  <c r="J110" i="23"/>
  <c r="M455" i="23"/>
  <c r="J459" i="23"/>
  <c r="M459" i="23" s="1"/>
  <c r="J669" i="23"/>
  <c r="M665" i="23"/>
  <c r="K622" i="23"/>
  <c r="O613" i="23"/>
  <c r="M612" i="23"/>
  <c r="H523" i="23"/>
  <c r="J417" i="23"/>
  <c r="M332" i="23"/>
  <c r="K338" i="23"/>
  <c r="M362" i="23"/>
  <c r="J365" i="23"/>
  <c r="J376" i="23"/>
  <c r="J184" i="23"/>
  <c r="H146" i="23"/>
  <c r="H245" i="23"/>
  <c r="J245" i="23" s="1"/>
  <c r="M637" i="23"/>
  <c r="K644" i="23"/>
  <c r="M539" i="23"/>
  <c r="K546" i="23"/>
  <c r="M164" i="23"/>
  <c r="Q164" i="23"/>
  <c r="M70" i="23"/>
  <c r="K77" i="23"/>
  <c r="M466" i="23"/>
  <c r="K466" i="23"/>
  <c r="M20" i="23"/>
  <c r="J322" i="23"/>
  <c r="M319" i="23"/>
  <c r="K198" i="23"/>
  <c r="M192" i="23"/>
  <c r="K609" i="23"/>
  <c r="M603" i="23"/>
  <c r="J579" i="23"/>
  <c r="K600" i="23"/>
  <c r="M593" i="23"/>
  <c r="J172" i="23"/>
  <c r="H148" i="23"/>
  <c r="H247" i="23"/>
  <c r="K504" i="23"/>
  <c r="M498" i="23"/>
  <c r="J552" i="23"/>
  <c r="J701" i="23" s="1"/>
  <c r="M415" i="23"/>
  <c r="K688" i="23"/>
  <c r="M576" i="23"/>
  <c r="K302" i="23"/>
  <c r="K268" i="23"/>
  <c r="M262" i="23"/>
  <c r="M61" i="23"/>
  <c r="K66" i="23"/>
  <c r="M52" i="23"/>
  <c r="K56" i="23"/>
  <c r="M509" i="23"/>
  <c r="M469" i="23"/>
  <c r="K475" i="23"/>
  <c r="M344" i="23"/>
  <c r="J350" i="23"/>
  <c r="M401" i="23"/>
  <c r="K407" i="23"/>
  <c r="M24" i="23"/>
  <c r="K29" i="23"/>
  <c r="K121" i="23"/>
  <c r="M115" i="23"/>
  <c r="M523" i="23"/>
  <c r="K523" i="23"/>
  <c r="K483" i="23"/>
  <c r="M478" i="23"/>
  <c r="M285" i="23"/>
  <c r="K293" i="23"/>
  <c r="M487" i="23"/>
  <c r="K492" i="23"/>
  <c r="M451" i="23"/>
  <c r="M268" i="23"/>
  <c r="L268" i="23"/>
  <c r="K48" i="23"/>
  <c r="M43" i="23"/>
  <c r="M646" i="23"/>
  <c r="K652" i="23"/>
  <c r="M546" i="23"/>
  <c r="J514" i="23"/>
  <c r="M515" i="23" s="1"/>
  <c r="M511" i="23"/>
  <c r="M243" i="23"/>
  <c r="K243" i="23"/>
  <c r="M440" i="23"/>
  <c r="K446" i="23"/>
  <c r="K572" i="23"/>
  <c r="M566" i="23"/>
  <c r="K660" i="23"/>
  <c r="M654" i="23"/>
  <c r="J437" i="23"/>
  <c r="J152" i="23"/>
  <c r="J38" i="23"/>
  <c r="M34" i="23"/>
  <c r="K236" i="23"/>
  <c r="K313" i="23"/>
  <c r="M305" i="23"/>
  <c r="K102" i="23"/>
  <c r="K135" i="23"/>
  <c r="M12" i="23"/>
  <c r="K20" i="23"/>
  <c r="K218" i="23"/>
  <c r="K87" i="23"/>
  <c r="M81" i="23"/>
  <c r="M702" i="23" l="1"/>
  <c r="M152" i="23"/>
  <c r="J153" i="23"/>
  <c r="M153" i="23" s="1"/>
  <c r="Q172" i="23"/>
  <c r="J247" i="23"/>
  <c r="M247" i="23" s="1"/>
  <c r="M172" i="23"/>
  <c r="J148" i="23"/>
  <c r="M148" i="23" s="1"/>
  <c r="J174" i="23"/>
  <c r="M376" i="23"/>
  <c r="J379" i="23"/>
  <c r="M437" i="23"/>
  <c r="K437" i="23"/>
  <c r="K459" i="23"/>
  <c r="M350" i="23"/>
  <c r="K360" i="23"/>
  <c r="K515" i="23"/>
  <c r="M322" i="23"/>
  <c r="K329" i="23"/>
  <c r="M245" i="23"/>
  <c r="J146" i="23"/>
  <c r="J248" i="23"/>
  <c r="K373" i="23"/>
  <c r="M365" i="23"/>
  <c r="J523" i="23"/>
  <c r="M524" i="23" s="1"/>
  <c r="M417" i="23"/>
  <c r="J421" i="23"/>
  <c r="M110" i="23"/>
  <c r="K110" i="23"/>
  <c r="M38" i="23"/>
  <c r="K38" i="23"/>
  <c r="K563" i="23"/>
  <c r="M552" i="23"/>
  <c r="M579" i="23"/>
  <c r="J588" i="23"/>
  <c r="M184" i="23"/>
  <c r="J189" i="23"/>
  <c r="M669" i="23"/>
  <c r="K670" i="23"/>
  <c r="M146" i="23" l="1"/>
  <c r="J149" i="23"/>
  <c r="M588" i="23"/>
  <c r="K589" i="23"/>
  <c r="J702" i="23"/>
  <c r="M421" i="23"/>
  <c r="K421" i="23"/>
  <c r="J526" i="23"/>
  <c r="K387" i="23"/>
  <c r="M379" i="23"/>
  <c r="M189" i="23"/>
  <c r="K189" i="23"/>
  <c r="M248" i="23"/>
  <c r="J249" i="23"/>
  <c r="M174" i="23"/>
  <c r="J250" i="23"/>
  <c r="M250" i="23" s="1"/>
  <c r="Q174" i="23"/>
  <c r="K174" i="23"/>
  <c r="K42" i="7"/>
  <c r="M92" i="6"/>
  <c r="M249" i="23" l="1"/>
  <c r="K250" i="23"/>
  <c r="M149" i="23"/>
  <c r="J154" i="23"/>
  <c r="J155" i="23"/>
  <c r="M527" i="23"/>
  <c r="M703" i="23"/>
  <c r="K702" i="23"/>
  <c r="M154" i="23" l="1"/>
  <c r="K155" i="23"/>
  <c r="J704" i="23"/>
  <c r="M155" i="23"/>
  <c r="V34" i="12"/>
  <c r="M704" i="23" l="1"/>
  <c r="T137" i="12"/>
  <c r="T148" i="12"/>
  <c r="T159" i="12"/>
  <c r="T173" i="12"/>
  <c r="T124" i="12"/>
  <c r="T129" i="12"/>
  <c r="J690" i="10" l="1"/>
  <c r="M690" i="10" s="1"/>
  <c r="H705" i="10"/>
  <c r="H706" i="10" s="1"/>
  <c r="G40" i="12" l="1"/>
  <c r="I271" i="5" l="1"/>
  <c r="E275" i="5" s="1"/>
  <c r="E276" i="5" s="1"/>
  <c r="J535" i="10" l="1"/>
  <c r="F418" i="10" l="1"/>
  <c r="H90" i="3" l="1"/>
  <c r="H88" i="3"/>
  <c r="H89" i="3"/>
  <c r="H91" i="3"/>
  <c r="H92" i="3"/>
  <c r="H93" i="3"/>
  <c r="H94" i="3"/>
  <c r="H95" i="3"/>
  <c r="H96" i="3"/>
  <c r="H97" i="3"/>
  <c r="H87" i="3"/>
  <c r="J8" i="24" l="1"/>
  <c r="L8" i="24" s="1"/>
  <c r="J12" i="24"/>
  <c r="J15" i="24"/>
  <c r="J16" i="24"/>
  <c r="J19" i="24"/>
  <c r="L19" i="24" s="1"/>
  <c r="J23" i="24"/>
  <c r="J27" i="24"/>
  <c r="J32" i="24"/>
  <c r="J34" i="24"/>
  <c r="L34" i="24" s="1"/>
  <c r="N34" i="24" s="1"/>
  <c r="J36" i="24"/>
  <c r="L36" i="24" s="1"/>
  <c r="J39" i="24"/>
  <c r="L39" i="24" s="1"/>
  <c r="N39" i="24" s="1"/>
  <c r="J40" i="24"/>
  <c r="L40" i="24" s="1"/>
  <c r="J38" i="24"/>
  <c r="L38" i="24" s="1"/>
  <c r="N38" i="24" s="1"/>
  <c r="J37" i="24"/>
  <c r="L37" i="24" s="1"/>
  <c r="N37" i="24" s="1"/>
  <c r="J35" i="24"/>
  <c r="L35" i="24" s="1"/>
  <c r="N35" i="24" s="1"/>
  <c r="J33" i="24"/>
  <c r="L33" i="24" s="1"/>
  <c r="N33" i="24" s="1"/>
  <c r="J31" i="24"/>
  <c r="L31" i="24" s="1"/>
  <c r="J30" i="24"/>
  <c r="J29" i="24"/>
  <c r="L29" i="24" s="1"/>
  <c r="N29" i="24" s="1"/>
  <c r="J28" i="24"/>
  <c r="J26" i="24"/>
  <c r="L26" i="24" s="1"/>
  <c r="N26" i="24" s="1"/>
  <c r="J25" i="24"/>
  <c r="L25" i="24" s="1"/>
  <c r="N25" i="24" s="1"/>
  <c r="J24" i="24"/>
  <c r="J22" i="24"/>
  <c r="L22" i="24" s="1"/>
  <c r="N22" i="24" s="1"/>
  <c r="J21" i="24"/>
  <c r="L21" i="24" s="1"/>
  <c r="N21" i="24" s="1"/>
  <c r="J20" i="24"/>
  <c r="J18" i="24"/>
  <c r="L18" i="24" s="1"/>
  <c r="N18" i="24" s="1"/>
  <c r="J17" i="24"/>
  <c r="L17" i="24" s="1"/>
  <c r="N17" i="24" s="1"/>
  <c r="J14" i="24"/>
  <c r="L14" i="24" s="1"/>
  <c r="N14" i="24" s="1"/>
  <c r="J13" i="24"/>
  <c r="L13" i="24" s="1"/>
  <c r="N13" i="24" s="1"/>
  <c r="J11" i="24"/>
  <c r="J10" i="24"/>
  <c r="L10" i="24" s="1"/>
  <c r="N10" i="24" s="1"/>
  <c r="J9" i="24"/>
  <c r="L9" i="24" s="1"/>
  <c r="N9" i="24" s="1"/>
  <c r="J7" i="24"/>
  <c r="J6" i="24"/>
  <c r="L6" i="24" s="1"/>
  <c r="N6" i="24" s="1"/>
  <c r="J5" i="24"/>
  <c r="L5" i="24" s="1"/>
  <c r="N5" i="24" s="1"/>
  <c r="H99" i="25"/>
  <c r="H97" i="25"/>
  <c r="H96" i="25"/>
  <c r="H101" i="25" s="1"/>
  <c r="H95" i="25"/>
  <c r="H94" i="25"/>
  <c r="H93" i="25"/>
  <c r="H92" i="25"/>
  <c r="H91" i="25"/>
  <c r="H90" i="25"/>
  <c r="H89" i="25"/>
  <c r="H88" i="25"/>
  <c r="H87" i="25"/>
  <c r="H100" i="25" s="1"/>
  <c r="H84" i="25"/>
  <c r="H83" i="25"/>
  <c r="H82" i="25"/>
  <c r="H81" i="25"/>
  <c r="H80" i="25"/>
  <c r="H85" i="25" s="1"/>
  <c r="I102" i="25" s="1"/>
  <c r="H65" i="25"/>
  <c r="H63" i="25"/>
  <c r="H61" i="25"/>
  <c r="H60" i="25"/>
  <c r="H59" i="25"/>
  <c r="H58" i="25"/>
  <c r="H57" i="25"/>
  <c r="H56" i="25"/>
  <c r="H55" i="25"/>
  <c r="H64" i="25" s="1"/>
  <c r="H66" i="25" s="1"/>
  <c r="H54" i="25"/>
  <c r="H53" i="25"/>
  <c r="H50" i="25"/>
  <c r="H49" i="25"/>
  <c r="H48" i="25"/>
  <c r="H47" i="25"/>
  <c r="H51" i="25" s="1"/>
  <c r="H52" i="25" s="1"/>
  <c r="H46" i="25"/>
  <c r="H45" i="25"/>
  <c r="H44" i="25"/>
  <c r="H41" i="25"/>
  <c r="H30" i="25"/>
  <c r="H29" i="25"/>
  <c r="H28" i="25"/>
  <c r="H27" i="25"/>
  <c r="H32" i="25" s="1"/>
  <c r="H26" i="25"/>
  <c r="H25" i="25"/>
  <c r="H24" i="25"/>
  <c r="H23" i="25"/>
  <c r="H22" i="25"/>
  <c r="H21" i="25"/>
  <c r="H20" i="25"/>
  <c r="H19" i="25"/>
  <c r="H18" i="25"/>
  <c r="H17" i="25"/>
  <c r="H16" i="25"/>
  <c r="H15" i="25"/>
  <c r="H31" i="25" s="1"/>
  <c r="H33" i="25" s="1"/>
  <c r="H13" i="25"/>
  <c r="H12" i="25"/>
  <c r="H10" i="25"/>
  <c r="H9" i="25"/>
  <c r="H8" i="25"/>
  <c r="H7" i="25"/>
  <c r="H11" i="25" s="1"/>
  <c r="H14" i="25" s="1"/>
  <c r="I31" i="25" s="1"/>
  <c r="H6" i="25"/>
  <c r="H5" i="25"/>
  <c r="H2" i="25"/>
  <c r="H76" i="25" s="1"/>
  <c r="N104" i="22"/>
  <c r="N204" i="22"/>
  <c r="J12" i="22"/>
  <c r="J16" i="22"/>
  <c r="L16" i="22" s="1"/>
  <c r="N16" i="22" s="1"/>
  <c r="J19" i="22"/>
  <c r="J20" i="22"/>
  <c r="J28" i="22"/>
  <c r="J32" i="22"/>
  <c r="L32" i="22" s="1"/>
  <c r="N32" i="22" s="1"/>
  <c r="J35" i="22"/>
  <c r="J36" i="22"/>
  <c r="J39" i="22"/>
  <c r="L39" i="22" s="1"/>
  <c r="N39" i="22" s="1"/>
  <c r="J40" i="22"/>
  <c r="L40" i="22" s="1"/>
  <c r="N40" i="22" s="1"/>
  <c r="J43" i="22"/>
  <c r="J44" i="22"/>
  <c r="J48" i="22"/>
  <c r="L48" i="22" s="1"/>
  <c r="J52" i="22"/>
  <c r="L52" i="22" s="1"/>
  <c r="N52" i="22" s="1"/>
  <c r="J56" i="22"/>
  <c r="J60" i="22"/>
  <c r="J64" i="22"/>
  <c r="L64" i="22" s="1"/>
  <c r="J67" i="22"/>
  <c r="L67" i="22" s="1"/>
  <c r="N67" i="22" s="1"/>
  <c r="J68" i="22"/>
  <c r="J71" i="22"/>
  <c r="L71" i="22" s="1"/>
  <c r="J72" i="22"/>
  <c r="L72" i="22" s="1"/>
  <c r="J75" i="22"/>
  <c r="L75" i="22" s="1"/>
  <c r="N75" i="22" s="1"/>
  <c r="J76" i="22"/>
  <c r="J79" i="22"/>
  <c r="L79" i="22" s="1"/>
  <c r="J80" i="22"/>
  <c r="L80" i="22" s="1"/>
  <c r="J83" i="22"/>
  <c r="L83" i="22" s="1"/>
  <c r="N83" i="22" s="1"/>
  <c r="J84" i="22"/>
  <c r="J87" i="22"/>
  <c r="L87" i="22" s="1"/>
  <c r="J88" i="22"/>
  <c r="L88" i="22" s="1"/>
  <c r="J91" i="22"/>
  <c r="L91" i="22" s="1"/>
  <c r="N91" i="22" s="1"/>
  <c r="J92" i="22"/>
  <c r="J95" i="22"/>
  <c r="L95" i="22" s="1"/>
  <c r="J96" i="22"/>
  <c r="L96" i="22" s="1"/>
  <c r="J99" i="22"/>
  <c r="L99" i="22" s="1"/>
  <c r="N99" i="22" s="1"/>
  <c r="J100" i="22"/>
  <c r="J103" i="22"/>
  <c r="L103" i="22" s="1"/>
  <c r="J104" i="22"/>
  <c r="J107" i="22"/>
  <c r="L107" i="22" s="1"/>
  <c r="N107" i="22" s="1"/>
  <c r="J112" i="22"/>
  <c r="J116" i="22"/>
  <c r="J119" i="22"/>
  <c r="L119" i="22" s="1"/>
  <c r="N119" i="22" s="1"/>
  <c r="J123" i="22"/>
  <c r="L123" i="22" s="1"/>
  <c r="N123" i="22" s="1"/>
  <c r="J128" i="22"/>
  <c r="J132" i="22"/>
  <c r="J135" i="22"/>
  <c r="L135" i="22" s="1"/>
  <c r="N135" i="22" s="1"/>
  <c r="J139" i="22"/>
  <c r="L139" i="22" s="1"/>
  <c r="N139" i="22" s="1"/>
  <c r="J143" i="22"/>
  <c r="L143" i="22" s="1"/>
  <c r="J147" i="22"/>
  <c r="L147" i="22" s="1"/>
  <c r="J151" i="22"/>
  <c r="L151" i="22" s="1"/>
  <c r="N151" i="22" s="1"/>
  <c r="J152" i="22"/>
  <c r="L152" i="22" s="1"/>
  <c r="N152" i="22" s="1"/>
  <c r="J156" i="22"/>
  <c r="J160" i="22"/>
  <c r="J164" i="22"/>
  <c r="L164" i="22" s="1"/>
  <c r="J168" i="22"/>
  <c r="L168" i="22" s="1"/>
  <c r="N168" i="22" s="1"/>
  <c r="J172" i="22"/>
  <c r="J175" i="22"/>
  <c r="L175" i="22" s="1"/>
  <c r="J176" i="22"/>
  <c r="L176" i="22" s="1"/>
  <c r="J179" i="22"/>
  <c r="L179" i="22" s="1"/>
  <c r="N179" i="22" s="1"/>
  <c r="J180" i="22"/>
  <c r="J183" i="22"/>
  <c r="L183" i="22" s="1"/>
  <c r="J187" i="22"/>
  <c r="L187" i="22" s="1"/>
  <c r="N187" i="22" s="1"/>
  <c r="J188" i="22"/>
  <c r="L188" i="22" s="1"/>
  <c r="N188" i="22" s="1"/>
  <c r="J192" i="22"/>
  <c r="J196" i="22"/>
  <c r="J200" i="22"/>
  <c r="L200" i="22" s="1"/>
  <c r="J204" i="22"/>
  <c r="J208" i="22"/>
  <c r="J212" i="22"/>
  <c r="J216" i="22"/>
  <c r="L216" i="22" s="1"/>
  <c r="J219" i="22"/>
  <c r="L219" i="22" s="1"/>
  <c r="N219" i="22" s="1"/>
  <c r="J220" i="22"/>
  <c r="J224" i="22"/>
  <c r="J228" i="22"/>
  <c r="L228" i="22" s="1"/>
  <c r="J231" i="22"/>
  <c r="L231" i="22" s="1"/>
  <c r="N231" i="22" s="1"/>
  <c r="J232" i="22"/>
  <c r="J235" i="22"/>
  <c r="L235" i="22" s="1"/>
  <c r="N240" i="22"/>
  <c r="J237" i="22"/>
  <c r="J236" i="22"/>
  <c r="L236" i="22" s="1"/>
  <c r="N236" i="22" s="1"/>
  <c r="J234" i="22"/>
  <c r="L234" i="22" s="1"/>
  <c r="N234" i="22" s="1"/>
  <c r="J233" i="22"/>
  <c r="J230" i="22"/>
  <c r="L230" i="22" s="1"/>
  <c r="N230" i="22" s="1"/>
  <c r="J229" i="22"/>
  <c r="L229" i="22" s="1"/>
  <c r="N229" i="22" s="1"/>
  <c r="J227" i="22"/>
  <c r="L227" i="22" s="1"/>
  <c r="J226" i="22"/>
  <c r="L226" i="22" s="1"/>
  <c r="N226" i="22" s="1"/>
  <c r="J225" i="22"/>
  <c r="J223" i="22"/>
  <c r="L223" i="22" s="1"/>
  <c r="N223" i="22" s="1"/>
  <c r="J222" i="22"/>
  <c r="L222" i="22" s="1"/>
  <c r="N222" i="22" s="1"/>
  <c r="J221" i="22"/>
  <c r="J218" i="22"/>
  <c r="L218" i="22" s="1"/>
  <c r="N218" i="22" s="1"/>
  <c r="J217" i="22"/>
  <c r="L217" i="22" s="1"/>
  <c r="N217" i="22" s="1"/>
  <c r="J215" i="22"/>
  <c r="L215" i="22" s="1"/>
  <c r="J214" i="22"/>
  <c r="L214" i="22" s="1"/>
  <c r="N214" i="22" s="1"/>
  <c r="J213" i="22"/>
  <c r="J211" i="22"/>
  <c r="L211" i="22" s="1"/>
  <c r="N211" i="22" s="1"/>
  <c r="J210" i="22"/>
  <c r="L210" i="22" s="1"/>
  <c r="N210" i="22" s="1"/>
  <c r="J209" i="22"/>
  <c r="J207" i="22"/>
  <c r="L207" i="22" s="1"/>
  <c r="N207" i="22" s="1"/>
  <c r="J206" i="22"/>
  <c r="L206" i="22" s="1"/>
  <c r="N206" i="22" s="1"/>
  <c r="J205" i="22"/>
  <c r="J203" i="22"/>
  <c r="L203" i="22" s="1"/>
  <c r="N203" i="22" s="1"/>
  <c r="J202" i="22"/>
  <c r="L202" i="22" s="1"/>
  <c r="N202" i="22" s="1"/>
  <c r="J201" i="22"/>
  <c r="J199" i="22"/>
  <c r="L199" i="22" s="1"/>
  <c r="J198" i="22"/>
  <c r="L198" i="22" s="1"/>
  <c r="N198" i="22" s="1"/>
  <c r="J197" i="22"/>
  <c r="L197" i="22" s="1"/>
  <c r="N197" i="22" s="1"/>
  <c r="J195" i="22"/>
  <c r="L195" i="22" s="1"/>
  <c r="J194" i="22"/>
  <c r="L194" i="22" s="1"/>
  <c r="N194" i="22" s="1"/>
  <c r="J193" i="22"/>
  <c r="J191" i="22"/>
  <c r="L191" i="22" s="1"/>
  <c r="N191" i="22" s="1"/>
  <c r="J190" i="22"/>
  <c r="L190" i="22" s="1"/>
  <c r="N190" i="22" s="1"/>
  <c r="J189" i="22"/>
  <c r="J186" i="22"/>
  <c r="L186" i="22" s="1"/>
  <c r="N186" i="22" s="1"/>
  <c r="J185" i="22"/>
  <c r="L185" i="22" s="1"/>
  <c r="N185" i="22" s="1"/>
  <c r="J184" i="22"/>
  <c r="J182" i="22"/>
  <c r="L182" i="22" s="1"/>
  <c r="N182" i="22" s="1"/>
  <c r="J181" i="22"/>
  <c r="J178" i="22"/>
  <c r="L178" i="22" s="1"/>
  <c r="N178" i="22" s="1"/>
  <c r="J177" i="22"/>
  <c r="J174" i="22"/>
  <c r="L174" i="22" s="1"/>
  <c r="N174" i="22" s="1"/>
  <c r="J173" i="22"/>
  <c r="J171" i="22"/>
  <c r="L171" i="22" s="1"/>
  <c r="N171" i="22" s="1"/>
  <c r="J170" i="22"/>
  <c r="L170" i="22" s="1"/>
  <c r="N170" i="22" s="1"/>
  <c r="J169" i="22"/>
  <c r="J167" i="22"/>
  <c r="L167" i="22" s="1"/>
  <c r="N167" i="22" s="1"/>
  <c r="J166" i="22"/>
  <c r="L166" i="22" s="1"/>
  <c r="N166" i="22" s="1"/>
  <c r="J165" i="22"/>
  <c r="J163" i="22"/>
  <c r="L163" i="22" s="1"/>
  <c r="J162" i="22"/>
  <c r="L162" i="22" s="1"/>
  <c r="N162" i="22" s="1"/>
  <c r="J161" i="22"/>
  <c r="L161" i="22" s="1"/>
  <c r="N161" i="22" s="1"/>
  <c r="J159" i="22"/>
  <c r="L159" i="22" s="1"/>
  <c r="J158" i="22"/>
  <c r="L158" i="22" s="1"/>
  <c r="N158" i="22" s="1"/>
  <c r="J157" i="22"/>
  <c r="J155" i="22"/>
  <c r="L155" i="22" s="1"/>
  <c r="N155" i="22" s="1"/>
  <c r="J154" i="22"/>
  <c r="L154" i="22" s="1"/>
  <c r="N154" i="22" s="1"/>
  <c r="J153" i="22"/>
  <c r="J150" i="22"/>
  <c r="L150" i="22" s="1"/>
  <c r="N150" i="22" s="1"/>
  <c r="J149" i="22"/>
  <c r="L149" i="22" s="1"/>
  <c r="N149" i="22" s="1"/>
  <c r="J148" i="22"/>
  <c r="J146" i="22"/>
  <c r="L146" i="22" s="1"/>
  <c r="N146" i="22" s="1"/>
  <c r="J145" i="22"/>
  <c r="J144" i="22"/>
  <c r="L144" i="22" s="1"/>
  <c r="N144" i="22" s="1"/>
  <c r="J142" i="22"/>
  <c r="L142" i="22" s="1"/>
  <c r="N142" i="22" s="1"/>
  <c r="J141" i="22"/>
  <c r="J140" i="22"/>
  <c r="L140" i="22" s="1"/>
  <c r="J138" i="22"/>
  <c r="L138" i="22" s="1"/>
  <c r="N138" i="22" s="1"/>
  <c r="J137" i="22"/>
  <c r="J136" i="22"/>
  <c r="N134" i="22"/>
  <c r="J134" i="22"/>
  <c r="J133" i="22"/>
  <c r="J131" i="22"/>
  <c r="L131" i="22" s="1"/>
  <c r="J130" i="22"/>
  <c r="L130" i="22" s="1"/>
  <c r="N130" i="22" s="1"/>
  <c r="J129" i="22"/>
  <c r="L129" i="22" s="1"/>
  <c r="N129" i="22" s="1"/>
  <c r="J127" i="22"/>
  <c r="L127" i="22" s="1"/>
  <c r="J126" i="22"/>
  <c r="L126" i="22" s="1"/>
  <c r="N126" i="22" s="1"/>
  <c r="J125" i="22"/>
  <c r="J124" i="22"/>
  <c r="L124" i="22" s="1"/>
  <c r="N124" i="22" s="1"/>
  <c r="J122" i="22"/>
  <c r="L122" i="22" s="1"/>
  <c r="N122" i="22" s="1"/>
  <c r="J121" i="22"/>
  <c r="J120" i="22"/>
  <c r="L120" i="22" s="1"/>
  <c r="J118" i="22"/>
  <c r="L118" i="22" s="1"/>
  <c r="N118" i="22" s="1"/>
  <c r="J117" i="22"/>
  <c r="J115" i="22"/>
  <c r="L115" i="22" s="1"/>
  <c r="J114" i="22"/>
  <c r="L114" i="22" s="1"/>
  <c r="N114" i="22" s="1"/>
  <c r="J113" i="22"/>
  <c r="L113" i="22" s="1"/>
  <c r="N113" i="22" s="1"/>
  <c r="J111" i="22"/>
  <c r="L111" i="22" s="1"/>
  <c r="J110" i="22"/>
  <c r="L110" i="22" s="1"/>
  <c r="N110" i="22" s="1"/>
  <c r="J109" i="22"/>
  <c r="J108" i="22"/>
  <c r="L108" i="22" s="1"/>
  <c r="N108" i="22" s="1"/>
  <c r="J106" i="22"/>
  <c r="L106" i="22" s="1"/>
  <c r="N106" i="22" s="1"/>
  <c r="J105" i="22"/>
  <c r="J102" i="22"/>
  <c r="L102" i="22" s="1"/>
  <c r="N102" i="22" s="1"/>
  <c r="J101" i="22"/>
  <c r="J98" i="22"/>
  <c r="L98" i="22" s="1"/>
  <c r="N98" i="22" s="1"/>
  <c r="J97" i="22"/>
  <c r="J94" i="22"/>
  <c r="L94" i="22" s="1"/>
  <c r="N94" i="22" s="1"/>
  <c r="J93" i="22"/>
  <c r="J90" i="22"/>
  <c r="L90" i="22" s="1"/>
  <c r="N90" i="22" s="1"/>
  <c r="J89" i="22"/>
  <c r="J86" i="22"/>
  <c r="L86" i="22" s="1"/>
  <c r="N86" i="22" s="1"/>
  <c r="J85" i="22"/>
  <c r="J82" i="22"/>
  <c r="L82" i="22" s="1"/>
  <c r="N82" i="22" s="1"/>
  <c r="J81" i="22"/>
  <c r="J78" i="22"/>
  <c r="L78" i="22" s="1"/>
  <c r="N78" i="22" s="1"/>
  <c r="J77" i="22"/>
  <c r="J74" i="22"/>
  <c r="L74" i="22" s="1"/>
  <c r="N74" i="22" s="1"/>
  <c r="J73" i="22"/>
  <c r="J70" i="22"/>
  <c r="L70" i="22" s="1"/>
  <c r="N70" i="22" s="1"/>
  <c r="J69" i="22"/>
  <c r="J66" i="22"/>
  <c r="L66" i="22" s="1"/>
  <c r="N66" i="22" s="1"/>
  <c r="J65" i="22"/>
  <c r="J63" i="22"/>
  <c r="L63" i="22" s="1"/>
  <c r="N63" i="22" s="1"/>
  <c r="J62" i="22"/>
  <c r="L62" i="22" s="1"/>
  <c r="N62" i="22" s="1"/>
  <c r="J61" i="22"/>
  <c r="J59" i="22"/>
  <c r="L59" i="22" s="1"/>
  <c r="N59" i="22" s="1"/>
  <c r="J58" i="22"/>
  <c r="L58" i="22" s="1"/>
  <c r="N58" i="22" s="1"/>
  <c r="J57" i="22"/>
  <c r="J55" i="22"/>
  <c r="L55" i="22" s="1"/>
  <c r="J54" i="22"/>
  <c r="L54" i="22" s="1"/>
  <c r="N54" i="22" s="1"/>
  <c r="J53" i="22"/>
  <c r="L53" i="22" s="1"/>
  <c r="N53" i="22" s="1"/>
  <c r="J51" i="22"/>
  <c r="L51" i="22" s="1"/>
  <c r="J50" i="22"/>
  <c r="L50" i="22" s="1"/>
  <c r="N50" i="22" s="1"/>
  <c r="J49" i="22"/>
  <c r="J47" i="22"/>
  <c r="L47" i="22" s="1"/>
  <c r="N47" i="22" s="1"/>
  <c r="N46" i="22"/>
  <c r="J46" i="22"/>
  <c r="J45" i="22"/>
  <c r="L45" i="22" s="1"/>
  <c r="N45" i="22" s="1"/>
  <c r="J42" i="22"/>
  <c r="L42" i="22" s="1"/>
  <c r="N42" i="22" s="1"/>
  <c r="J41" i="22"/>
  <c r="L41" i="22" s="1"/>
  <c r="N41" i="22" s="1"/>
  <c r="J38" i="22"/>
  <c r="L38" i="22" s="1"/>
  <c r="N38" i="22" s="1"/>
  <c r="J37" i="22"/>
  <c r="L37" i="22" s="1"/>
  <c r="N37" i="22" s="1"/>
  <c r="J34" i="22"/>
  <c r="L34" i="22" s="1"/>
  <c r="N34" i="22" s="1"/>
  <c r="J33" i="22"/>
  <c r="L33" i="22" s="1"/>
  <c r="N33" i="22" s="1"/>
  <c r="J31" i="22"/>
  <c r="J30" i="22"/>
  <c r="L30" i="22" s="1"/>
  <c r="N30" i="22" s="1"/>
  <c r="J29" i="22"/>
  <c r="L29" i="22" s="1"/>
  <c r="N29" i="22" s="1"/>
  <c r="J27" i="22"/>
  <c r="J26" i="22"/>
  <c r="L26" i="22" s="1"/>
  <c r="N26" i="22" s="1"/>
  <c r="J25" i="22"/>
  <c r="L25" i="22" s="1"/>
  <c r="N25" i="22" s="1"/>
  <c r="J24" i="22"/>
  <c r="L24" i="22" s="1"/>
  <c r="N24" i="22" s="1"/>
  <c r="J23" i="22"/>
  <c r="J22" i="22"/>
  <c r="L22" i="22" s="1"/>
  <c r="N22" i="22" s="1"/>
  <c r="J21" i="22"/>
  <c r="L21" i="22" s="1"/>
  <c r="N21" i="22" s="1"/>
  <c r="J18" i="22"/>
  <c r="L18" i="22" s="1"/>
  <c r="N18" i="22" s="1"/>
  <c r="J17" i="22"/>
  <c r="L17" i="22" s="1"/>
  <c r="N17" i="22" s="1"/>
  <c r="J15" i="22"/>
  <c r="J14" i="22"/>
  <c r="L14" i="22" s="1"/>
  <c r="N14" i="22" s="1"/>
  <c r="J13" i="22"/>
  <c r="L13" i="22" s="1"/>
  <c r="N13" i="22" s="1"/>
  <c r="J11" i="22"/>
  <c r="J10" i="22"/>
  <c r="L10" i="22" s="1"/>
  <c r="N10" i="22" s="1"/>
  <c r="J9" i="22"/>
  <c r="L9" i="22" s="1"/>
  <c r="N9" i="22" s="1"/>
  <c r="J8" i="22"/>
  <c r="J7" i="22"/>
  <c r="J6" i="22"/>
  <c r="L6" i="22" s="1"/>
  <c r="N6" i="22" s="1"/>
  <c r="J5" i="22"/>
  <c r="L5" i="22" s="1"/>
  <c r="N5" i="22" s="1"/>
  <c r="N36" i="24" l="1"/>
  <c r="N40" i="24"/>
  <c r="N31" i="24"/>
  <c r="N19" i="24"/>
  <c r="N8" i="24"/>
  <c r="L28" i="24"/>
  <c r="N28" i="24" s="1"/>
  <c r="L32" i="24"/>
  <c r="N32" i="24" s="1"/>
  <c r="L16" i="24"/>
  <c r="N16" i="24" s="1"/>
  <c r="L7" i="24"/>
  <c r="N7" i="24" s="1"/>
  <c r="L20" i="24"/>
  <c r="N20" i="24" s="1"/>
  <c r="L30" i="24"/>
  <c r="N30" i="24" s="1"/>
  <c r="L23" i="24"/>
  <c r="N23" i="24" s="1"/>
  <c r="L12" i="24"/>
  <c r="N12" i="24" s="1"/>
  <c r="L11" i="24"/>
  <c r="N11" i="24" s="1"/>
  <c r="L24" i="24"/>
  <c r="N24" i="24" s="1"/>
  <c r="L27" i="24"/>
  <c r="N27" i="24" s="1"/>
  <c r="L15" i="24"/>
  <c r="N15" i="24" s="1"/>
  <c r="H102" i="25"/>
  <c r="I64" i="25"/>
  <c r="N120" i="22"/>
  <c r="N140" i="22"/>
  <c r="N228" i="22"/>
  <c r="N216" i="22"/>
  <c r="N200" i="22"/>
  <c r="N176" i="22"/>
  <c r="N164" i="22"/>
  <c r="N96" i="22"/>
  <c r="N88" i="22"/>
  <c r="N80" i="22"/>
  <c r="N72" i="22"/>
  <c r="N64" i="22"/>
  <c r="N48" i="22"/>
  <c r="N55" i="22"/>
  <c r="N115" i="22"/>
  <c r="N131" i="22"/>
  <c r="N163" i="22"/>
  <c r="N51" i="22"/>
  <c r="N111" i="22"/>
  <c r="N127" i="22"/>
  <c r="N159" i="22"/>
  <c r="N195" i="22"/>
  <c r="N215" i="22"/>
  <c r="N227" i="22"/>
  <c r="N143" i="22"/>
  <c r="N199" i="22"/>
  <c r="N235" i="22"/>
  <c r="N183" i="22"/>
  <c r="N175" i="22"/>
  <c r="N147" i="22"/>
  <c r="N103" i="22"/>
  <c r="N95" i="22"/>
  <c r="N87" i="22"/>
  <c r="N79" i="22"/>
  <c r="N71" i="22"/>
  <c r="L49" i="22"/>
  <c r="N49" i="22" s="1"/>
  <c r="L73" i="22"/>
  <c r="N73" i="22" s="1"/>
  <c r="L89" i="22"/>
  <c r="N89" i="22" s="1"/>
  <c r="L109" i="22"/>
  <c r="N109" i="22" s="1"/>
  <c r="L145" i="22"/>
  <c r="N145" i="22" s="1"/>
  <c r="L157" i="22"/>
  <c r="N157" i="22" s="1"/>
  <c r="L57" i="22"/>
  <c r="N57" i="22" s="1"/>
  <c r="L69" i="22"/>
  <c r="N69" i="22" s="1"/>
  <c r="L77" i="22"/>
  <c r="N77" i="22" s="1"/>
  <c r="L85" i="22"/>
  <c r="N85" i="22" s="1"/>
  <c r="L93" i="22"/>
  <c r="N93" i="22" s="1"/>
  <c r="L101" i="22"/>
  <c r="N101" i="22" s="1"/>
  <c r="L117" i="22"/>
  <c r="N117" i="22" s="1"/>
  <c r="L133" i="22"/>
  <c r="N133" i="22" s="1"/>
  <c r="L137" i="22"/>
  <c r="N137" i="22" s="1"/>
  <c r="L148" i="22"/>
  <c r="N148" i="22" s="1"/>
  <c r="L165" i="22"/>
  <c r="N165" i="22" s="1"/>
  <c r="L177" i="22"/>
  <c r="N177" i="22" s="1"/>
  <c r="L184" i="22"/>
  <c r="N184" i="22" s="1"/>
  <c r="L201" i="22"/>
  <c r="N201" i="22" s="1"/>
  <c r="L205" i="22"/>
  <c r="N205" i="22" s="1"/>
  <c r="L232" i="22"/>
  <c r="N232" i="22" s="1"/>
  <c r="L220" i="22"/>
  <c r="N220" i="22" s="1"/>
  <c r="L208" i="22"/>
  <c r="N208" i="22" s="1"/>
  <c r="L192" i="22"/>
  <c r="N192" i="22" s="1"/>
  <c r="L180" i="22"/>
  <c r="N180" i="22" s="1"/>
  <c r="L172" i="22"/>
  <c r="N172" i="22" s="1"/>
  <c r="L156" i="22"/>
  <c r="N156" i="22" s="1"/>
  <c r="L128" i="22"/>
  <c r="N128" i="22" s="1"/>
  <c r="L112" i="22"/>
  <c r="N112" i="22" s="1"/>
  <c r="L100" i="22"/>
  <c r="N100" i="22" s="1"/>
  <c r="L92" i="22"/>
  <c r="N92" i="22" s="1"/>
  <c r="L84" i="22"/>
  <c r="N84" i="22" s="1"/>
  <c r="L76" i="22"/>
  <c r="N76" i="22" s="1"/>
  <c r="L68" i="22"/>
  <c r="N68" i="22" s="1"/>
  <c r="L56" i="22"/>
  <c r="N56" i="22" s="1"/>
  <c r="L65" i="22"/>
  <c r="N65" i="22" s="1"/>
  <c r="L81" i="22"/>
  <c r="N81" i="22" s="1"/>
  <c r="L97" i="22"/>
  <c r="N97" i="22" s="1"/>
  <c r="L125" i="22"/>
  <c r="N125" i="22" s="1"/>
  <c r="L173" i="22"/>
  <c r="N173" i="22" s="1"/>
  <c r="L181" i="22"/>
  <c r="N181" i="22" s="1"/>
  <c r="L193" i="22"/>
  <c r="N193" i="22" s="1"/>
  <c r="L213" i="22"/>
  <c r="N213" i="22" s="1"/>
  <c r="L225" i="22"/>
  <c r="N225" i="22" s="1"/>
  <c r="L237" i="22"/>
  <c r="N237" i="22" s="1"/>
  <c r="L61" i="22"/>
  <c r="N61" i="22" s="1"/>
  <c r="L105" i="22"/>
  <c r="N105" i="22" s="1"/>
  <c r="L121" i="22"/>
  <c r="N121" i="22" s="1"/>
  <c r="L136" i="22"/>
  <c r="N136" i="22" s="1"/>
  <c r="L141" i="22"/>
  <c r="N141" i="22" s="1"/>
  <c r="L153" i="22"/>
  <c r="N153" i="22" s="1"/>
  <c r="L169" i="22"/>
  <c r="N169" i="22" s="1"/>
  <c r="L189" i="22"/>
  <c r="N189" i="22" s="1"/>
  <c r="L209" i="22"/>
  <c r="N209" i="22" s="1"/>
  <c r="L221" i="22"/>
  <c r="N221" i="22" s="1"/>
  <c r="L233" i="22"/>
  <c r="N233" i="22" s="1"/>
  <c r="L224" i="22"/>
  <c r="N224" i="22" s="1"/>
  <c r="L212" i="22"/>
  <c r="N212" i="22" s="1"/>
  <c r="L196" i="22"/>
  <c r="N196" i="22" s="1"/>
  <c r="L160" i="22"/>
  <c r="N160" i="22" s="1"/>
  <c r="L132" i="22"/>
  <c r="N132" i="22" s="1"/>
  <c r="L116" i="22"/>
  <c r="N116" i="22" s="1"/>
  <c r="L60" i="22"/>
  <c r="N60" i="22" s="1"/>
  <c r="L28" i="22"/>
  <c r="N28" i="22" s="1"/>
  <c r="L12" i="22"/>
  <c r="N12" i="22" s="1"/>
  <c r="L8" i="22"/>
  <c r="N8" i="22" s="1"/>
  <c r="L23" i="22"/>
  <c r="N23" i="22" s="1"/>
  <c r="L27" i="22"/>
  <c r="N27" i="22" s="1"/>
  <c r="L43" i="22"/>
  <c r="N43" i="22" s="1"/>
  <c r="L35" i="22"/>
  <c r="N35" i="22" s="1"/>
  <c r="L19" i="22"/>
  <c r="N19" i="22" s="1"/>
  <c r="L7" i="22"/>
  <c r="N7" i="22" s="1"/>
  <c r="L11" i="22"/>
  <c r="N11" i="22" s="1"/>
  <c r="L15" i="22"/>
  <c r="N15" i="22" s="1"/>
  <c r="L31" i="22"/>
  <c r="N31" i="22" s="1"/>
  <c r="L44" i="22"/>
  <c r="N44" i="22" s="1"/>
  <c r="L36" i="22"/>
  <c r="N36" i="22" s="1"/>
  <c r="L20" i="22"/>
  <c r="N20" i="22" s="1"/>
  <c r="M136" i="6"/>
  <c r="G91" i="12" l="1"/>
  <c r="B32" i="42" l="1"/>
  <c r="E29" i="42"/>
  <c r="E30" i="42" s="1"/>
  <c r="C29" i="42"/>
  <c r="D30" i="42" s="1"/>
  <c r="J38" i="41"/>
  <c r="M35" i="41"/>
  <c r="E35" i="41"/>
  <c r="M28" i="41"/>
  <c r="E28" i="41"/>
  <c r="O27" i="41"/>
  <c r="O28" i="41" s="1"/>
  <c r="N27" i="41"/>
  <c r="N28" i="41" s="1"/>
  <c r="M27" i="41"/>
  <c r="L27" i="41"/>
  <c r="L28" i="41" s="1"/>
  <c r="M34" i="41" s="1"/>
  <c r="N35" i="41" s="1"/>
  <c r="K27" i="41"/>
  <c r="J27" i="41"/>
  <c r="I27" i="41"/>
  <c r="I28" i="41" s="1"/>
  <c r="H27" i="41"/>
  <c r="G27" i="41"/>
  <c r="F27" i="41"/>
  <c r="F28" i="41" s="1"/>
  <c r="F33" i="41" s="1"/>
  <c r="E27" i="41"/>
  <c r="D27" i="41"/>
  <c r="D28" i="41" s="1"/>
  <c r="C27" i="41"/>
  <c r="C28" i="41" s="1"/>
  <c r="B27" i="41"/>
  <c r="B28" i="41" s="1"/>
  <c r="T21" i="41"/>
  <c r="I38" i="40"/>
  <c r="H30" i="40"/>
  <c r="S55" i="39"/>
  <c r="S56" i="39" s="1"/>
  <c r="R55" i="39"/>
  <c r="R56" i="39" s="1"/>
  <c r="Q53" i="39"/>
  <c r="Q54" i="39" s="1"/>
  <c r="N41" i="39"/>
  <c r="N28" i="39"/>
  <c r="F28" i="39"/>
  <c r="M27" i="39"/>
  <c r="T56" i="35"/>
  <c r="Q56" i="35"/>
  <c r="L56" i="35"/>
  <c r="G54" i="35"/>
  <c r="G28" i="35"/>
  <c r="M28" i="34"/>
  <c r="J27" i="34"/>
  <c r="O26" i="34"/>
  <c r="O27" i="34" s="1"/>
  <c r="N26" i="34"/>
  <c r="N27" i="34" s="1"/>
  <c r="K26" i="34"/>
  <c r="K27" i="34" s="1"/>
  <c r="J26" i="34"/>
  <c r="I26" i="34"/>
  <c r="I27" i="34" s="1"/>
  <c r="H26" i="34"/>
  <c r="H27" i="34" s="1"/>
  <c r="S29" i="33"/>
  <c r="S30" i="33" s="1"/>
  <c r="S31" i="33" s="1"/>
  <c r="AL139" i="32"/>
  <c r="AK139" i="32"/>
  <c r="AJ139" i="32"/>
  <c r="AI139" i="32"/>
  <c r="AH139" i="32"/>
  <c r="AG139" i="32"/>
  <c r="AF139" i="32"/>
  <c r="AE139" i="32"/>
  <c r="AD139" i="32"/>
  <c r="AC139" i="32"/>
  <c r="AB139" i="32"/>
  <c r="AA139" i="32"/>
  <c r="Z139" i="32"/>
  <c r="Y139" i="32"/>
  <c r="X139" i="32"/>
  <c r="W139" i="32"/>
  <c r="V139" i="32"/>
  <c r="U139" i="32"/>
  <c r="T139" i="32"/>
  <c r="S139" i="32"/>
  <c r="R139" i="32"/>
  <c r="Q139" i="32"/>
  <c r="P139" i="32"/>
  <c r="O139" i="32"/>
  <c r="N139" i="32"/>
  <c r="M139" i="32"/>
  <c r="L139" i="32"/>
  <c r="K139" i="32"/>
  <c r="J139" i="32"/>
  <c r="I139" i="32"/>
  <c r="AD111" i="32"/>
  <c r="AD112" i="32" s="1"/>
  <c r="AC111" i="32"/>
  <c r="AC112" i="32" s="1"/>
  <c r="AB111" i="32"/>
  <c r="AB112" i="32" s="1"/>
  <c r="AA111" i="32"/>
  <c r="AA112" i="32" s="1"/>
  <c r="Z111" i="32"/>
  <c r="Z112" i="32" s="1"/>
  <c r="L59" i="32"/>
  <c r="K59" i="32"/>
  <c r="J59" i="32"/>
  <c r="I59" i="32"/>
  <c r="G59" i="32"/>
  <c r="F59" i="32"/>
  <c r="E59" i="32"/>
  <c r="D59" i="32"/>
  <c r="K33" i="32"/>
  <c r="F4" i="32"/>
  <c r="F3" i="32"/>
  <c r="L27" i="30"/>
  <c r="L29" i="30" s="1"/>
  <c r="L30" i="30" s="1"/>
  <c r="L31" i="30" s="1"/>
  <c r="W92" i="28"/>
  <c r="V92" i="28"/>
  <c r="U92" i="28"/>
  <c r="AC64" i="28"/>
  <c r="AC65" i="28" s="1"/>
  <c r="AH60" i="28"/>
  <c r="AH59" i="28"/>
  <c r="AF55" i="28"/>
  <c r="AF56" i="28" s="1"/>
  <c r="AE55" i="28"/>
  <c r="AE56" i="28" s="1"/>
  <c r="AD55" i="28"/>
  <c r="AD56" i="28" s="1"/>
  <c r="AC55" i="28"/>
  <c r="AC56" i="28" s="1"/>
  <c r="AB55" i="28"/>
  <c r="AB56" i="28" s="1"/>
  <c r="AA55" i="28"/>
  <c r="AA56" i="28" s="1"/>
  <c r="Z55" i="28"/>
  <c r="Z56" i="28" s="1"/>
  <c r="Y55" i="28"/>
  <c r="Y56" i="28" s="1"/>
  <c r="X55" i="28"/>
  <c r="X56" i="28" s="1"/>
  <c r="W55" i="28"/>
  <c r="W56" i="28" s="1"/>
  <c r="V55" i="28"/>
  <c r="V56" i="28" s="1"/>
  <c r="U55" i="28"/>
  <c r="U56" i="28" s="1"/>
  <c r="T55" i="28"/>
  <c r="T56" i="28" s="1"/>
  <c r="S55" i="28"/>
  <c r="S56" i="28" s="1"/>
  <c r="R55" i="28"/>
  <c r="R56" i="28" s="1"/>
  <c r="Q55" i="28"/>
  <c r="Q56" i="28" s="1"/>
  <c r="P55" i="28"/>
  <c r="P56" i="28" s="1"/>
  <c r="O55" i="28"/>
  <c r="O56" i="28" s="1"/>
  <c r="N55" i="28"/>
  <c r="N56" i="28" s="1"/>
  <c r="M55" i="28"/>
  <c r="M56" i="28" s="1"/>
  <c r="L55" i="28"/>
  <c r="L56" i="28" s="1"/>
  <c r="K55" i="28"/>
  <c r="K56" i="28" s="1"/>
  <c r="J55" i="28"/>
  <c r="J56" i="28" s="1"/>
  <c r="I55" i="28"/>
  <c r="I56" i="28" s="1"/>
  <c r="H55" i="28"/>
  <c r="H56" i="28" s="1"/>
  <c r="G55" i="28"/>
  <c r="G56" i="28" s="1"/>
  <c r="F55" i="28"/>
  <c r="F56" i="28" s="1"/>
  <c r="E55" i="28"/>
  <c r="E56" i="28" s="1"/>
  <c r="D55" i="28"/>
  <c r="D56" i="28" s="1"/>
  <c r="C55" i="28"/>
  <c r="C56" i="28" s="1"/>
  <c r="B55" i="28"/>
  <c r="AG55" i="28" s="1"/>
  <c r="AH55" i="28" s="1"/>
  <c r="AI55" i="28" s="1"/>
  <c r="AF26" i="28"/>
  <c r="AF27" i="28" s="1"/>
  <c r="AE26" i="28"/>
  <c r="AE27" i="28" s="1"/>
  <c r="AD26" i="28"/>
  <c r="AD27" i="28" s="1"/>
  <c r="AC26" i="28"/>
  <c r="AC27" i="28" s="1"/>
  <c r="AB26" i="28"/>
  <c r="AB27" i="28" s="1"/>
  <c r="AA26" i="28"/>
  <c r="AA27" i="28" s="1"/>
  <c r="Z26" i="28"/>
  <c r="Z27" i="28" s="1"/>
  <c r="Y26" i="28"/>
  <c r="Y27" i="28" s="1"/>
  <c r="X26" i="28"/>
  <c r="X27" i="28" s="1"/>
  <c r="W26" i="28"/>
  <c r="W27" i="28" s="1"/>
  <c r="V26" i="28"/>
  <c r="V27" i="28" s="1"/>
  <c r="U26" i="28"/>
  <c r="U27" i="28" s="1"/>
  <c r="T26" i="28"/>
  <c r="T27" i="28" s="1"/>
  <c r="S26" i="28"/>
  <c r="S27" i="28" s="1"/>
  <c r="R26" i="28"/>
  <c r="R27" i="28" s="1"/>
  <c r="Q26" i="28"/>
  <c r="Q27" i="28" s="1"/>
  <c r="P26" i="28"/>
  <c r="P27" i="28" s="1"/>
  <c r="O26" i="28"/>
  <c r="O27" i="28" s="1"/>
  <c r="N26" i="28"/>
  <c r="N27" i="28" s="1"/>
  <c r="M26" i="28"/>
  <c r="M27" i="28" s="1"/>
  <c r="L26" i="28"/>
  <c r="L27" i="28" s="1"/>
  <c r="K26" i="28"/>
  <c r="K27" i="28" s="1"/>
  <c r="J26" i="28"/>
  <c r="J27" i="28" s="1"/>
  <c r="I26" i="28"/>
  <c r="I27" i="28" s="1"/>
  <c r="H26" i="28"/>
  <c r="H27" i="28" s="1"/>
  <c r="G26" i="28"/>
  <c r="G27" i="28" s="1"/>
  <c r="F26" i="28"/>
  <c r="F27" i="28" s="1"/>
  <c r="E26" i="28"/>
  <c r="E27" i="28" s="1"/>
  <c r="D26" i="28"/>
  <c r="D27" i="28" s="1"/>
  <c r="C26" i="28"/>
  <c r="C27" i="28" s="1"/>
  <c r="B26" i="28"/>
  <c r="AG26" i="28" s="1"/>
  <c r="AH26" i="28" s="1"/>
  <c r="G32" i="27"/>
  <c r="Q27" i="27"/>
  <c r="Q28" i="27" s="1"/>
  <c r="Q29" i="27" s="1"/>
  <c r="Q30" i="27" s="1"/>
  <c r="O27" i="27"/>
  <c r="O28" i="27" s="1"/>
  <c r="G27" i="27"/>
  <c r="G28" i="27" s="1"/>
  <c r="G30" i="27" s="1"/>
  <c r="E27" i="27"/>
  <c r="E28" i="27" s="1"/>
  <c r="E32" i="27" s="1"/>
  <c r="G188" i="26"/>
  <c r="C188" i="26"/>
  <c r="G158" i="26"/>
  <c r="I126" i="26"/>
  <c r="I127" i="26" s="1"/>
  <c r="F123" i="26"/>
  <c r="L89" i="26"/>
  <c r="L90" i="26" s="1"/>
  <c r="L91" i="26" s="1"/>
  <c r="M60" i="26"/>
  <c r="H60" i="26"/>
  <c r="B60" i="26"/>
  <c r="R30" i="26"/>
  <c r="M30" i="26"/>
  <c r="G30" i="26"/>
  <c r="C30" i="26"/>
  <c r="I30" i="21"/>
  <c r="I29" i="21"/>
  <c r="I28" i="21"/>
  <c r="I27" i="21"/>
  <c r="I26" i="21"/>
  <c r="I25" i="21"/>
  <c r="I24" i="21"/>
  <c r="I23" i="21"/>
  <c r="I22" i="21"/>
  <c r="I21" i="21"/>
  <c r="I20" i="21"/>
  <c r="I19" i="21"/>
  <c r="I18" i="21"/>
  <c r="I17" i="21"/>
  <c r="I16" i="21"/>
  <c r="I15" i="21"/>
  <c r="I14" i="21"/>
  <c r="I13" i="21"/>
  <c r="I12" i="21"/>
  <c r="I11" i="21"/>
  <c r="I10" i="21"/>
  <c r="I9" i="21"/>
  <c r="I8" i="21"/>
  <c r="I7" i="21"/>
  <c r="I6" i="21"/>
  <c r="I5" i="21"/>
  <c r="I4" i="21"/>
  <c r="E3" i="20"/>
  <c r="F11" i="19"/>
  <c r="E11" i="19"/>
  <c r="C2" i="19"/>
  <c r="D2" i="19" s="1"/>
  <c r="E2" i="19" s="1"/>
  <c r="E81" i="17"/>
  <c r="E76" i="17"/>
  <c r="U71" i="17"/>
  <c r="E71" i="17"/>
  <c r="U69" i="17"/>
  <c r="E69" i="17"/>
  <c r="U67" i="17"/>
  <c r="E67" i="17"/>
  <c r="U65" i="17"/>
  <c r="E65" i="17"/>
  <c r="U63" i="17"/>
  <c r="E63" i="17"/>
  <c r="U61" i="17"/>
  <c r="E61" i="17"/>
  <c r="U59" i="17"/>
  <c r="E59" i="17"/>
  <c r="U57" i="17"/>
  <c r="E57" i="17"/>
  <c r="U55" i="17"/>
  <c r="E55" i="17"/>
  <c r="U53" i="17"/>
  <c r="E53" i="17"/>
  <c r="E52" i="17"/>
  <c r="D52" i="17"/>
  <c r="U51" i="17"/>
  <c r="E51" i="17"/>
  <c r="U49" i="17"/>
  <c r="E49" i="17"/>
  <c r="U47" i="17"/>
  <c r="E47" i="17"/>
  <c r="U45" i="17"/>
  <c r="E45" i="17"/>
  <c r="U43" i="17"/>
  <c r="E43" i="17"/>
  <c r="U41" i="17"/>
  <c r="E41" i="17"/>
  <c r="U39" i="17"/>
  <c r="E39" i="17"/>
  <c r="Q38" i="17"/>
  <c r="U37" i="17"/>
  <c r="E37" i="17"/>
  <c r="U35" i="17"/>
  <c r="E35" i="17"/>
  <c r="U33" i="17"/>
  <c r="E33" i="17"/>
  <c r="U31" i="17"/>
  <c r="E31" i="17"/>
  <c r="U29" i="17"/>
  <c r="E29" i="17"/>
  <c r="E27" i="17"/>
  <c r="E25" i="17"/>
  <c r="E23" i="17"/>
  <c r="I22" i="17"/>
  <c r="Q22" i="17" s="1"/>
  <c r="E21" i="17"/>
  <c r="E19" i="17"/>
  <c r="E17" i="17"/>
  <c r="E15" i="17"/>
  <c r="E13" i="17"/>
  <c r="L7" i="17"/>
  <c r="J9" i="16"/>
  <c r="H9" i="16"/>
  <c r="F9" i="16"/>
  <c r="E9" i="16"/>
  <c r="D9" i="16"/>
  <c r="C9" i="16"/>
  <c r="B9" i="16"/>
  <c r="J8" i="16"/>
  <c r="H8" i="16"/>
  <c r="F8" i="16"/>
  <c r="E8" i="16"/>
  <c r="D8" i="16"/>
  <c r="C8" i="16"/>
  <c r="B8" i="16"/>
  <c r="J7" i="16"/>
  <c r="H7" i="16"/>
  <c r="G7" i="16"/>
  <c r="F7" i="16"/>
  <c r="E7" i="16"/>
  <c r="D7" i="16"/>
  <c r="C7" i="16"/>
  <c r="B7" i="16"/>
  <c r="J6" i="16"/>
  <c r="H6" i="16"/>
  <c r="F6" i="16"/>
  <c r="E6" i="16"/>
  <c r="D6" i="16"/>
  <c r="C6" i="16"/>
  <c r="B6" i="16"/>
  <c r="J5" i="16"/>
  <c r="H5" i="16"/>
  <c r="F5" i="16"/>
  <c r="E5" i="16"/>
  <c r="D5" i="16"/>
  <c r="C5" i="16"/>
  <c r="B5" i="16"/>
  <c r="J4" i="16"/>
  <c r="H4" i="16"/>
  <c r="F4" i="16"/>
  <c r="E4" i="16"/>
  <c r="D4" i="16"/>
  <c r="C4" i="16"/>
  <c r="B4" i="16"/>
  <c r="E2" i="16"/>
  <c r="E3" i="15"/>
  <c r="J694" i="14"/>
  <c r="H693" i="14"/>
  <c r="J693" i="14" s="1"/>
  <c r="F693" i="14"/>
  <c r="J692" i="14"/>
  <c r="J145" i="14" s="1"/>
  <c r="F692" i="14"/>
  <c r="H692" i="14" s="1"/>
  <c r="H691" i="14"/>
  <c r="J691" i="14" s="1"/>
  <c r="F691" i="14"/>
  <c r="F689" i="14"/>
  <c r="H689" i="14" s="1"/>
  <c r="J689" i="14" s="1"/>
  <c r="H687" i="14"/>
  <c r="J687" i="14" s="1"/>
  <c r="F687" i="14"/>
  <c r="H686" i="14"/>
  <c r="F686" i="14"/>
  <c r="F685" i="14"/>
  <c r="H685" i="14" s="1"/>
  <c r="J685" i="14" s="1"/>
  <c r="H684" i="14"/>
  <c r="J684" i="14" s="1"/>
  <c r="F684" i="14"/>
  <c r="F683" i="14"/>
  <c r="H683" i="14" s="1"/>
  <c r="J683" i="14" s="1"/>
  <c r="F680" i="14"/>
  <c r="H680" i="14" s="1"/>
  <c r="J680" i="14" s="1"/>
  <c r="H679" i="14"/>
  <c r="J679" i="14" s="1"/>
  <c r="J681" i="14" s="1"/>
  <c r="F679" i="14"/>
  <c r="F676" i="14"/>
  <c r="H676" i="14" s="1"/>
  <c r="J676" i="14" s="1"/>
  <c r="H675" i="14"/>
  <c r="J675" i="14" s="1"/>
  <c r="F675" i="14"/>
  <c r="F674" i="14"/>
  <c r="H674" i="14" s="1"/>
  <c r="J674" i="14" s="1"/>
  <c r="J677" i="14" s="1"/>
  <c r="F671" i="14"/>
  <c r="H671" i="14" s="1"/>
  <c r="J671" i="14" s="1"/>
  <c r="H668" i="14"/>
  <c r="J668" i="14" s="1"/>
  <c r="I667" i="14" s="1"/>
  <c r="F668" i="14"/>
  <c r="J667" i="14"/>
  <c r="H667" i="14"/>
  <c r="F667" i="14"/>
  <c r="H666" i="14"/>
  <c r="I666" i="14" s="1"/>
  <c r="J666" i="14" s="1"/>
  <c r="F666" i="14"/>
  <c r="J665" i="14"/>
  <c r="F665" i="14"/>
  <c r="H665" i="14" s="1"/>
  <c r="J662" i="14"/>
  <c r="F662" i="14"/>
  <c r="H662" i="14" s="1"/>
  <c r="H661" i="14"/>
  <c r="J661" i="14" s="1"/>
  <c r="J663" i="14" s="1"/>
  <c r="F661" i="14"/>
  <c r="J658" i="14"/>
  <c r="K263" i="13" s="1"/>
  <c r="L263" i="13" s="1"/>
  <c r="F658" i="14"/>
  <c r="H658" i="14" s="1"/>
  <c r="H657" i="14"/>
  <c r="J657" i="14" s="1"/>
  <c r="F657" i="14"/>
  <c r="F656" i="14"/>
  <c r="H656" i="14" s="1"/>
  <c r="J656" i="14" s="1"/>
  <c r="F653" i="14"/>
  <c r="H653" i="14" s="1"/>
  <c r="J653" i="14" s="1"/>
  <c r="J654" i="14" s="1"/>
  <c r="H650" i="14"/>
  <c r="J650" i="14" s="1"/>
  <c r="F650" i="14"/>
  <c r="F649" i="14"/>
  <c r="H649" i="14" s="1"/>
  <c r="J649" i="14" s="1"/>
  <c r="H648" i="14"/>
  <c r="J648" i="14" s="1"/>
  <c r="F648" i="14"/>
  <c r="H645" i="14"/>
  <c r="J645" i="14" s="1"/>
  <c r="J646" i="14" s="1"/>
  <c r="F645" i="14"/>
  <c r="F642" i="14"/>
  <c r="H642" i="14" s="1"/>
  <c r="J642" i="14" s="1"/>
  <c r="H641" i="14"/>
  <c r="J641" i="14" s="1"/>
  <c r="F641" i="14"/>
  <c r="J640" i="14"/>
  <c r="F640" i="14"/>
  <c r="H640" i="14" s="1"/>
  <c r="H639" i="14"/>
  <c r="J639" i="14" s="1"/>
  <c r="J643" i="14" s="1"/>
  <c r="F639" i="14"/>
  <c r="H635" i="14"/>
  <c r="J635" i="14" s="1"/>
  <c r="F635" i="14"/>
  <c r="F634" i="14"/>
  <c r="H634" i="14" s="1"/>
  <c r="J634" i="14" s="1"/>
  <c r="J637" i="14" s="1"/>
  <c r="K643" i="14" s="1"/>
  <c r="H631" i="14"/>
  <c r="J631" i="14" s="1"/>
  <c r="F631" i="14"/>
  <c r="F630" i="14"/>
  <c r="H630" i="14" s="1"/>
  <c r="J630" i="14" s="1"/>
  <c r="H629" i="14"/>
  <c r="J629" i="14" s="1"/>
  <c r="F629" i="14"/>
  <c r="J628" i="14"/>
  <c r="F628" i="14"/>
  <c r="H628" i="14" s="1"/>
  <c r="H627" i="14"/>
  <c r="J627" i="14" s="1"/>
  <c r="J632" i="14" s="1"/>
  <c r="F627" i="14"/>
  <c r="H624" i="14"/>
  <c r="J624" i="14" s="1"/>
  <c r="F624" i="14"/>
  <c r="J623" i="14"/>
  <c r="J625" i="14" s="1"/>
  <c r="K632" i="14" s="1"/>
  <c r="H623" i="14"/>
  <c r="F619" i="14"/>
  <c r="H619" i="14" s="1"/>
  <c r="J619" i="14" s="1"/>
  <c r="H618" i="14"/>
  <c r="J618" i="14" s="1"/>
  <c r="F618" i="14"/>
  <c r="J617" i="14"/>
  <c r="F617" i="14"/>
  <c r="H617" i="14" s="1"/>
  <c r="H616" i="14"/>
  <c r="J616" i="14" s="1"/>
  <c r="F616" i="14"/>
  <c r="F615" i="14"/>
  <c r="H615" i="14" s="1"/>
  <c r="J615" i="14" s="1"/>
  <c r="I614" i="14"/>
  <c r="F614" i="14"/>
  <c r="H614" i="14" s="1"/>
  <c r="J614" i="14" s="1"/>
  <c r="J621" i="14" s="1"/>
  <c r="F611" i="14"/>
  <c r="H611" i="14" s="1"/>
  <c r="J611" i="14" s="1"/>
  <c r="H610" i="14"/>
  <c r="J610" i="14" s="1"/>
  <c r="J612" i="14" s="1"/>
  <c r="F610" i="14"/>
  <c r="F607" i="14"/>
  <c r="H607" i="14" s="1"/>
  <c r="J607" i="14" s="1"/>
  <c r="H606" i="14"/>
  <c r="J606" i="14" s="1"/>
  <c r="F606" i="14"/>
  <c r="J605" i="14"/>
  <c r="J608" i="14" s="1"/>
  <c r="F605" i="14"/>
  <c r="H605" i="14" s="1"/>
  <c r="J602" i="14"/>
  <c r="F602" i="14"/>
  <c r="H602" i="14" s="1"/>
  <c r="H601" i="14"/>
  <c r="J601" i="14" s="1"/>
  <c r="J603" i="14" s="1"/>
  <c r="K608" i="14" s="1"/>
  <c r="F601" i="14"/>
  <c r="F598" i="14"/>
  <c r="H598" i="14" s="1"/>
  <c r="J598" i="14" s="1"/>
  <c r="H597" i="14"/>
  <c r="J597" i="14" s="1"/>
  <c r="F597" i="14"/>
  <c r="F596" i="14"/>
  <c r="H596" i="14" s="1"/>
  <c r="J596" i="14" s="1"/>
  <c r="H595" i="14"/>
  <c r="J595" i="14" s="1"/>
  <c r="F595" i="14"/>
  <c r="H592" i="14"/>
  <c r="J592" i="14" s="1"/>
  <c r="F592" i="14"/>
  <c r="J591" i="14"/>
  <c r="F591" i="14"/>
  <c r="H591" i="14" s="1"/>
  <c r="H590" i="14"/>
  <c r="J590" i="14" s="1"/>
  <c r="J593" i="14" s="1"/>
  <c r="F590" i="14"/>
  <c r="F587" i="14"/>
  <c r="H587" i="14" s="1"/>
  <c r="J587" i="14" s="1"/>
  <c r="H586" i="14"/>
  <c r="J586" i="14" s="1"/>
  <c r="F586" i="14"/>
  <c r="F585" i="14"/>
  <c r="H585" i="14" s="1"/>
  <c r="J585" i="14" s="1"/>
  <c r="H584" i="14"/>
  <c r="J584" i="14" s="1"/>
  <c r="F584" i="14"/>
  <c r="F583" i="14"/>
  <c r="H583" i="14" s="1"/>
  <c r="J583" i="14" s="1"/>
  <c r="H582" i="14"/>
  <c r="J582" i="14" s="1"/>
  <c r="F582" i="14"/>
  <c r="F581" i="14"/>
  <c r="H581" i="14" s="1"/>
  <c r="J581" i="14" s="1"/>
  <c r="K329" i="13" s="1"/>
  <c r="L329" i="13" s="1"/>
  <c r="H580" i="14"/>
  <c r="J580" i="14" s="1"/>
  <c r="F580" i="14"/>
  <c r="F579" i="14"/>
  <c r="H579" i="14" s="1"/>
  <c r="J579" i="14" s="1"/>
  <c r="H578" i="14"/>
  <c r="J578" i="14" s="1"/>
  <c r="F578" i="14"/>
  <c r="H575" i="14"/>
  <c r="J575" i="14" s="1"/>
  <c r="F575" i="14"/>
  <c r="J574" i="14"/>
  <c r="F574" i="14"/>
  <c r="H574" i="14" s="1"/>
  <c r="H573" i="14"/>
  <c r="J573" i="14" s="1"/>
  <c r="J576" i="14" s="1"/>
  <c r="F573" i="14"/>
  <c r="F570" i="14"/>
  <c r="H570" i="14" s="1"/>
  <c r="J570" i="14" s="1"/>
  <c r="H569" i="14"/>
  <c r="J569" i="14" s="1"/>
  <c r="F569" i="14"/>
  <c r="F568" i="14"/>
  <c r="H568" i="14" s="1"/>
  <c r="J568" i="14" s="1"/>
  <c r="J565" i="14"/>
  <c r="H565" i="14"/>
  <c r="F564" i="14"/>
  <c r="H564" i="14" s="1"/>
  <c r="J564" i="14" s="1"/>
  <c r="J566" i="14" s="1"/>
  <c r="J561" i="14"/>
  <c r="F560" i="14"/>
  <c r="H560" i="14" s="1"/>
  <c r="J560" i="14" s="1"/>
  <c r="H559" i="14"/>
  <c r="J559" i="14" s="1"/>
  <c r="F559" i="14"/>
  <c r="F558" i="14"/>
  <c r="H558" i="14" s="1"/>
  <c r="J558" i="14" s="1"/>
  <c r="H557" i="14"/>
  <c r="J557" i="14" s="1"/>
  <c r="F557" i="14"/>
  <c r="F556" i="14"/>
  <c r="H556" i="14" s="1"/>
  <c r="J556" i="14" s="1"/>
  <c r="H555" i="14"/>
  <c r="J555" i="14" s="1"/>
  <c r="F555" i="14"/>
  <c r="F554" i="14"/>
  <c r="H554" i="14" s="1"/>
  <c r="J554" i="14" s="1"/>
  <c r="H550" i="14"/>
  <c r="J550" i="14" s="1"/>
  <c r="J551" i="14" s="1"/>
  <c r="F550" i="14"/>
  <c r="J549" i="14"/>
  <c r="F549" i="14"/>
  <c r="H549" i="14" s="1"/>
  <c r="H548" i="14"/>
  <c r="J548" i="14" s="1"/>
  <c r="F548" i="14"/>
  <c r="J547" i="14"/>
  <c r="J552" i="14" s="1"/>
  <c r="F547" i="14"/>
  <c r="H547" i="14" s="1"/>
  <c r="H544" i="14"/>
  <c r="J544" i="14" s="1"/>
  <c r="F544" i="14"/>
  <c r="F543" i="14"/>
  <c r="H543" i="14" s="1"/>
  <c r="J543" i="14" s="1"/>
  <c r="H542" i="14"/>
  <c r="J542" i="14" s="1"/>
  <c r="F542" i="14"/>
  <c r="F541" i="14"/>
  <c r="H541" i="14" s="1"/>
  <c r="J541" i="14" s="1"/>
  <c r="H540" i="14"/>
  <c r="J540" i="14" s="1"/>
  <c r="F540" i="14"/>
  <c r="H537" i="14"/>
  <c r="J537" i="14" s="1"/>
  <c r="F537" i="14"/>
  <c r="J536" i="14"/>
  <c r="J538" i="14" s="1"/>
  <c r="F536" i="14"/>
  <c r="H536" i="14" s="1"/>
  <c r="F535" i="14"/>
  <c r="F534" i="14"/>
  <c r="H534" i="14" s="1"/>
  <c r="J534" i="14" s="1"/>
  <c r="H533" i="14"/>
  <c r="J533" i="14" s="1"/>
  <c r="F533" i="14"/>
  <c r="I523" i="14"/>
  <c r="G523" i="14"/>
  <c r="E523" i="14"/>
  <c r="D523" i="14"/>
  <c r="C523" i="14"/>
  <c r="H521" i="14"/>
  <c r="J521" i="14" s="1"/>
  <c r="F521" i="14"/>
  <c r="H520" i="14"/>
  <c r="J520" i="14" s="1"/>
  <c r="F520" i="14"/>
  <c r="J519" i="14"/>
  <c r="J522" i="14" s="1"/>
  <c r="F519" i="14"/>
  <c r="H519" i="14" s="1"/>
  <c r="F516" i="14"/>
  <c r="H516" i="14" s="1"/>
  <c r="J516" i="14" s="1"/>
  <c r="J517" i="14" s="1"/>
  <c r="F513" i="14"/>
  <c r="H513" i="14" s="1"/>
  <c r="I512" i="14" s="1"/>
  <c r="J512" i="14" s="1"/>
  <c r="F512" i="14"/>
  <c r="H512" i="14" s="1"/>
  <c r="F511" i="14"/>
  <c r="H511" i="14" s="1"/>
  <c r="I510" i="14" s="1"/>
  <c r="H510" i="14"/>
  <c r="F510" i="14"/>
  <c r="H507" i="14"/>
  <c r="I506" i="14" s="1"/>
  <c r="J506" i="14" s="1"/>
  <c r="J508" i="14" s="1"/>
  <c r="F507" i="14"/>
  <c r="H506" i="14"/>
  <c r="H502" i="14"/>
  <c r="J502" i="14" s="1"/>
  <c r="F502" i="14"/>
  <c r="J501" i="14"/>
  <c r="F501" i="14"/>
  <c r="H501" i="14" s="1"/>
  <c r="J500" i="14"/>
  <c r="H500" i="14"/>
  <c r="F500" i="14"/>
  <c r="H499" i="14"/>
  <c r="J499" i="14" s="1"/>
  <c r="F499" i="14"/>
  <c r="H495" i="14"/>
  <c r="J495" i="14" s="1"/>
  <c r="F495" i="14"/>
  <c r="J494" i="14"/>
  <c r="F494" i="14"/>
  <c r="H494" i="14" s="1"/>
  <c r="H493" i="14"/>
  <c r="J493" i="14" s="1"/>
  <c r="J497" i="14" s="1"/>
  <c r="F493" i="14"/>
  <c r="J490" i="14"/>
  <c r="F490" i="14"/>
  <c r="H490" i="14" s="1"/>
  <c r="H489" i="14"/>
  <c r="J489" i="14" s="1"/>
  <c r="F489" i="14"/>
  <c r="F488" i="14"/>
  <c r="H488" i="14" s="1"/>
  <c r="J488" i="14" s="1"/>
  <c r="F485" i="14"/>
  <c r="H485" i="14" s="1"/>
  <c r="J485" i="14" s="1"/>
  <c r="J486" i="14" s="1"/>
  <c r="H481" i="14"/>
  <c r="J481" i="14" s="1"/>
  <c r="F481" i="14"/>
  <c r="F480" i="14"/>
  <c r="H480" i="14" s="1"/>
  <c r="J480" i="14" s="1"/>
  <c r="H479" i="14"/>
  <c r="J479" i="14" s="1"/>
  <c r="F479" i="14"/>
  <c r="H476" i="14"/>
  <c r="J476" i="14" s="1"/>
  <c r="J477" i="14" s="1"/>
  <c r="F476" i="14"/>
  <c r="F473" i="14"/>
  <c r="H473" i="14" s="1"/>
  <c r="J473" i="14" s="1"/>
  <c r="H472" i="14"/>
  <c r="J472" i="14" s="1"/>
  <c r="F472" i="14"/>
  <c r="J471" i="14"/>
  <c r="F471" i="14"/>
  <c r="H471" i="14" s="1"/>
  <c r="H470" i="14"/>
  <c r="J470" i="14" s="1"/>
  <c r="F470" i="14"/>
  <c r="H467" i="14"/>
  <c r="J467" i="14" s="1"/>
  <c r="J468" i="14" s="1"/>
  <c r="F467" i="14"/>
  <c r="J464" i="14"/>
  <c r="F464" i="14"/>
  <c r="H464" i="14" s="1"/>
  <c r="H463" i="14"/>
  <c r="J463" i="14" s="1"/>
  <c r="J465" i="14" s="1"/>
  <c r="F463" i="14"/>
  <c r="H460" i="14"/>
  <c r="J460" i="14" s="1"/>
  <c r="J461" i="14" s="1"/>
  <c r="F460" i="14"/>
  <c r="J457" i="14"/>
  <c r="F457" i="14"/>
  <c r="H457" i="14" s="1"/>
  <c r="H456" i="14"/>
  <c r="J456" i="14" s="1"/>
  <c r="F456" i="14"/>
  <c r="F455" i="14"/>
  <c r="H455" i="14" s="1"/>
  <c r="F454" i="14"/>
  <c r="H454" i="14" s="1"/>
  <c r="H453" i="14"/>
  <c r="J453" i="14" s="1"/>
  <c r="F453" i="14"/>
  <c r="J452" i="14"/>
  <c r="F452" i="14"/>
  <c r="H452" i="14" s="1"/>
  <c r="J448" i="14"/>
  <c r="F448" i="14"/>
  <c r="H448" i="14" s="1"/>
  <c r="H447" i="14"/>
  <c r="J447" i="14" s="1"/>
  <c r="J450" i="14" s="1"/>
  <c r="F447" i="14"/>
  <c r="J444" i="14"/>
  <c r="F444" i="14"/>
  <c r="H444" i="14" s="1"/>
  <c r="H443" i="14"/>
  <c r="J443" i="14" s="1"/>
  <c r="F443" i="14"/>
  <c r="F442" i="14"/>
  <c r="H442" i="14" s="1"/>
  <c r="J442" i="14" s="1"/>
  <c r="H441" i="14"/>
  <c r="J441" i="14" s="1"/>
  <c r="F441" i="14"/>
  <c r="H438" i="14"/>
  <c r="J438" i="14" s="1"/>
  <c r="J439" i="14" s="1"/>
  <c r="F438" i="14"/>
  <c r="F435" i="14"/>
  <c r="H435" i="14" s="1"/>
  <c r="J435" i="14" s="1"/>
  <c r="H434" i="14"/>
  <c r="J434" i="14" s="1"/>
  <c r="F434" i="14"/>
  <c r="J433" i="14"/>
  <c r="J436" i="14" s="1"/>
  <c r="K436" i="14" s="1"/>
  <c r="F433" i="14"/>
  <c r="H433" i="14" s="1"/>
  <c r="J430" i="14"/>
  <c r="J431" i="14" s="1"/>
  <c r="F430" i="14"/>
  <c r="H430" i="14" s="1"/>
  <c r="H427" i="14"/>
  <c r="J427" i="14" s="1"/>
  <c r="F427" i="14"/>
  <c r="F426" i="14"/>
  <c r="H426" i="14" s="1"/>
  <c r="J426" i="14" s="1"/>
  <c r="H425" i="14"/>
  <c r="J425" i="14" s="1"/>
  <c r="F425" i="14"/>
  <c r="H422" i="14"/>
  <c r="J422" i="14" s="1"/>
  <c r="F422" i="14"/>
  <c r="F419" i="14"/>
  <c r="H419" i="14" s="1"/>
  <c r="J419" i="14" s="1"/>
  <c r="H418" i="14"/>
  <c r="J418" i="14" s="1"/>
  <c r="F418" i="14"/>
  <c r="F417" i="14"/>
  <c r="F416" i="14"/>
  <c r="H416" i="14" s="1"/>
  <c r="J414" i="14"/>
  <c r="H413" i="14"/>
  <c r="J413" i="14" s="1"/>
  <c r="F413" i="14"/>
  <c r="J412" i="14"/>
  <c r="F412" i="14"/>
  <c r="H412" i="14" s="1"/>
  <c r="H411" i="14"/>
  <c r="J411" i="14" s="1"/>
  <c r="F411" i="14"/>
  <c r="F410" i="14"/>
  <c r="H410" i="14" s="1"/>
  <c r="J410" i="14" s="1"/>
  <c r="H409" i="14"/>
  <c r="J409" i="14" s="1"/>
  <c r="F409" i="14"/>
  <c r="F406" i="14"/>
  <c r="H406" i="14" s="1"/>
  <c r="J406" i="14" s="1"/>
  <c r="H405" i="14"/>
  <c r="J405" i="14" s="1"/>
  <c r="F405" i="14"/>
  <c r="F404" i="14"/>
  <c r="H404" i="14" s="1"/>
  <c r="J404" i="14" s="1"/>
  <c r="H403" i="14"/>
  <c r="J403" i="14" s="1"/>
  <c r="F403" i="14"/>
  <c r="H400" i="14"/>
  <c r="J400" i="14" s="1"/>
  <c r="F400" i="14"/>
  <c r="F399" i="14"/>
  <c r="H399" i="14" s="1"/>
  <c r="J399" i="14" s="1"/>
  <c r="J401" i="14" s="1"/>
  <c r="H396" i="14"/>
  <c r="J396" i="14" s="1"/>
  <c r="F396" i="14"/>
  <c r="F395" i="14"/>
  <c r="H395" i="14" s="1"/>
  <c r="J395" i="14" s="1"/>
  <c r="H394" i="14"/>
  <c r="J394" i="14" s="1"/>
  <c r="F394" i="14"/>
  <c r="F393" i="14"/>
  <c r="H393" i="14" s="1"/>
  <c r="J393" i="14" s="1"/>
  <c r="J397" i="14" s="1"/>
  <c r="F390" i="14"/>
  <c r="H390" i="14" s="1"/>
  <c r="J390" i="14" s="1"/>
  <c r="H389" i="14"/>
  <c r="J389" i="14" s="1"/>
  <c r="F389" i="14"/>
  <c r="F386" i="14"/>
  <c r="H386" i="14" s="1"/>
  <c r="J386" i="14" s="1"/>
  <c r="H385" i="14"/>
  <c r="J385" i="14" s="1"/>
  <c r="F385" i="14"/>
  <c r="F383" i="14"/>
  <c r="H383" i="14" s="1"/>
  <c r="J383" i="14" s="1"/>
  <c r="H382" i="14"/>
  <c r="J382" i="14" s="1"/>
  <c r="F382" i="14"/>
  <c r="J381" i="14"/>
  <c r="F381" i="14"/>
  <c r="H381" i="14" s="1"/>
  <c r="J377" i="14"/>
  <c r="F377" i="14"/>
  <c r="H377" i="14" s="1"/>
  <c r="G376" i="14"/>
  <c r="H375" i="14"/>
  <c r="J375" i="14" s="1"/>
  <c r="F375" i="14"/>
  <c r="J372" i="14"/>
  <c r="F372" i="14"/>
  <c r="H372" i="14" s="1"/>
  <c r="H371" i="14"/>
  <c r="J371" i="14" s="1"/>
  <c r="F371" i="14"/>
  <c r="F370" i="14"/>
  <c r="H370" i="14" s="1"/>
  <c r="J370" i="14" s="1"/>
  <c r="H369" i="14"/>
  <c r="J369" i="14" s="1"/>
  <c r="F369" i="14"/>
  <c r="F368" i="14"/>
  <c r="H368" i="14" s="1"/>
  <c r="J368" i="14" s="1"/>
  <c r="H367" i="14"/>
  <c r="J367" i="14" s="1"/>
  <c r="F367" i="14"/>
  <c r="H363" i="14"/>
  <c r="J363" i="14" s="1"/>
  <c r="F363" i="14"/>
  <c r="F362" i="14"/>
  <c r="H359" i="14"/>
  <c r="J359" i="14" s="1"/>
  <c r="K180" i="13" s="1"/>
  <c r="L180" i="13" s="1"/>
  <c r="F359" i="14"/>
  <c r="F358" i="14"/>
  <c r="H358" i="14" s="1"/>
  <c r="J358" i="14" s="1"/>
  <c r="H357" i="14"/>
  <c r="J357" i="14" s="1"/>
  <c r="F357" i="14"/>
  <c r="F356" i="14"/>
  <c r="H356" i="14" s="1"/>
  <c r="J356" i="14" s="1"/>
  <c r="H355" i="14"/>
  <c r="J355" i="14" s="1"/>
  <c r="F355" i="14"/>
  <c r="F354" i="14"/>
  <c r="H354" i="14" s="1"/>
  <c r="J354" i="14" s="1"/>
  <c r="H353" i="14"/>
  <c r="J353" i="14" s="1"/>
  <c r="H352" i="14"/>
  <c r="J352" i="14" s="1"/>
  <c r="F352" i="14"/>
  <c r="F348" i="14"/>
  <c r="H348" i="14" s="1"/>
  <c r="J348" i="14" s="1"/>
  <c r="H347" i="14"/>
  <c r="J347" i="14" s="1"/>
  <c r="F347" i="14"/>
  <c r="F346" i="14"/>
  <c r="H346" i="14" s="1"/>
  <c r="J346" i="14" s="1"/>
  <c r="F343" i="14"/>
  <c r="H343" i="14" s="1"/>
  <c r="J343" i="14" s="1"/>
  <c r="H342" i="14"/>
  <c r="J342" i="14" s="1"/>
  <c r="F342" i="14"/>
  <c r="F341" i="14"/>
  <c r="H341" i="14" s="1"/>
  <c r="J341" i="14" s="1"/>
  <c r="J344" i="14" s="1"/>
  <c r="H337" i="14"/>
  <c r="J337" i="14" s="1"/>
  <c r="K124" i="13" s="1"/>
  <c r="F337" i="14"/>
  <c r="J336" i="14"/>
  <c r="F336" i="14"/>
  <c r="H336" i="14" s="1"/>
  <c r="H335" i="14"/>
  <c r="J335" i="14" s="1"/>
  <c r="K123" i="13" s="1"/>
  <c r="F335" i="14"/>
  <c r="F334" i="14"/>
  <c r="H334" i="14" s="1"/>
  <c r="J334" i="14" s="1"/>
  <c r="F331" i="14"/>
  <c r="H331" i="14" s="1"/>
  <c r="J331" i="14" s="1"/>
  <c r="J332" i="14" s="1"/>
  <c r="H328" i="14"/>
  <c r="J328" i="14" s="1"/>
  <c r="K201" i="13" s="1"/>
  <c r="L201" i="13" s="1"/>
  <c r="F328" i="14"/>
  <c r="F327" i="14"/>
  <c r="H327" i="14" s="1"/>
  <c r="J327" i="14" s="1"/>
  <c r="H326" i="14"/>
  <c r="J326" i="14" s="1"/>
  <c r="F326" i="14"/>
  <c r="F325" i="14"/>
  <c r="H325" i="14" s="1"/>
  <c r="J325" i="14" s="1"/>
  <c r="H324" i="14"/>
  <c r="J324" i="14" s="1"/>
  <c r="F324" i="14"/>
  <c r="H321" i="14"/>
  <c r="J321" i="14" s="1"/>
  <c r="F321" i="14"/>
  <c r="F320" i="14"/>
  <c r="H320" i="14" s="1"/>
  <c r="J320" i="14" s="1"/>
  <c r="F318" i="14"/>
  <c r="H318" i="14" s="1"/>
  <c r="J318" i="14" s="1"/>
  <c r="H317" i="14"/>
  <c r="J317" i="14" s="1"/>
  <c r="F317" i="14"/>
  <c r="F316" i="14"/>
  <c r="H316" i="14" s="1"/>
  <c r="J316" i="14" s="1"/>
  <c r="J322" i="14" s="1"/>
  <c r="H315" i="14"/>
  <c r="J315" i="14" s="1"/>
  <c r="F315" i="14"/>
  <c r="F312" i="14"/>
  <c r="H312" i="14" s="1"/>
  <c r="J312" i="14" s="1"/>
  <c r="H311" i="14"/>
  <c r="J311" i="14" s="1"/>
  <c r="F311" i="14"/>
  <c r="F310" i="14"/>
  <c r="H310" i="14" s="1"/>
  <c r="J310" i="14" s="1"/>
  <c r="H309" i="14"/>
  <c r="J309" i="14" s="1"/>
  <c r="F309" i="14"/>
  <c r="J308" i="14"/>
  <c r="F308" i="14"/>
  <c r="H308" i="14" s="1"/>
  <c r="H307" i="14"/>
  <c r="J307" i="14" s="1"/>
  <c r="J313" i="14" s="1"/>
  <c r="F307" i="14"/>
  <c r="H304" i="14"/>
  <c r="J304" i="14" s="1"/>
  <c r="J305" i="14" s="1"/>
  <c r="F304" i="14"/>
  <c r="J301" i="14"/>
  <c r="F301" i="14"/>
  <c r="H301" i="14" s="1"/>
  <c r="H300" i="14"/>
  <c r="J300" i="14" s="1"/>
  <c r="F300" i="14"/>
  <c r="F299" i="14"/>
  <c r="H299" i="14" s="1"/>
  <c r="J299" i="14" s="1"/>
  <c r="H298" i="14"/>
  <c r="J298" i="14" s="1"/>
  <c r="F298" i="14"/>
  <c r="H295" i="14"/>
  <c r="J295" i="14" s="1"/>
  <c r="J296" i="14" s="1"/>
  <c r="F295" i="14"/>
  <c r="F292" i="14"/>
  <c r="H292" i="14" s="1"/>
  <c r="J292" i="14" s="1"/>
  <c r="H291" i="14"/>
  <c r="J291" i="14" s="1"/>
  <c r="F291" i="14"/>
  <c r="J290" i="14"/>
  <c r="F290" i="14"/>
  <c r="H290" i="14" s="1"/>
  <c r="H289" i="14"/>
  <c r="J289" i="14" s="1"/>
  <c r="F289" i="14"/>
  <c r="F288" i="14"/>
  <c r="H288" i="14" s="1"/>
  <c r="J288" i="14" s="1"/>
  <c r="H287" i="14"/>
  <c r="J287" i="14" s="1"/>
  <c r="F287" i="14"/>
  <c r="F286" i="14"/>
  <c r="H286" i="14" s="1"/>
  <c r="J286" i="14" s="1"/>
  <c r="F284" i="14"/>
  <c r="H284" i="14" s="1"/>
  <c r="J284" i="14" s="1"/>
  <c r="H283" i="14"/>
  <c r="J283" i="14" s="1"/>
  <c r="F283" i="14"/>
  <c r="F282" i="14"/>
  <c r="H282" i="14" s="1"/>
  <c r="J282" i="14" s="1"/>
  <c r="H281" i="14"/>
  <c r="J281" i="14" s="1"/>
  <c r="F281" i="14"/>
  <c r="F278" i="14"/>
  <c r="H278" i="14" s="1"/>
  <c r="J278" i="14" s="1"/>
  <c r="H277" i="14"/>
  <c r="J277" i="14" s="1"/>
  <c r="K216" i="13" s="1"/>
  <c r="L216" i="13" s="1"/>
  <c r="F277" i="14"/>
  <c r="J276" i="14"/>
  <c r="F276" i="14"/>
  <c r="H276" i="14" s="1"/>
  <c r="H275" i="14"/>
  <c r="J275" i="14" s="1"/>
  <c r="F275" i="14"/>
  <c r="H272" i="14"/>
  <c r="J272" i="14" s="1"/>
  <c r="F272" i="14"/>
  <c r="F271" i="14"/>
  <c r="H271" i="14" s="1"/>
  <c r="J271" i="14" s="1"/>
  <c r="J273" i="14" s="1"/>
  <c r="H267" i="14"/>
  <c r="J267" i="14" s="1"/>
  <c r="F267" i="14"/>
  <c r="F266" i="14"/>
  <c r="H266" i="14" s="1"/>
  <c r="J266" i="14" s="1"/>
  <c r="H265" i="14"/>
  <c r="J265" i="14" s="1"/>
  <c r="F265" i="14"/>
  <c r="J264" i="14"/>
  <c r="F264" i="14"/>
  <c r="H264" i="14" s="1"/>
  <c r="J261" i="14"/>
  <c r="F261" i="14"/>
  <c r="H261" i="14" s="1"/>
  <c r="H260" i="14"/>
  <c r="J260" i="14" s="1"/>
  <c r="F260" i="14"/>
  <c r="F259" i="14"/>
  <c r="H259" i="14" s="1"/>
  <c r="J259" i="14" s="1"/>
  <c r="H258" i="14"/>
  <c r="J258" i="14" s="1"/>
  <c r="F258" i="14"/>
  <c r="F257" i="14"/>
  <c r="H257" i="14" s="1"/>
  <c r="J257" i="14" s="1"/>
  <c r="J262" i="14" s="1"/>
  <c r="D255" i="14"/>
  <c r="D531" i="14" s="1"/>
  <c r="G247" i="14"/>
  <c r="E247" i="14"/>
  <c r="D247" i="14"/>
  <c r="C247" i="14"/>
  <c r="G246" i="14"/>
  <c r="F246" i="14"/>
  <c r="E246" i="14"/>
  <c r="D246" i="14"/>
  <c r="C246" i="14"/>
  <c r="J245" i="14"/>
  <c r="G245" i="14"/>
  <c r="E245" i="14"/>
  <c r="D245" i="14"/>
  <c r="C245" i="14"/>
  <c r="H242" i="14"/>
  <c r="J242" i="14" s="1"/>
  <c r="K445" i="13" s="1"/>
  <c r="L445" i="13" s="1"/>
  <c r="F242" i="14"/>
  <c r="J241" i="14"/>
  <c r="F241" i="14"/>
  <c r="H241" i="14" s="1"/>
  <c r="J238" i="14"/>
  <c r="F238" i="14"/>
  <c r="H238" i="14" s="1"/>
  <c r="H235" i="14"/>
  <c r="J235" i="14" s="1"/>
  <c r="F235" i="14"/>
  <c r="F234" i="14"/>
  <c r="H234" i="14" s="1"/>
  <c r="J234" i="14" s="1"/>
  <c r="H233" i="14"/>
  <c r="J233" i="14" s="1"/>
  <c r="F233" i="14"/>
  <c r="F232" i="14"/>
  <c r="H232" i="14" s="1"/>
  <c r="J232" i="14" s="1"/>
  <c r="F229" i="14"/>
  <c r="H229" i="14" s="1"/>
  <c r="J229" i="14" s="1"/>
  <c r="H228" i="14"/>
  <c r="J228" i="14" s="1"/>
  <c r="F228" i="14"/>
  <c r="F225" i="14"/>
  <c r="H225" i="14" s="1"/>
  <c r="J225" i="14" s="1"/>
  <c r="H224" i="14"/>
  <c r="J224" i="14" s="1"/>
  <c r="F224" i="14"/>
  <c r="F223" i="14"/>
  <c r="H223" i="14" s="1"/>
  <c r="J223" i="14" s="1"/>
  <c r="F220" i="14"/>
  <c r="H220" i="14" s="1"/>
  <c r="J220" i="14" s="1"/>
  <c r="H217" i="14"/>
  <c r="J217" i="14" s="1"/>
  <c r="F217" i="14"/>
  <c r="J216" i="14"/>
  <c r="K382" i="13" s="1"/>
  <c r="M382" i="13" s="1"/>
  <c r="F216" i="14"/>
  <c r="H216" i="14" s="1"/>
  <c r="H215" i="14"/>
  <c r="J215" i="14" s="1"/>
  <c r="K381" i="13" s="1"/>
  <c r="F215" i="14"/>
  <c r="F214" i="14"/>
  <c r="H214" i="14" s="1"/>
  <c r="J214" i="14" s="1"/>
  <c r="K380" i="13" s="1"/>
  <c r="H213" i="14"/>
  <c r="J213" i="14" s="1"/>
  <c r="K379" i="13" s="1"/>
  <c r="F213" i="14"/>
  <c r="H210" i="14"/>
  <c r="J210" i="14" s="1"/>
  <c r="F210" i="14"/>
  <c r="J209" i="14"/>
  <c r="J211" i="14" s="1"/>
  <c r="F209" i="14"/>
  <c r="H209" i="14" s="1"/>
  <c r="H206" i="14"/>
  <c r="J206" i="14" s="1"/>
  <c r="K432" i="13" s="1"/>
  <c r="M432" i="13" s="1"/>
  <c r="F206" i="14"/>
  <c r="F205" i="14"/>
  <c r="H205" i="14" s="1"/>
  <c r="J205" i="14" s="1"/>
  <c r="H204" i="14"/>
  <c r="J204" i="14" s="1"/>
  <c r="K434" i="13" s="1"/>
  <c r="M434" i="13" s="1"/>
  <c r="F204" i="14"/>
  <c r="H201" i="14"/>
  <c r="J201" i="14" s="1"/>
  <c r="F201" i="14"/>
  <c r="F200" i="14"/>
  <c r="H200" i="14" s="1"/>
  <c r="J200" i="14" s="1"/>
  <c r="J202" i="14" s="1"/>
  <c r="H197" i="14"/>
  <c r="J197" i="14" s="1"/>
  <c r="K424" i="13" s="1"/>
  <c r="L424" i="13" s="1"/>
  <c r="F197" i="14"/>
  <c r="F196" i="14"/>
  <c r="H196" i="14" s="1"/>
  <c r="J196" i="14" s="1"/>
  <c r="K425" i="13" s="1"/>
  <c r="L425" i="13" s="1"/>
  <c r="H195" i="14"/>
  <c r="J195" i="14" s="1"/>
  <c r="K427" i="13" s="1"/>
  <c r="L427" i="13" s="1"/>
  <c r="F195" i="14"/>
  <c r="F194" i="14"/>
  <c r="H194" i="14" s="1"/>
  <c r="J194" i="14" s="1"/>
  <c r="F191" i="14"/>
  <c r="H191" i="14" s="1"/>
  <c r="J191" i="14" s="1"/>
  <c r="J192" i="14" s="1"/>
  <c r="H188" i="14"/>
  <c r="J188" i="14" s="1"/>
  <c r="K419" i="13" s="1"/>
  <c r="F188" i="14"/>
  <c r="J187" i="14"/>
  <c r="K415" i="13" s="1"/>
  <c r="F187" i="14"/>
  <c r="H187" i="14" s="1"/>
  <c r="H186" i="14"/>
  <c r="J186" i="14" s="1"/>
  <c r="K414" i="13" s="1"/>
  <c r="F186" i="14"/>
  <c r="F185" i="14"/>
  <c r="H185" i="14" s="1"/>
  <c r="J185" i="14" s="1"/>
  <c r="K416" i="13" s="1"/>
  <c r="H184" i="14"/>
  <c r="H245" i="14" s="1"/>
  <c r="F184" i="14"/>
  <c r="F245" i="14" s="1"/>
  <c r="F183" i="14"/>
  <c r="H183" i="14" s="1"/>
  <c r="J183" i="14" s="1"/>
  <c r="K418" i="13" s="1"/>
  <c r="H182" i="14"/>
  <c r="J182" i="14" s="1"/>
  <c r="K413" i="13" s="1"/>
  <c r="F182" i="14"/>
  <c r="H180" i="14"/>
  <c r="J180" i="14" s="1"/>
  <c r="F180" i="14"/>
  <c r="F179" i="14"/>
  <c r="H179" i="14" s="1"/>
  <c r="J179" i="14" s="1"/>
  <c r="H177" i="14"/>
  <c r="J177" i="14" s="1"/>
  <c r="F177" i="14"/>
  <c r="J176" i="14"/>
  <c r="J181" i="14" s="1"/>
  <c r="F176" i="14"/>
  <c r="H176" i="14" s="1"/>
  <c r="H173" i="14"/>
  <c r="J173" i="14" s="1"/>
  <c r="K403" i="13" s="1"/>
  <c r="M403" i="13" s="1"/>
  <c r="F173" i="14"/>
  <c r="F172" i="14"/>
  <c r="F247" i="14" s="1"/>
  <c r="H171" i="14"/>
  <c r="J171" i="14" s="1"/>
  <c r="K404" i="13" s="1"/>
  <c r="M404" i="13" s="1"/>
  <c r="F171" i="14"/>
  <c r="F170" i="14"/>
  <c r="H170" i="14" s="1"/>
  <c r="J170" i="14" s="1"/>
  <c r="K398" i="13" s="1"/>
  <c r="M398" i="13" s="1"/>
  <c r="H169" i="14"/>
  <c r="J169" i="14" s="1"/>
  <c r="K399" i="13" s="1"/>
  <c r="M399" i="13" s="1"/>
  <c r="F169" i="14"/>
  <c r="J168" i="14"/>
  <c r="F168" i="14"/>
  <c r="H168" i="14" s="1"/>
  <c r="H246" i="14" s="1"/>
  <c r="I167" i="14"/>
  <c r="F167" i="14"/>
  <c r="H167" i="14" s="1"/>
  <c r="H166" i="14"/>
  <c r="J166" i="14" s="1"/>
  <c r="F166" i="14"/>
  <c r="H163" i="14"/>
  <c r="J163" i="14" s="1"/>
  <c r="F163" i="14"/>
  <c r="F162" i="14"/>
  <c r="H162" i="14" s="1"/>
  <c r="J162" i="14" s="1"/>
  <c r="J164" i="14" s="1"/>
  <c r="E160" i="14"/>
  <c r="E255" i="14" s="1"/>
  <c r="E531" i="14" s="1"/>
  <c r="D160" i="14"/>
  <c r="G152" i="14"/>
  <c r="E152" i="14"/>
  <c r="D152" i="14"/>
  <c r="C152" i="14"/>
  <c r="K449" i="13" s="1"/>
  <c r="M449" i="13" s="1"/>
  <c r="E151" i="14"/>
  <c r="F151" i="14" s="1"/>
  <c r="H151" i="14" s="1"/>
  <c r="J151" i="14" s="1"/>
  <c r="D151" i="14"/>
  <c r="G148" i="14"/>
  <c r="F148" i="14"/>
  <c r="E148" i="14"/>
  <c r="D148" i="14"/>
  <c r="H147" i="14"/>
  <c r="G147" i="14"/>
  <c r="F147" i="14"/>
  <c r="E147" i="14"/>
  <c r="D147" i="14"/>
  <c r="H146" i="14"/>
  <c r="G146" i="14"/>
  <c r="F146" i="14"/>
  <c r="E146" i="14"/>
  <c r="D146" i="14"/>
  <c r="H145" i="14"/>
  <c r="G145" i="14"/>
  <c r="F145" i="14"/>
  <c r="E145" i="14"/>
  <c r="D145" i="14"/>
  <c r="C145" i="14"/>
  <c r="F142" i="14"/>
  <c r="H142" i="14" s="1"/>
  <c r="J142" i="14" s="1"/>
  <c r="H141" i="14"/>
  <c r="J141" i="14" s="1"/>
  <c r="F141" i="14"/>
  <c r="F140" i="14"/>
  <c r="H140" i="14" s="1"/>
  <c r="J140" i="14" s="1"/>
  <c r="H137" i="14"/>
  <c r="J137" i="14" s="1"/>
  <c r="F137" i="14"/>
  <c r="F134" i="14"/>
  <c r="H134" i="14" s="1"/>
  <c r="J134" i="14" s="1"/>
  <c r="H133" i="14"/>
  <c r="J133" i="14" s="1"/>
  <c r="J135" i="14" s="1"/>
  <c r="F133" i="14"/>
  <c r="J130" i="14"/>
  <c r="K135" i="14" s="1"/>
  <c r="H130" i="14"/>
  <c r="I130" i="14" s="1"/>
  <c r="F130" i="14"/>
  <c r="F127" i="14"/>
  <c r="H127" i="14" s="1"/>
  <c r="J127" i="14" s="1"/>
  <c r="H126" i="14"/>
  <c r="J126" i="14" s="1"/>
  <c r="J128" i="14" s="1"/>
  <c r="F126" i="14"/>
  <c r="H123" i="14"/>
  <c r="J123" i="14" s="1"/>
  <c r="F123" i="14"/>
  <c r="H120" i="14"/>
  <c r="F120" i="14"/>
  <c r="F119" i="14"/>
  <c r="H119" i="14" s="1"/>
  <c r="J119" i="14" s="1"/>
  <c r="H118" i="14"/>
  <c r="J118" i="14" s="1"/>
  <c r="F118" i="14"/>
  <c r="J117" i="14"/>
  <c r="F117" i="14"/>
  <c r="H117" i="14" s="1"/>
  <c r="H116" i="14"/>
  <c r="J116" i="14" s="1"/>
  <c r="F116" i="14"/>
  <c r="H114" i="14"/>
  <c r="J114" i="14" s="1"/>
  <c r="F114" i="14"/>
  <c r="F113" i="14"/>
  <c r="H113" i="14" s="1"/>
  <c r="J113" i="14" s="1"/>
  <c r="H112" i="14"/>
  <c r="J112" i="14" s="1"/>
  <c r="F112" i="14"/>
  <c r="F109" i="14"/>
  <c r="H109" i="14" s="1"/>
  <c r="F108" i="14"/>
  <c r="H108" i="14" s="1"/>
  <c r="H107" i="14"/>
  <c r="J107" i="14" s="1"/>
  <c r="F107" i="14"/>
  <c r="J105" i="14"/>
  <c r="H104" i="14"/>
  <c r="J104" i="14" s="1"/>
  <c r="F104" i="14"/>
  <c r="F100" i="14"/>
  <c r="H100" i="14" s="1"/>
  <c r="J100" i="14" s="1"/>
  <c r="J102" i="14" s="1"/>
  <c r="F97" i="14"/>
  <c r="H97" i="14" s="1"/>
  <c r="J97" i="14" s="1"/>
  <c r="J98" i="14" s="1"/>
  <c r="H93" i="14"/>
  <c r="J93" i="14" s="1"/>
  <c r="K358" i="13" s="1"/>
  <c r="F93" i="14"/>
  <c r="F92" i="14"/>
  <c r="H92" i="14" s="1"/>
  <c r="J92" i="14" s="1"/>
  <c r="F89" i="14"/>
  <c r="H89" i="14" s="1"/>
  <c r="J89" i="14" s="1"/>
  <c r="J90" i="14" s="1"/>
  <c r="H86" i="14"/>
  <c r="J86" i="14" s="1"/>
  <c r="F86" i="14"/>
  <c r="F85" i="14"/>
  <c r="H85" i="14" s="1"/>
  <c r="J85" i="14" s="1"/>
  <c r="H84" i="14"/>
  <c r="J84" i="14" s="1"/>
  <c r="F84" i="14"/>
  <c r="F83" i="14"/>
  <c r="H83" i="14" s="1"/>
  <c r="J83" i="14" s="1"/>
  <c r="F80" i="14"/>
  <c r="H80" i="14" s="1"/>
  <c r="J80" i="14" s="1"/>
  <c r="H79" i="14"/>
  <c r="J79" i="14" s="1"/>
  <c r="F79" i="14"/>
  <c r="F76" i="14"/>
  <c r="H76" i="14" s="1"/>
  <c r="J76" i="14" s="1"/>
  <c r="K62" i="13" s="1"/>
  <c r="H75" i="14"/>
  <c r="J75" i="14" s="1"/>
  <c r="F75" i="14"/>
  <c r="F74" i="14"/>
  <c r="H74" i="14" s="1"/>
  <c r="J74" i="14" s="1"/>
  <c r="H73" i="14"/>
  <c r="J73" i="14" s="1"/>
  <c r="K60" i="13" s="1"/>
  <c r="F73" i="14"/>
  <c r="J72" i="14"/>
  <c r="F72" i="14"/>
  <c r="H72" i="14" s="1"/>
  <c r="J68" i="14"/>
  <c r="J70" i="14" s="1"/>
  <c r="F68" i="14"/>
  <c r="H68" i="14" s="1"/>
  <c r="H65" i="14"/>
  <c r="J65" i="14" s="1"/>
  <c r="F65" i="14"/>
  <c r="F64" i="14"/>
  <c r="H64" i="14" s="1"/>
  <c r="J64" i="14" s="1"/>
  <c r="H63" i="14"/>
  <c r="J63" i="14" s="1"/>
  <c r="F63" i="14"/>
  <c r="H59" i="14"/>
  <c r="J59" i="14" s="1"/>
  <c r="F59" i="14"/>
  <c r="F58" i="14"/>
  <c r="H58" i="14" s="1"/>
  <c r="J58" i="14" s="1"/>
  <c r="J61" i="14" s="1"/>
  <c r="H55" i="14"/>
  <c r="J55" i="14" s="1"/>
  <c r="F55" i="14"/>
  <c r="F54" i="14"/>
  <c r="H54" i="14" s="1"/>
  <c r="J54" i="14" s="1"/>
  <c r="F51" i="14"/>
  <c r="H51" i="14" s="1"/>
  <c r="J51" i="14" s="1"/>
  <c r="H50" i="14"/>
  <c r="J50" i="14" s="1"/>
  <c r="J52" i="14" s="1"/>
  <c r="F50" i="14"/>
  <c r="H48" i="14"/>
  <c r="H47" i="14"/>
  <c r="J47" i="14" s="1"/>
  <c r="F47" i="14"/>
  <c r="F46" i="14"/>
  <c r="H46" i="14" s="1"/>
  <c r="J46" i="14" s="1"/>
  <c r="H45" i="14"/>
  <c r="J45" i="14" s="1"/>
  <c r="F45" i="14"/>
  <c r="H41" i="14"/>
  <c r="J41" i="14" s="1"/>
  <c r="F41" i="14"/>
  <c r="J40" i="14"/>
  <c r="J43" i="14" s="1"/>
  <c r="F40" i="14"/>
  <c r="H40" i="14" s="1"/>
  <c r="H37" i="14"/>
  <c r="J37" i="14" s="1"/>
  <c r="F37" i="14"/>
  <c r="F36" i="14"/>
  <c r="H36" i="14" s="1"/>
  <c r="J36" i="14" s="1"/>
  <c r="K20" i="13" s="1"/>
  <c r="H35" i="14"/>
  <c r="J35" i="14" s="1"/>
  <c r="F35" i="14"/>
  <c r="F34" i="14"/>
  <c r="F31" i="14"/>
  <c r="H31" i="14" s="1"/>
  <c r="J31" i="14" s="1"/>
  <c r="H28" i="14"/>
  <c r="J28" i="14" s="1"/>
  <c r="F28" i="14"/>
  <c r="F27" i="14"/>
  <c r="H27" i="14" s="1"/>
  <c r="J27" i="14" s="1"/>
  <c r="H26" i="14"/>
  <c r="J26" i="14" s="1"/>
  <c r="J29" i="14" s="1"/>
  <c r="F26" i="14"/>
  <c r="J24" i="14"/>
  <c r="K29" i="14" s="1"/>
  <c r="H22" i="14"/>
  <c r="J22" i="14" s="1"/>
  <c r="F22" i="14"/>
  <c r="F19" i="14"/>
  <c r="H19" i="14" s="1"/>
  <c r="J19" i="14" s="1"/>
  <c r="H18" i="14"/>
  <c r="J18" i="14" s="1"/>
  <c r="F18" i="14"/>
  <c r="F17" i="14"/>
  <c r="H17" i="14" s="1"/>
  <c r="J17" i="14" s="1"/>
  <c r="K9" i="13" s="1"/>
  <c r="H16" i="14"/>
  <c r="J16" i="14" s="1"/>
  <c r="F16" i="14"/>
  <c r="F15" i="14"/>
  <c r="H15" i="14" s="1"/>
  <c r="J15" i="14" s="1"/>
  <c r="H14" i="14"/>
  <c r="J14" i="14" s="1"/>
  <c r="F14" i="14"/>
  <c r="H11" i="14"/>
  <c r="J11" i="14" s="1"/>
  <c r="F11" i="14"/>
  <c r="F10" i="14"/>
  <c r="H10" i="14" s="1"/>
  <c r="J10" i="14" s="1"/>
  <c r="H9" i="14"/>
  <c r="J9" i="14" s="1"/>
  <c r="F9" i="14"/>
  <c r="F7" i="14"/>
  <c r="H7" i="14" s="1"/>
  <c r="J7" i="14" s="1"/>
  <c r="H6" i="14"/>
  <c r="J6" i="14" s="1"/>
  <c r="J12" i="14" s="1"/>
  <c r="F6" i="14"/>
  <c r="D2" i="14"/>
  <c r="I466" i="13"/>
  <c r="I465" i="13"/>
  <c r="I464" i="13"/>
  <c r="I463" i="13"/>
  <c r="I462" i="13"/>
  <c r="I461" i="13"/>
  <c r="I460" i="13"/>
  <c r="I459" i="13"/>
  <c r="I458" i="13"/>
  <c r="I457" i="13"/>
  <c r="I456" i="13"/>
  <c r="L456" i="13" s="1"/>
  <c r="I455" i="13"/>
  <c r="L455" i="13" s="1"/>
  <c r="I454" i="13"/>
  <c r="L454" i="13" s="1"/>
  <c r="E453" i="13"/>
  <c r="D453" i="13"/>
  <c r="I452" i="13"/>
  <c r="F452" i="13"/>
  <c r="K451" i="13"/>
  <c r="F451" i="13"/>
  <c r="K450" i="13"/>
  <c r="F450" i="13"/>
  <c r="F449" i="13"/>
  <c r="I448" i="13"/>
  <c r="F448" i="13"/>
  <c r="F447" i="13"/>
  <c r="F446" i="13"/>
  <c r="F445" i="13"/>
  <c r="F444" i="13"/>
  <c r="K443" i="13"/>
  <c r="M443" i="13" s="1"/>
  <c r="F443" i="13"/>
  <c r="I442" i="13"/>
  <c r="F442" i="13"/>
  <c r="F441" i="13"/>
  <c r="F440" i="13"/>
  <c r="F439" i="13"/>
  <c r="F438" i="13"/>
  <c r="F437" i="13"/>
  <c r="I436" i="13"/>
  <c r="F436" i="13"/>
  <c r="F435" i="13"/>
  <c r="F434" i="13"/>
  <c r="F433" i="13"/>
  <c r="F432" i="13"/>
  <c r="K431" i="13"/>
  <c r="M431" i="13" s="1"/>
  <c r="F431" i="13"/>
  <c r="F430" i="13"/>
  <c r="I429" i="13"/>
  <c r="F429" i="13"/>
  <c r="F428" i="13"/>
  <c r="F427" i="13"/>
  <c r="F426" i="13"/>
  <c r="F425" i="13"/>
  <c r="F424" i="13"/>
  <c r="F423" i="13"/>
  <c r="K422" i="13"/>
  <c r="M422" i="13" s="1"/>
  <c r="F422" i="13"/>
  <c r="I421" i="13"/>
  <c r="F421" i="13"/>
  <c r="F420" i="13"/>
  <c r="F419" i="13"/>
  <c r="F418" i="13"/>
  <c r="F417" i="13"/>
  <c r="F416" i="13"/>
  <c r="F415" i="13"/>
  <c r="F414" i="13"/>
  <c r="F413" i="13"/>
  <c r="F412" i="13"/>
  <c r="F411" i="13"/>
  <c r="K410" i="13"/>
  <c r="M410" i="13" s="1"/>
  <c r="F410" i="13"/>
  <c r="F409" i="13"/>
  <c r="F408" i="13"/>
  <c r="I407" i="13"/>
  <c r="F407" i="13"/>
  <c r="F406" i="13"/>
  <c r="F405" i="13"/>
  <c r="F404" i="13"/>
  <c r="F403" i="13"/>
  <c r="F402" i="13"/>
  <c r="F401" i="13"/>
  <c r="F400" i="13"/>
  <c r="F399" i="13"/>
  <c r="F398" i="13"/>
  <c r="K397" i="13"/>
  <c r="M397" i="13" s="1"/>
  <c r="F397" i="13"/>
  <c r="F396" i="13"/>
  <c r="F395" i="13"/>
  <c r="F394" i="13"/>
  <c r="K393" i="13"/>
  <c r="I393" i="13"/>
  <c r="F393" i="13"/>
  <c r="K392" i="13"/>
  <c r="M392" i="13" s="1"/>
  <c r="F392" i="13"/>
  <c r="K391" i="13"/>
  <c r="F391" i="13"/>
  <c r="K390" i="13"/>
  <c r="F390" i="13"/>
  <c r="F389" i="13"/>
  <c r="K388" i="13"/>
  <c r="F388" i="13"/>
  <c r="F387" i="13"/>
  <c r="F386" i="13"/>
  <c r="I385" i="13"/>
  <c r="F385" i="13"/>
  <c r="F384" i="13"/>
  <c r="K383" i="13"/>
  <c r="M383" i="13" s="1"/>
  <c r="F383" i="13"/>
  <c r="F382" i="13"/>
  <c r="F381" i="13"/>
  <c r="F380" i="13"/>
  <c r="F379" i="13"/>
  <c r="F378" i="13"/>
  <c r="F377" i="13"/>
  <c r="K376" i="13"/>
  <c r="M376" i="13" s="1"/>
  <c r="I376" i="13"/>
  <c r="F376" i="13"/>
  <c r="K375" i="13"/>
  <c r="M375" i="13" s="1"/>
  <c r="F375" i="13"/>
  <c r="K374" i="13"/>
  <c r="F374" i="13"/>
  <c r="K373" i="13"/>
  <c r="F373" i="13"/>
  <c r="K372" i="13"/>
  <c r="F372" i="13"/>
  <c r="F371" i="13"/>
  <c r="I370" i="13"/>
  <c r="F370" i="13"/>
  <c r="I369" i="13"/>
  <c r="F369" i="13"/>
  <c r="F368" i="13"/>
  <c r="F367" i="13"/>
  <c r="F366" i="13"/>
  <c r="F365" i="13"/>
  <c r="F364" i="13"/>
  <c r="K363" i="13"/>
  <c r="M363" i="13" s="1"/>
  <c r="F363" i="13"/>
  <c r="I362" i="13"/>
  <c r="F362" i="13"/>
  <c r="F361" i="13"/>
  <c r="F360" i="13"/>
  <c r="F359" i="13"/>
  <c r="F358" i="13"/>
  <c r="F357" i="13"/>
  <c r="F356" i="13"/>
  <c r="F355" i="13"/>
  <c r="F354" i="13"/>
  <c r="F353" i="13"/>
  <c r="F352" i="13"/>
  <c r="K351" i="13"/>
  <c r="M351" i="13" s="1"/>
  <c r="F351" i="13"/>
  <c r="F350" i="13"/>
  <c r="K349" i="13"/>
  <c r="M349" i="13" s="1"/>
  <c r="F349" i="13"/>
  <c r="I348" i="13"/>
  <c r="F348" i="13"/>
  <c r="F347" i="13"/>
  <c r="F346" i="13"/>
  <c r="F345" i="13"/>
  <c r="F344" i="13"/>
  <c r="F343" i="13"/>
  <c r="F342" i="13"/>
  <c r="F341" i="13"/>
  <c r="K340" i="13"/>
  <c r="M340" i="13" s="1"/>
  <c r="F340" i="13"/>
  <c r="F339" i="13"/>
  <c r="K338" i="13"/>
  <c r="M338" i="13" s="1"/>
  <c r="I338" i="13"/>
  <c r="F338" i="13"/>
  <c r="K337" i="13"/>
  <c r="M337" i="13" s="1"/>
  <c r="F337" i="13"/>
  <c r="K336" i="13"/>
  <c r="F336" i="13"/>
  <c r="K335" i="13"/>
  <c r="L335" i="13" s="1"/>
  <c r="F335" i="13"/>
  <c r="K334" i="13"/>
  <c r="L334" i="13" s="1"/>
  <c r="F334" i="13"/>
  <c r="K333" i="13"/>
  <c r="L333" i="13" s="1"/>
  <c r="F333" i="13"/>
  <c r="K332" i="13"/>
  <c r="F332" i="13"/>
  <c r="K331" i="13"/>
  <c r="L331" i="13" s="1"/>
  <c r="F331" i="13"/>
  <c r="K330" i="13"/>
  <c r="L330" i="13" s="1"/>
  <c r="F330" i="13"/>
  <c r="F329" i="13"/>
  <c r="K328" i="13"/>
  <c r="F328" i="13"/>
  <c r="K327" i="13"/>
  <c r="L327" i="13" s="1"/>
  <c r="F327" i="13"/>
  <c r="F326" i="13"/>
  <c r="K325" i="13"/>
  <c r="M325" i="13" s="1"/>
  <c r="F325" i="13"/>
  <c r="F324" i="13"/>
  <c r="K323" i="13"/>
  <c r="M323" i="13" s="1"/>
  <c r="F323" i="13"/>
  <c r="K322" i="13"/>
  <c r="I322" i="13"/>
  <c r="F322" i="13"/>
  <c r="K321" i="13"/>
  <c r="M321" i="13" s="1"/>
  <c r="F321" i="13"/>
  <c r="K320" i="13"/>
  <c r="M320" i="13" s="1"/>
  <c r="F320" i="13"/>
  <c r="K319" i="13"/>
  <c r="M319" i="13" s="1"/>
  <c r="F319" i="13"/>
  <c r="K318" i="13"/>
  <c r="M318" i="13" s="1"/>
  <c r="F318" i="13"/>
  <c r="K317" i="13"/>
  <c r="F317" i="13"/>
  <c r="K316" i="13"/>
  <c r="M316" i="13" s="1"/>
  <c r="F316" i="13"/>
  <c r="F315" i="13"/>
  <c r="K314" i="13"/>
  <c r="M314" i="13" s="1"/>
  <c r="F314" i="13"/>
  <c r="K313" i="13"/>
  <c r="M313" i="13" s="1"/>
  <c r="I313" i="13"/>
  <c r="F313" i="13"/>
  <c r="K312" i="13"/>
  <c r="M312" i="13" s="1"/>
  <c r="F312" i="13"/>
  <c r="K311" i="13"/>
  <c r="M311" i="13" s="1"/>
  <c r="F311" i="13"/>
  <c r="K310" i="13"/>
  <c r="F310" i="13"/>
  <c r="K309" i="13"/>
  <c r="M309" i="13" s="1"/>
  <c r="F309" i="13"/>
  <c r="K308" i="13"/>
  <c r="M308" i="13" s="1"/>
  <c r="F308" i="13"/>
  <c r="K307" i="13"/>
  <c r="M307" i="13" s="1"/>
  <c r="F307" i="13"/>
  <c r="K306" i="13"/>
  <c r="M306" i="13" s="1"/>
  <c r="F306" i="13"/>
  <c r="F305" i="13"/>
  <c r="K304" i="13"/>
  <c r="M304" i="13" s="1"/>
  <c r="I304" i="13"/>
  <c r="F304" i="13"/>
  <c r="K303" i="13"/>
  <c r="M303" i="13" s="1"/>
  <c r="F303" i="13"/>
  <c r="K302" i="13"/>
  <c r="M302" i="13" s="1"/>
  <c r="F302" i="13"/>
  <c r="K301" i="13"/>
  <c r="M301" i="13" s="1"/>
  <c r="F301" i="13"/>
  <c r="K300" i="13"/>
  <c r="M300" i="13" s="1"/>
  <c r="F300" i="13"/>
  <c r="K299" i="13"/>
  <c r="M299" i="13" s="1"/>
  <c r="F299" i="13"/>
  <c r="K298" i="13"/>
  <c r="I298" i="13"/>
  <c r="F298" i="13"/>
  <c r="K297" i="13"/>
  <c r="M297" i="13" s="1"/>
  <c r="F297" i="13"/>
  <c r="K296" i="13"/>
  <c r="F296" i="13"/>
  <c r="K295" i="13"/>
  <c r="L295" i="13" s="1"/>
  <c r="F295" i="13"/>
  <c r="K294" i="13"/>
  <c r="F294" i="13"/>
  <c r="K293" i="13"/>
  <c r="L293" i="13" s="1"/>
  <c r="F293" i="13"/>
  <c r="F292" i="13"/>
  <c r="K291" i="13"/>
  <c r="M291" i="13" s="1"/>
  <c r="F291" i="13"/>
  <c r="K290" i="13"/>
  <c r="I290" i="13"/>
  <c r="F290" i="13"/>
  <c r="K289" i="13"/>
  <c r="M289" i="13" s="1"/>
  <c r="F289" i="13"/>
  <c r="K288" i="13"/>
  <c r="F288" i="13"/>
  <c r="K287" i="13"/>
  <c r="L287" i="13" s="1"/>
  <c r="F287" i="13"/>
  <c r="K286" i="13"/>
  <c r="L286" i="13" s="1"/>
  <c r="F286" i="13"/>
  <c r="K285" i="13"/>
  <c r="M285" i="13" s="1"/>
  <c r="F285" i="13"/>
  <c r="K284" i="13"/>
  <c r="M284" i="13" s="1"/>
  <c r="I284" i="13"/>
  <c r="F284" i="13"/>
  <c r="K283" i="13"/>
  <c r="M283" i="13" s="1"/>
  <c r="F283" i="13"/>
  <c r="K282" i="13"/>
  <c r="F282" i="13"/>
  <c r="K281" i="13"/>
  <c r="F281" i="13"/>
  <c r="K280" i="13"/>
  <c r="F280" i="13"/>
  <c r="K279" i="13"/>
  <c r="F279" i="13"/>
  <c r="K278" i="13"/>
  <c r="F278" i="13"/>
  <c r="K277" i="13"/>
  <c r="F277" i="13"/>
  <c r="K276" i="13"/>
  <c r="M276" i="13" s="1"/>
  <c r="F276" i="13"/>
  <c r="K275" i="13"/>
  <c r="M275" i="13" s="1"/>
  <c r="F275" i="13"/>
  <c r="K274" i="13"/>
  <c r="M274" i="13" s="1"/>
  <c r="F274" i="13"/>
  <c r="K273" i="13"/>
  <c r="M273" i="13" s="1"/>
  <c r="F273" i="13"/>
  <c r="K272" i="13"/>
  <c r="M272" i="13" s="1"/>
  <c r="F272" i="13"/>
  <c r="K271" i="13"/>
  <c r="I271" i="13"/>
  <c r="F271" i="13"/>
  <c r="K270" i="13"/>
  <c r="M270" i="13" s="1"/>
  <c r="F270" i="13"/>
  <c r="K269" i="13"/>
  <c r="F269" i="13"/>
  <c r="K268" i="13"/>
  <c r="F268" i="13"/>
  <c r="K267" i="13"/>
  <c r="F267" i="13"/>
  <c r="K266" i="13"/>
  <c r="M266" i="13" s="1"/>
  <c r="F266" i="13"/>
  <c r="K265" i="13"/>
  <c r="I265" i="13"/>
  <c r="F265" i="13"/>
  <c r="K264" i="13"/>
  <c r="M264" i="13" s="1"/>
  <c r="F264" i="13"/>
  <c r="F263" i="13"/>
  <c r="K262" i="13"/>
  <c r="L262" i="13" s="1"/>
  <c r="F262" i="13"/>
  <c r="F261" i="13"/>
  <c r="K260" i="13"/>
  <c r="M260" i="13" s="1"/>
  <c r="F260" i="13"/>
  <c r="K259" i="13"/>
  <c r="M259" i="13" s="1"/>
  <c r="F259" i="13"/>
  <c r="K258" i="13"/>
  <c r="M258" i="13" s="1"/>
  <c r="F258" i="13"/>
  <c r="K257" i="13"/>
  <c r="M257" i="13" s="1"/>
  <c r="F257" i="13"/>
  <c r="K256" i="13"/>
  <c r="M256" i="13" s="1"/>
  <c r="F256" i="13"/>
  <c r="K255" i="13"/>
  <c r="M255" i="13" s="1"/>
  <c r="F255" i="13"/>
  <c r="K254" i="13"/>
  <c r="F254" i="13"/>
  <c r="K253" i="13"/>
  <c r="F253" i="13"/>
  <c r="K252" i="13"/>
  <c r="F252" i="13"/>
  <c r="K251" i="13"/>
  <c r="M251" i="13" s="1"/>
  <c r="F251" i="13"/>
  <c r="K250" i="13"/>
  <c r="M250" i="13" s="1"/>
  <c r="F250" i="13"/>
  <c r="K249" i="13"/>
  <c r="L249" i="13" s="1"/>
  <c r="F249" i="13"/>
  <c r="K248" i="13"/>
  <c r="L248" i="13" s="1"/>
  <c r="F248" i="13"/>
  <c r="K247" i="13"/>
  <c r="L247" i="13" s="1"/>
  <c r="F247" i="13"/>
  <c r="K246" i="13"/>
  <c r="M246" i="13" s="1"/>
  <c r="F246" i="13"/>
  <c r="K245" i="13"/>
  <c r="M245" i="13" s="1"/>
  <c r="F245" i="13"/>
  <c r="K244" i="13"/>
  <c r="F244" i="13"/>
  <c r="K243" i="13"/>
  <c r="F243" i="13"/>
  <c r="K242" i="13"/>
  <c r="F242" i="13"/>
  <c r="K241" i="13"/>
  <c r="M241" i="13" s="1"/>
  <c r="F241" i="13"/>
  <c r="K240" i="13"/>
  <c r="M240" i="13" s="1"/>
  <c r="F240" i="13"/>
  <c r="K239" i="13"/>
  <c r="M239" i="13" s="1"/>
  <c r="F239" i="13"/>
  <c r="K238" i="13"/>
  <c r="L238" i="13" s="1"/>
  <c r="F238" i="13"/>
  <c r="K237" i="13"/>
  <c r="L237" i="13" s="1"/>
  <c r="F237" i="13"/>
  <c r="K236" i="13"/>
  <c r="M236" i="13" s="1"/>
  <c r="F236" i="13"/>
  <c r="K235" i="13"/>
  <c r="M235" i="13" s="1"/>
  <c r="F235" i="13"/>
  <c r="K234" i="13"/>
  <c r="M234" i="13" s="1"/>
  <c r="F234" i="13"/>
  <c r="K233" i="13"/>
  <c r="M233" i="13" s="1"/>
  <c r="F233" i="13"/>
  <c r="K232" i="13"/>
  <c r="M232" i="13" s="1"/>
  <c r="F232" i="13"/>
  <c r="K231" i="13"/>
  <c r="M231" i="13" s="1"/>
  <c r="F231" i="13"/>
  <c r="K230" i="13"/>
  <c r="M230" i="13" s="1"/>
  <c r="I230" i="13"/>
  <c r="F230" i="13"/>
  <c r="K229" i="13"/>
  <c r="M229" i="13" s="1"/>
  <c r="F229" i="13"/>
  <c r="K228" i="13"/>
  <c r="M228" i="13" s="1"/>
  <c r="F228" i="13"/>
  <c r="K227" i="13"/>
  <c r="M227" i="13" s="1"/>
  <c r="F227" i="13"/>
  <c r="K226" i="13"/>
  <c r="M226" i="13" s="1"/>
  <c r="F226" i="13"/>
  <c r="K225" i="13"/>
  <c r="M225" i="13" s="1"/>
  <c r="F225" i="13"/>
  <c r="K224" i="13"/>
  <c r="M224" i="13" s="1"/>
  <c r="F224" i="13"/>
  <c r="K223" i="13"/>
  <c r="M223" i="13" s="1"/>
  <c r="F223" i="13"/>
  <c r="K222" i="13"/>
  <c r="M222" i="13" s="1"/>
  <c r="F222" i="13"/>
  <c r="K221" i="13"/>
  <c r="M221" i="13" s="1"/>
  <c r="F221" i="13"/>
  <c r="K220" i="13"/>
  <c r="M220" i="13" s="1"/>
  <c r="F220" i="13"/>
  <c r="F219" i="13"/>
  <c r="K218" i="13"/>
  <c r="M218" i="13" s="1"/>
  <c r="F218" i="13"/>
  <c r="K217" i="13"/>
  <c r="M217" i="13" s="1"/>
  <c r="F217" i="13"/>
  <c r="F216" i="13"/>
  <c r="K215" i="13"/>
  <c r="M215" i="13" s="1"/>
  <c r="F215" i="13"/>
  <c r="K214" i="13"/>
  <c r="M214" i="13" s="1"/>
  <c r="F214" i="13"/>
  <c r="K213" i="13"/>
  <c r="M213" i="13" s="1"/>
  <c r="F213" i="13"/>
  <c r="K212" i="13"/>
  <c r="L212" i="13" s="1"/>
  <c r="F212" i="13"/>
  <c r="K211" i="13"/>
  <c r="L211" i="13" s="1"/>
  <c r="F211" i="13"/>
  <c r="K210" i="13"/>
  <c r="L210" i="13" s="1"/>
  <c r="F210" i="13"/>
  <c r="K209" i="13"/>
  <c r="L209" i="13" s="1"/>
  <c r="F209" i="13"/>
  <c r="K208" i="13"/>
  <c r="M208" i="13" s="1"/>
  <c r="F208" i="13"/>
  <c r="K207" i="13"/>
  <c r="M207" i="13" s="1"/>
  <c r="F207" i="13"/>
  <c r="K206" i="13"/>
  <c r="M206" i="13" s="1"/>
  <c r="F206" i="13"/>
  <c r="K205" i="13"/>
  <c r="F205" i="13"/>
  <c r="K204" i="13"/>
  <c r="F204" i="13"/>
  <c r="K203" i="13"/>
  <c r="M203" i="13" s="1"/>
  <c r="F203" i="13"/>
  <c r="K202" i="13"/>
  <c r="M202" i="13" s="1"/>
  <c r="F202" i="13"/>
  <c r="F201" i="13"/>
  <c r="K200" i="13"/>
  <c r="M200" i="13" s="1"/>
  <c r="F200" i="13"/>
  <c r="K199" i="13"/>
  <c r="M199" i="13" s="1"/>
  <c r="F199" i="13"/>
  <c r="K198" i="13"/>
  <c r="M198" i="13" s="1"/>
  <c r="F198" i="13"/>
  <c r="K197" i="13"/>
  <c r="M197" i="13" s="1"/>
  <c r="F197" i="13"/>
  <c r="K196" i="13"/>
  <c r="M196" i="13" s="1"/>
  <c r="F196" i="13"/>
  <c r="K195" i="13"/>
  <c r="M195" i="13" s="1"/>
  <c r="F195" i="13"/>
  <c r="K194" i="13"/>
  <c r="M194" i="13" s="1"/>
  <c r="F194" i="13"/>
  <c r="K193" i="13"/>
  <c r="L193" i="13" s="1"/>
  <c r="F193" i="13"/>
  <c r="K192" i="13"/>
  <c r="L192" i="13" s="1"/>
  <c r="F192" i="13"/>
  <c r="K191" i="13"/>
  <c r="L191" i="13" s="1"/>
  <c r="F191" i="13"/>
  <c r="K190" i="13"/>
  <c r="L190" i="13" s="1"/>
  <c r="F190" i="13"/>
  <c r="K189" i="13"/>
  <c r="L189" i="13" s="1"/>
  <c r="F189" i="13"/>
  <c r="F188" i="13"/>
  <c r="K187" i="13"/>
  <c r="M187" i="13" s="1"/>
  <c r="F187" i="13"/>
  <c r="K186" i="13"/>
  <c r="M186" i="13" s="1"/>
  <c r="F186" i="13"/>
  <c r="K185" i="13"/>
  <c r="M185" i="13" s="1"/>
  <c r="F185" i="13"/>
  <c r="K184" i="13"/>
  <c r="M184" i="13" s="1"/>
  <c r="F184" i="13"/>
  <c r="K183" i="13"/>
  <c r="M183" i="13" s="1"/>
  <c r="F183" i="13"/>
  <c r="K182" i="13"/>
  <c r="M182" i="13" s="1"/>
  <c r="F182" i="13"/>
  <c r="K181" i="13"/>
  <c r="L181" i="13" s="1"/>
  <c r="F181" i="13"/>
  <c r="F180" i="13"/>
  <c r="K179" i="13"/>
  <c r="M179" i="13" s="1"/>
  <c r="F179" i="13"/>
  <c r="K178" i="13"/>
  <c r="M178" i="13" s="1"/>
  <c r="F178" i="13"/>
  <c r="K177" i="13"/>
  <c r="M177" i="13" s="1"/>
  <c r="F177" i="13"/>
  <c r="K176" i="13"/>
  <c r="M176" i="13" s="1"/>
  <c r="F176" i="13"/>
  <c r="K175" i="13"/>
  <c r="M175" i="13" s="1"/>
  <c r="F175" i="13"/>
  <c r="K174" i="13"/>
  <c r="L174" i="13" s="1"/>
  <c r="F174" i="13"/>
  <c r="K173" i="13"/>
  <c r="M173" i="13" s="1"/>
  <c r="F173" i="13"/>
  <c r="K172" i="13"/>
  <c r="M172" i="13" s="1"/>
  <c r="F172" i="13"/>
  <c r="K171" i="13"/>
  <c r="M171" i="13" s="1"/>
  <c r="F171" i="13"/>
  <c r="K170" i="13"/>
  <c r="M170" i="13" s="1"/>
  <c r="F170" i="13"/>
  <c r="K169" i="13"/>
  <c r="M169" i="13" s="1"/>
  <c r="F169" i="13"/>
  <c r="K168" i="13"/>
  <c r="M168" i="13" s="1"/>
  <c r="F168" i="13"/>
  <c r="K167" i="13"/>
  <c r="M167" i="13" s="1"/>
  <c r="F167" i="13"/>
  <c r="K166" i="13"/>
  <c r="M166" i="13" s="1"/>
  <c r="F166" i="13"/>
  <c r="K165" i="13"/>
  <c r="M165" i="13" s="1"/>
  <c r="F165" i="13"/>
  <c r="K164" i="13"/>
  <c r="M164" i="13" s="1"/>
  <c r="F164" i="13"/>
  <c r="K163" i="13"/>
  <c r="M163" i="13" s="1"/>
  <c r="F163" i="13"/>
  <c r="K162" i="13"/>
  <c r="M162" i="13" s="1"/>
  <c r="F162" i="13"/>
  <c r="K161" i="13"/>
  <c r="L161" i="13" s="1"/>
  <c r="F161" i="13"/>
  <c r="K160" i="13"/>
  <c r="L160" i="13" s="1"/>
  <c r="F160" i="13"/>
  <c r="K159" i="13"/>
  <c r="L159" i="13" s="1"/>
  <c r="F159" i="13"/>
  <c r="K158" i="13"/>
  <c r="L158" i="13" s="1"/>
  <c r="F158" i="13"/>
  <c r="K157" i="13"/>
  <c r="L157" i="13" s="1"/>
  <c r="F157" i="13"/>
  <c r="K156" i="13"/>
  <c r="L156" i="13" s="1"/>
  <c r="F156" i="13"/>
  <c r="K155" i="13"/>
  <c r="M155" i="13" s="1"/>
  <c r="F155" i="13"/>
  <c r="K154" i="13"/>
  <c r="M154" i="13" s="1"/>
  <c r="F154" i="13"/>
  <c r="K153" i="13"/>
  <c r="M153" i="13" s="1"/>
  <c r="F153" i="13"/>
  <c r="K152" i="13"/>
  <c r="M152" i="13" s="1"/>
  <c r="F152" i="13"/>
  <c r="K151" i="13"/>
  <c r="L151" i="13" s="1"/>
  <c r="F151" i="13"/>
  <c r="K150" i="13"/>
  <c r="L150" i="13" s="1"/>
  <c r="F150" i="13"/>
  <c r="K149" i="13"/>
  <c r="L149" i="13" s="1"/>
  <c r="F149" i="13"/>
  <c r="K148" i="13"/>
  <c r="L148" i="13" s="1"/>
  <c r="F148" i="13"/>
  <c r="K147" i="13"/>
  <c r="L147" i="13" s="1"/>
  <c r="F147" i="13"/>
  <c r="K146" i="13"/>
  <c r="M146" i="13" s="1"/>
  <c r="F146" i="13"/>
  <c r="K145" i="13"/>
  <c r="M145" i="13" s="1"/>
  <c r="F145" i="13"/>
  <c r="K144" i="13"/>
  <c r="M144" i="13" s="1"/>
  <c r="F144" i="13"/>
  <c r="K143" i="13"/>
  <c r="M143" i="13" s="1"/>
  <c r="F143" i="13"/>
  <c r="K142" i="13"/>
  <c r="M142" i="13" s="1"/>
  <c r="F142" i="13"/>
  <c r="K141" i="13"/>
  <c r="M141" i="13" s="1"/>
  <c r="F141" i="13"/>
  <c r="K140" i="13"/>
  <c r="M140" i="13" s="1"/>
  <c r="F140" i="13"/>
  <c r="K139" i="13"/>
  <c r="M139" i="13" s="1"/>
  <c r="F139" i="13"/>
  <c r="K138" i="13"/>
  <c r="M138" i="13" s="1"/>
  <c r="F138" i="13"/>
  <c r="K137" i="13"/>
  <c r="M137" i="13" s="1"/>
  <c r="F137" i="13"/>
  <c r="K136" i="13"/>
  <c r="F136" i="13"/>
  <c r="K135" i="13"/>
  <c r="F135" i="13"/>
  <c r="K134" i="13"/>
  <c r="F134" i="13"/>
  <c r="K133" i="13"/>
  <c r="F133" i="13"/>
  <c r="K132" i="13"/>
  <c r="M132" i="13" s="1"/>
  <c r="F132" i="13"/>
  <c r="K131" i="13"/>
  <c r="M131" i="13" s="1"/>
  <c r="F131" i="13"/>
  <c r="K130" i="13"/>
  <c r="M130" i="13" s="1"/>
  <c r="F130" i="13"/>
  <c r="K129" i="13"/>
  <c r="M129" i="13" s="1"/>
  <c r="F129" i="13"/>
  <c r="K128" i="13"/>
  <c r="M128" i="13" s="1"/>
  <c r="F128" i="13"/>
  <c r="F127" i="13"/>
  <c r="K126" i="13"/>
  <c r="M126" i="13" s="1"/>
  <c r="F126" i="13"/>
  <c r="K125" i="13"/>
  <c r="M125" i="13" s="1"/>
  <c r="F125" i="13"/>
  <c r="F124" i="13"/>
  <c r="F123" i="13"/>
  <c r="K122" i="13"/>
  <c r="M122" i="13" s="1"/>
  <c r="F122" i="13"/>
  <c r="K121" i="13"/>
  <c r="M121" i="13" s="1"/>
  <c r="F121" i="13"/>
  <c r="K120" i="13"/>
  <c r="M120" i="13" s="1"/>
  <c r="F120" i="13"/>
  <c r="K119" i="13"/>
  <c r="M119" i="13" s="1"/>
  <c r="F119" i="13"/>
  <c r="K118" i="13"/>
  <c r="M118" i="13" s="1"/>
  <c r="F118" i="13"/>
  <c r="K117" i="13"/>
  <c r="F117" i="13"/>
  <c r="F116" i="13"/>
  <c r="K115" i="13"/>
  <c r="F115" i="13"/>
  <c r="K114" i="13"/>
  <c r="F114" i="13"/>
  <c r="K113" i="13"/>
  <c r="F113" i="13"/>
  <c r="K112" i="13"/>
  <c r="M112" i="13" s="1"/>
  <c r="F112" i="13"/>
  <c r="K111" i="13"/>
  <c r="M111" i="13" s="1"/>
  <c r="F111" i="13"/>
  <c r="K110" i="13"/>
  <c r="M110" i="13" s="1"/>
  <c r="F110" i="13"/>
  <c r="K109" i="13"/>
  <c r="M109" i="13" s="1"/>
  <c r="F109" i="13"/>
  <c r="K108" i="13"/>
  <c r="F108" i="13"/>
  <c r="K107" i="13"/>
  <c r="F107" i="13"/>
  <c r="K106" i="13"/>
  <c r="F106" i="13"/>
  <c r="K105" i="13"/>
  <c r="F105" i="13"/>
  <c r="K104" i="13"/>
  <c r="M104" i="13" s="1"/>
  <c r="F104" i="13"/>
  <c r="K103" i="13"/>
  <c r="M103" i="13" s="1"/>
  <c r="F103" i="13"/>
  <c r="K102" i="13"/>
  <c r="M102" i="13" s="1"/>
  <c r="F102" i="13"/>
  <c r="K101" i="13"/>
  <c r="M101" i="13" s="1"/>
  <c r="F101" i="13"/>
  <c r="K100" i="13"/>
  <c r="M100" i="13" s="1"/>
  <c r="F100" i="13"/>
  <c r="K99" i="13"/>
  <c r="M99" i="13" s="1"/>
  <c r="F99" i="13"/>
  <c r="K98" i="13"/>
  <c r="M98" i="13" s="1"/>
  <c r="F98" i="13"/>
  <c r="K97" i="13"/>
  <c r="L97" i="13" s="1"/>
  <c r="F97" i="13"/>
  <c r="K96" i="13"/>
  <c r="M96" i="13" s="1"/>
  <c r="F96" i="13"/>
  <c r="K95" i="13"/>
  <c r="M95" i="13" s="1"/>
  <c r="F95" i="13"/>
  <c r="K94" i="13"/>
  <c r="M94" i="13" s="1"/>
  <c r="F94" i="13"/>
  <c r="K93" i="13"/>
  <c r="M93" i="13" s="1"/>
  <c r="F93" i="13"/>
  <c r="K92" i="13"/>
  <c r="M92" i="13" s="1"/>
  <c r="F92" i="13"/>
  <c r="K91" i="13"/>
  <c r="M91" i="13" s="1"/>
  <c r="F91" i="13"/>
  <c r="K90" i="13"/>
  <c r="M90" i="13" s="1"/>
  <c r="F90" i="13"/>
  <c r="K89" i="13"/>
  <c r="I89" i="13"/>
  <c r="F89" i="13"/>
  <c r="K88" i="13"/>
  <c r="M88" i="13" s="1"/>
  <c r="F88" i="13"/>
  <c r="K87" i="13"/>
  <c r="M87" i="13" s="1"/>
  <c r="F87" i="13"/>
  <c r="K86" i="13"/>
  <c r="M86" i="13" s="1"/>
  <c r="F86" i="13"/>
  <c r="K85" i="13"/>
  <c r="M85" i="13" s="1"/>
  <c r="F85" i="13"/>
  <c r="K84" i="13"/>
  <c r="M84" i="13" s="1"/>
  <c r="I84" i="13"/>
  <c r="F84" i="13"/>
  <c r="K83" i="13"/>
  <c r="M83" i="13" s="1"/>
  <c r="F83" i="13"/>
  <c r="K82" i="13"/>
  <c r="M82" i="13" s="1"/>
  <c r="F82" i="13"/>
  <c r="K81" i="13"/>
  <c r="M81" i="13" s="1"/>
  <c r="F81" i="13"/>
  <c r="K80" i="13"/>
  <c r="M80" i="13" s="1"/>
  <c r="F80" i="13"/>
  <c r="K79" i="13"/>
  <c r="M79" i="13" s="1"/>
  <c r="F79" i="13"/>
  <c r="F78" i="13"/>
  <c r="K77" i="13"/>
  <c r="M77" i="13" s="1"/>
  <c r="F77" i="13"/>
  <c r="K76" i="13"/>
  <c r="M76" i="13" s="1"/>
  <c r="F76" i="13"/>
  <c r="K75" i="13"/>
  <c r="M75" i="13" s="1"/>
  <c r="F75" i="13"/>
  <c r="K74" i="13"/>
  <c r="M74" i="13" s="1"/>
  <c r="I74" i="13"/>
  <c r="F74" i="13"/>
  <c r="K73" i="13"/>
  <c r="M73" i="13" s="1"/>
  <c r="F73" i="13"/>
  <c r="F72" i="13"/>
  <c r="K71" i="13"/>
  <c r="M71" i="13" s="1"/>
  <c r="F71" i="13"/>
  <c r="K70" i="13"/>
  <c r="M70" i="13" s="1"/>
  <c r="F70" i="13"/>
  <c r="K69" i="13"/>
  <c r="M69" i="13" s="1"/>
  <c r="I69" i="13"/>
  <c r="F69" i="13"/>
  <c r="K68" i="13"/>
  <c r="M68" i="13" s="1"/>
  <c r="F68" i="13"/>
  <c r="K67" i="13"/>
  <c r="M67" i="13" s="1"/>
  <c r="F67" i="13"/>
  <c r="K66" i="13"/>
  <c r="M66" i="13" s="1"/>
  <c r="F66" i="13"/>
  <c r="K65" i="13"/>
  <c r="M65" i="13" s="1"/>
  <c r="F65" i="13"/>
  <c r="K64" i="13"/>
  <c r="I64" i="13"/>
  <c r="F64" i="13"/>
  <c r="K63" i="13"/>
  <c r="M63" i="13" s="1"/>
  <c r="F63" i="13"/>
  <c r="F62" i="13"/>
  <c r="K61" i="13"/>
  <c r="M61" i="13" s="1"/>
  <c r="F61" i="13"/>
  <c r="F60" i="13"/>
  <c r="K59" i="13"/>
  <c r="M59" i="13" s="1"/>
  <c r="F59" i="13"/>
  <c r="K58" i="13"/>
  <c r="M58" i="13" s="1"/>
  <c r="F58" i="13"/>
  <c r="K57" i="13"/>
  <c r="M57" i="13" s="1"/>
  <c r="F57" i="13"/>
  <c r="K56" i="13"/>
  <c r="M56" i="13" s="1"/>
  <c r="F56" i="13"/>
  <c r="K55" i="13"/>
  <c r="M55" i="13" s="1"/>
  <c r="I55" i="13"/>
  <c r="F55" i="13"/>
  <c r="K54" i="13"/>
  <c r="M54" i="13" s="1"/>
  <c r="F54" i="13"/>
  <c r="K53" i="13"/>
  <c r="F53" i="13"/>
  <c r="K52" i="13"/>
  <c r="F52" i="13"/>
  <c r="K51" i="13"/>
  <c r="F51" i="13"/>
  <c r="K50" i="13"/>
  <c r="M50" i="13" s="1"/>
  <c r="F50" i="13"/>
  <c r="K49" i="13"/>
  <c r="I49" i="13"/>
  <c r="F49" i="13"/>
  <c r="K48" i="13"/>
  <c r="M48" i="13" s="1"/>
  <c r="F48" i="13"/>
  <c r="K47" i="13"/>
  <c r="M47" i="13" s="1"/>
  <c r="F47" i="13"/>
  <c r="K46" i="13"/>
  <c r="M46" i="13" s="1"/>
  <c r="F46" i="13"/>
  <c r="K45" i="13"/>
  <c r="M45" i="13" s="1"/>
  <c r="F45" i="13"/>
  <c r="K44" i="13"/>
  <c r="M44" i="13" s="1"/>
  <c r="F44" i="13"/>
  <c r="K43" i="13"/>
  <c r="M43" i="13" s="1"/>
  <c r="F43" i="13"/>
  <c r="K42" i="13"/>
  <c r="I42" i="13"/>
  <c r="F42" i="13"/>
  <c r="K41" i="13"/>
  <c r="M41" i="13" s="1"/>
  <c r="F41" i="13"/>
  <c r="K40" i="13"/>
  <c r="M40" i="13" s="1"/>
  <c r="F40" i="13"/>
  <c r="K39" i="13"/>
  <c r="F39" i="13"/>
  <c r="K38" i="13"/>
  <c r="M38" i="13" s="1"/>
  <c r="F38" i="13"/>
  <c r="K37" i="13"/>
  <c r="M37" i="13" s="1"/>
  <c r="I37" i="13"/>
  <c r="F37" i="13"/>
  <c r="K36" i="13"/>
  <c r="M36" i="13" s="1"/>
  <c r="F36" i="13"/>
  <c r="K35" i="13"/>
  <c r="M35" i="13" s="1"/>
  <c r="F35" i="13"/>
  <c r="K34" i="13"/>
  <c r="M34" i="13" s="1"/>
  <c r="F34" i="13"/>
  <c r="F33" i="13"/>
  <c r="K32" i="13"/>
  <c r="M32" i="13" s="1"/>
  <c r="F32" i="13"/>
  <c r="K31" i="13"/>
  <c r="M31" i="13" s="1"/>
  <c r="F31" i="13"/>
  <c r="K30" i="13"/>
  <c r="M30" i="13" s="1"/>
  <c r="F30" i="13"/>
  <c r="K29" i="13"/>
  <c r="I29" i="13"/>
  <c r="F29" i="13"/>
  <c r="K28" i="13"/>
  <c r="M28" i="13" s="1"/>
  <c r="F28" i="13"/>
  <c r="K27" i="13"/>
  <c r="M27" i="13" s="1"/>
  <c r="F27" i="13"/>
  <c r="K26" i="13"/>
  <c r="M26" i="13" s="1"/>
  <c r="F26" i="13"/>
  <c r="F25" i="13"/>
  <c r="K24" i="13"/>
  <c r="M24" i="13" s="1"/>
  <c r="F24" i="13"/>
  <c r="K23" i="13"/>
  <c r="M23" i="13" s="1"/>
  <c r="F23" i="13"/>
  <c r="K22" i="13"/>
  <c r="I22" i="13"/>
  <c r="F22" i="13"/>
  <c r="K21" i="13"/>
  <c r="M21" i="13" s="1"/>
  <c r="F21" i="13"/>
  <c r="F20" i="13"/>
  <c r="K19" i="13"/>
  <c r="L19" i="13" s="1"/>
  <c r="F19" i="13"/>
  <c r="F18" i="13"/>
  <c r="K17" i="13"/>
  <c r="F17" i="13"/>
  <c r="K16" i="13"/>
  <c r="F16" i="13"/>
  <c r="K15" i="13"/>
  <c r="I15" i="13"/>
  <c r="F15" i="13"/>
  <c r="K14" i="13"/>
  <c r="F14" i="13"/>
  <c r="K13" i="13"/>
  <c r="M13" i="13" s="1"/>
  <c r="F13" i="13"/>
  <c r="K12" i="13"/>
  <c r="F12" i="13"/>
  <c r="K11" i="13"/>
  <c r="M11" i="13" s="1"/>
  <c r="F11" i="13"/>
  <c r="F10" i="13"/>
  <c r="F9" i="13"/>
  <c r="O511" i="12"/>
  <c r="I328" i="12"/>
  <c r="G328" i="12"/>
  <c r="I324" i="12"/>
  <c r="D322" i="12"/>
  <c r="M313" i="12"/>
  <c r="M312" i="12"/>
  <c r="M311" i="12"/>
  <c r="G307" i="12"/>
  <c r="T291" i="12"/>
  <c r="I291" i="12"/>
  <c r="G290" i="12"/>
  <c r="R283" i="12" s="1"/>
  <c r="J281" i="12"/>
  <c r="I281" i="12"/>
  <c r="T277" i="12"/>
  <c r="G273" i="12"/>
  <c r="T260" i="12"/>
  <c r="N260" i="12"/>
  <c r="M260" i="12"/>
  <c r="I260" i="12"/>
  <c r="Q259" i="12"/>
  <c r="O259" i="12"/>
  <c r="N259" i="12"/>
  <c r="L259" i="12"/>
  <c r="G259" i="12"/>
  <c r="T244" i="12"/>
  <c r="R244" i="12"/>
  <c r="P244" i="12"/>
  <c r="M244" i="12"/>
  <c r="L243" i="12"/>
  <c r="G243" i="12"/>
  <c r="W236" i="12"/>
  <c r="T228" i="12"/>
  <c r="R228" i="12"/>
  <c r="Q228" i="12"/>
  <c r="P228" i="12"/>
  <c r="M228" i="12"/>
  <c r="L227" i="12"/>
  <c r="G227" i="12"/>
  <c r="U226" i="12"/>
  <c r="T214" i="12"/>
  <c r="M214" i="12"/>
  <c r="T213" i="12"/>
  <c r="M213" i="12"/>
  <c r="I213" i="12"/>
  <c r="G212" i="12"/>
  <c r="T197" i="12"/>
  <c r="M197" i="12"/>
  <c r="T196" i="12"/>
  <c r="M196" i="12"/>
  <c r="T195" i="12"/>
  <c r="M195" i="12"/>
  <c r="J195" i="12"/>
  <c r="T194" i="12"/>
  <c r="M194" i="12"/>
  <c r="T193" i="12"/>
  <c r="M193" i="12"/>
  <c r="H191" i="12"/>
  <c r="G191" i="12"/>
  <c r="U181" i="12"/>
  <c r="U182" i="12" s="1"/>
  <c r="Q173" i="12"/>
  <c r="N173" i="12"/>
  <c r="M173" i="12"/>
  <c r="G163" i="12"/>
  <c r="Q159" i="12"/>
  <c r="N159" i="12"/>
  <c r="M159" i="12"/>
  <c r="Q148" i="12"/>
  <c r="N148" i="12"/>
  <c r="M148" i="12"/>
  <c r="L147" i="12"/>
  <c r="G147" i="12"/>
  <c r="Q137" i="12"/>
  <c r="N137" i="12"/>
  <c r="M137" i="12"/>
  <c r="Q129" i="12"/>
  <c r="N129" i="12"/>
  <c r="M129" i="12"/>
  <c r="U124" i="12"/>
  <c r="Q124" i="12"/>
  <c r="N124" i="12"/>
  <c r="M124" i="12"/>
  <c r="T114" i="12"/>
  <c r="M114" i="12"/>
  <c r="T113" i="12"/>
  <c r="M113" i="12"/>
  <c r="T112" i="12"/>
  <c r="R112" i="12"/>
  <c r="M112" i="12"/>
  <c r="T111" i="12"/>
  <c r="R111" i="12"/>
  <c r="M111" i="12"/>
  <c r="G109" i="12"/>
  <c r="G99" i="12"/>
  <c r="T92" i="12"/>
  <c r="R92" i="12"/>
  <c r="M92" i="12"/>
  <c r="U85" i="12"/>
  <c r="U84" i="12"/>
  <c r="T81" i="12"/>
  <c r="R81" i="12"/>
  <c r="P81" i="12"/>
  <c r="M81" i="12"/>
  <c r="G80" i="12"/>
  <c r="U69" i="12"/>
  <c r="M69" i="12"/>
  <c r="U68" i="12"/>
  <c r="M68" i="12"/>
  <c r="M67" i="12"/>
  <c r="J67" i="12"/>
  <c r="M66" i="12"/>
  <c r="M65" i="12"/>
  <c r="H63" i="12"/>
  <c r="T56" i="12"/>
  <c r="M56" i="12"/>
  <c r="J52" i="12"/>
  <c r="I52" i="12"/>
  <c r="J50" i="12"/>
  <c r="I50" i="12"/>
  <c r="F48" i="12"/>
  <c r="J48" i="12" s="1"/>
  <c r="R44" i="12"/>
  <c r="G55" i="12"/>
  <c r="V51" i="12" s="1"/>
  <c r="R39" i="12"/>
  <c r="T36" i="12"/>
  <c r="M36" i="12"/>
  <c r="G35" i="12"/>
  <c r="T26" i="12"/>
  <c r="M26" i="12"/>
  <c r="G25" i="12"/>
  <c r="Q24" i="12"/>
  <c r="V23" i="12"/>
  <c r="V24" i="12" s="1"/>
  <c r="V25" i="12" s="1"/>
  <c r="V22" i="12"/>
  <c r="T18" i="12"/>
  <c r="R18" i="12"/>
  <c r="M18" i="12"/>
  <c r="W14" i="12"/>
  <c r="V14" i="12"/>
  <c r="AF9" i="12"/>
  <c r="W8" i="12"/>
  <c r="V8" i="12"/>
  <c r="N7" i="12"/>
  <c r="U4" i="12"/>
  <c r="S2" i="12"/>
  <c r="J2" i="12"/>
  <c r="J112" i="12" s="1"/>
  <c r="AC232" i="11"/>
  <c r="AA232" i="11"/>
  <c r="Y232" i="11"/>
  <c r="X232" i="11"/>
  <c r="AC231" i="11"/>
  <c r="AA231" i="11"/>
  <c r="Y231" i="11"/>
  <c r="X231" i="11"/>
  <c r="K231" i="11"/>
  <c r="I231" i="11"/>
  <c r="G231" i="11"/>
  <c r="F231" i="11"/>
  <c r="AC230" i="11"/>
  <c r="AA230" i="11"/>
  <c r="Y230" i="11"/>
  <c r="X230" i="11"/>
  <c r="AC229" i="11"/>
  <c r="AA229" i="11"/>
  <c r="Y229" i="11"/>
  <c r="X229" i="11"/>
  <c r="AA228" i="11"/>
  <c r="Y228" i="11"/>
  <c r="X228" i="11"/>
  <c r="AA227" i="11"/>
  <c r="Y227" i="11"/>
  <c r="X227" i="11"/>
  <c r="K227" i="11"/>
  <c r="I227" i="11"/>
  <c r="G227" i="11"/>
  <c r="F227" i="11"/>
  <c r="AC226" i="11"/>
  <c r="AA226" i="11"/>
  <c r="Y226" i="11"/>
  <c r="X226" i="11"/>
  <c r="AC225" i="11"/>
  <c r="AA225" i="11"/>
  <c r="Y225" i="11"/>
  <c r="X225" i="11"/>
  <c r="AC224" i="11"/>
  <c r="AA224" i="11"/>
  <c r="Y224" i="11"/>
  <c r="X224" i="11"/>
  <c r="K224" i="11"/>
  <c r="I224" i="11"/>
  <c r="G224" i="11"/>
  <c r="F224" i="11"/>
  <c r="AC223" i="11"/>
  <c r="AA223" i="11"/>
  <c r="Y223" i="11"/>
  <c r="X223" i="11"/>
  <c r="AC222" i="11"/>
  <c r="AA222" i="11"/>
  <c r="Y222" i="11"/>
  <c r="X222" i="11"/>
  <c r="AC221" i="11"/>
  <c r="AA221" i="11"/>
  <c r="Y221" i="11"/>
  <c r="X221" i="11"/>
  <c r="K221" i="11"/>
  <c r="I221" i="11"/>
  <c r="G221" i="11"/>
  <c r="F221" i="11"/>
  <c r="AC220" i="11"/>
  <c r="AA220" i="11"/>
  <c r="Y220" i="11"/>
  <c r="X220" i="11"/>
  <c r="AC219" i="11"/>
  <c r="AA219" i="11"/>
  <c r="Y219" i="11"/>
  <c r="X219" i="11"/>
  <c r="AC218" i="11"/>
  <c r="AA218" i="11"/>
  <c r="Y218" i="11"/>
  <c r="X218" i="11"/>
  <c r="K218" i="11"/>
  <c r="I218" i="11"/>
  <c r="G218" i="11"/>
  <c r="F218" i="11"/>
  <c r="AC217" i="11"/>
  <c r="AA217" i="11"/>
  <c r="Y217" i="11"/>
  <c r="X217" i="11"/>
  <c r="AC216" i="11"/>
  <c r="AA216" i="11"/>
  <c r="Y216" i="11"/>
  <c r="X216" i="11"/>
  <c r="AC215" i="11"/>
  <c r="AA215" i="11"/>
  <c r="Y215" i="11"/>
  <c r="X215" i="11"/>
  <c r="AC214" i="11"/>
  <c r="AA214" i="11"/>
  <c r="Y214" i="11"/>
  <c r="X214" i="11"/>
  <c r="K214" i="11"/>
  <c r="I214" i="11"/>
  <c r="G214" i="11"/>
  <c r="F214" i="11"/>
  <c r="AC213" i="11"/>
  <c r="AA213" i="11"/>
  <c r="Y213" i="11"/>
  <c r="X213" i="11"/>
  <c r="K213" i="11"/>
  <c r="I213" i="11"/>
  <c r="H213" i="11"/>
  <c r="G213" i="11"/>
  <c r="F213" i="11"/>
  <c r="AD212" i="11"/>
  <c r="AC212" i="11"/>
  <c r="AB212" i="11"/>
  <c r="AA212" i="11"/>
  <c r="Z212" i="11"/>
  <c r="Y212" i="11"/>
  <c r="X212" i="11"/>
  <c r="AC211" i="11"/>
  <c r="AA211" i="11"/>
  <c r="Y211" i="11"/>
  <c r="X211" i="11"/>
  <c r="AC210" i="11"/>
  <c r="AA210" i="11"/>
  <c r="Y210" i="11"/>
  <c r="X210" i="11"/>
  <c r="AC209" i="11"/>
  <c r="AA209" i="11"/>
  <c r="Y209" i="11"/>
  <c r="X209" i="11"/>
  <c r="AC208" i="11"/>
  <c r="AA208" i="11"/>
  <c r="Y208" i="11"/>
  <c r="X208" i="11"/>
  <c r="AC207" i="11"/>
  <c r="AA207" i="11"/>
  <c r="Y207" i="11"/>
  <c r="X207" i="11"/>
  <c r="K207" i="11"/>
  <c r="I207" i="11"/>
  <c r="G207" i="11"/>
  <c r="F207" i="11"/>
  <c r="AA206" i="11"/>
  <c r="Y206" i="11"/>
  <c r="X206" i="11"/>
  <c r="K206" i="11"/>
  <c r="I206" i="11"/>
  <c r="G206" i="11"/>
  <c r="F206" i="11"/>
  <c r="AC205" i="11"/>
  <c r="AA205" i="11"/>
  <c r="Y205" i="11"/>
  <c r="X205" i="11"/>
  <c r="AC204" i="11"/>
  <c r="AA204" i="11"/>
  <c r="Y204" i="11"/>
  <c r="X204" i="11"/>
  <c r="AC203" i="11"/>
  <c r="AA203" i="11"/>
  <c r="Y203" i="11"/>
  <c r="X203" i="11"/>
  <c r="K203" i="11"/>
  <c r="I203" i="11"/>
  <c r="G203" i="11"/>
  <c r="F203" i="11"/>
  <c r="AC202" i="11"/>
  <c r="AA202" i="11"/>
  <c r="Y202" i="11"/>
  <c r="X202" i="11"/>
  <c r="AC201" i="11"/>
  <c r="AA201" i="11"/>
  <c r="Y201" i="11"/>
  <c r="X201" i="11"/>
  <c r="AC200" i="11"/>
  <c r="AA200" i="11"/>
  <c r="Y200" i="11"/>
  <c r="X200" i="11"/>
  <c r="K200" i="11"/>
  <c r="I200" i="11"/>
  <c r="G200" i="11"/>
  <c r="F200" i="11"/>
  <c r="AC199" i="11"/>
  <c r="AA199" i="11"/>
  <c r="Y199" i="11"/>
  <c r="X199" i="11"/>
  <c r="K199" i="11"/>
  <c r="I199" i="11"/>
  <c r="G199" i="11"/>
  <c r="F199" i="11"/>
  <c r="AC198" i="11"/>
  <c r="AA198" i="11"/>
  <c r="Y198" i="11"/>
  <c r="X198" i="11"/>
  <c r="AC197" i="11"/>
  <c r="AA197" i="11"/>
  <c r="Y197" i="11"/>
  <c r="X197" i="11"/>
  <c r="AC196" i="11"/>
  <c r="AA196" i="11"/>
  <c r="Y196" i="11"/>
  <c r="X196" i="11"/>
  <c r="AC195" i="11"/>
  <c r="AA195" i="11"/>
  <c r="Y195" i="11"/>
  <c r="X195" i="11"/>
  <c r="AC194" i="11"/>
  <c r="AA194" i="11"/>
  <c r="Y194" i="11"/>
  <c r="X194" i="11"/>
  <c r="AC193" i="11"/>
  <c r="AA193" i="11"/>
  <c r="Y193" i="11"/>
  <c r="X193" i="11"/>
  <c r="AC192" i="11"/>
  <c r="AA192" i="11"/>
  <c r="Y192" i="11"/>
  <c r="X192" i="11"/>
  <c r="AA191" i="11"/>
  <c r="Y191" i="11"/>
  <c r="X191" i="11"/>
  <c r="K191" i="11"/>
  <c r="I191" i="11"/>
  <c r="G191" i="11"/>
  <c r="F191" i="11"/>
  <c r="AC190" i="11"/>
  <c r="AA190" i="11"/>
  <c r="Y190" i="11"/>
  <c r="X190" i="11"/>
  <c r="T190" i="11"/>
  <c r="R190" i="11"/>
  <c r="P190" i="11"/>
  <c r="O190" i="11"/>
  <c r="K190" i="11"/>
  <c r="I190" i="11"/>
  <c r="G190" i="11"/>
  <c r="F190" i="11"/>
  <c r="AC189" i="11"/>
  <c r="AA189" i="11"/>
  <c r="Y189" i="11"/>
  <c r="X189" i="11"/>
  <c r="AC188" i="11"/>
  <c r="AA188" i="11"/>
  <c r="Y188" i="11"/>
  <c r="X188" i="11"/>
  <c r="AC187" i="11"/>
  <c r="AA187" i="11"/>
  <c r="Y187" i="11"/>
  <c r="X187" i="11"/>
  <c r="K187" i="11"/>
  <c r="I187" i="11"/>
  <c r="G187" i="11"/>
  <c r="F187" i="11"/>
  <c r="AC186" i="11"/>
  <c r="AA186" i="11"/>
  <c r="Y186" i="11"/>
  <c r="X186" i="11"/>
  <c r="AC185" i="11"/>
  <c r="AA185" i="11"/>
  <c r="Y185" i="11"/>
  <c r="X185" i="11"/>
  <c r="AC184" i="11"/>
  <c r="AA184" i="11"/>
  <c r="Y184" i="11"/>
  <c r="X184" i="11"/>
  <c r="AC183" i="11"/>
  <c r="AA183" i="11"/>
  <c r="Y183" i="11"/>
  <c r="X183" i="11"/>
  <c r="AC182" i="11"/>
  <c r="AA182" i="11"/>
  <c r="Y182" i="11"/>
  <c r="X182" i="11"/>
  <c r="T182" i="11"/>
  <c r="S182" i="11"/>
  <c r="R182" i="11"/>
  <c r="Q182" i="11"/>
  <c r="P182" i="11"/>
  <c r="O182" i="11"/>
  <c r="K182" i="11"/>
  <c r="I182" i="11"/>
  <c r="G182" i="11"/>
  <c r="F182" i="11"/>
  <c r="AC181" i="11"/>
  <c r="AA181" i="11"/>
  <c r="Y181" i="11"/>
  <c r="X181" i="11"/>
  <c r="K181" i="11"/>
  <c r="I181" i="11"/>
  <c r="G181" i="11"/>
  <c r="F181" i="11"/>
  <c r="AC180" i="11"/>
  <c r="AA180" i="11"/>
  <c r="Y180" i="11"/>
  <c r="X180" i="11"/>
  <c r="K180" i="11"/>
  <c r="I180" i="11"/>
  <c r="G180" i="11"/>
  <c r="F180" i="11"/>
  <c r="AC179" i="11"/>
  <c r="AA179" i="11"/>
  <c r="Y179" i="11"/>
  <c r="X179" i="11"/>
  <c r="AC178" i="11"/>
  <c r="AA178" i="11"/>
  <c r="Y178" i="11"/>
  <c r="X178" i="11"/>
  <c r="AC177" i="11"/>
  <c r="AA177" i="11"/>
  <c r="Y177" i="11"/>
  <c r="X177" i="11"/>
  <c r="L177" i="11"/>
  <c r="K177" i="11"/>
  <c r="J177" i="11"/>
  <c r="I177" i="11"/>
  <c r="G177" i="11"/>
  <c r="F177" i="11"/>
  <c r="AC176" i="11"/>
  <c r="AA176" i="11"/>
  <c r="Y176" i="11"/>
  <c r="X176" i="11"/>
  <c r="T176" i="11"/>
  <c r="R176" i="11"/>
  <c r="P176" i="11"/>
  <c r="O176" i="11"/>
  <c r="K176" i="11"/>
  <c r="I176" i="11"/>
  <c r="G176" i="11"/>
  <c r="F176" i="11"/>
  <c r="AC175" i="11"/>
  <c r="AA175" i="11"/>
  <c r="Y175" i="11"/>
  <c r="X175" i="11"/>
  <c r="T175" i="11"/>
  <c r="R175" i="11"/>
  <c r="P175" i="11"/>
  <c r="O175" i="11"/>
  <c r="K175" i="11"/>
  <c r="I175" i="11"/>
  <c r="G175" i="11"/>
  <c r="F175" i="11"/>
  <c r="AC174" i="11"/>
  <c r="AA174" i="11"/>
  <c r="Y174" i="11"/>
  <c r="X174" i="11"/>
  <c r="AC173" i="11"/>
  <c r="AA173" i="11"/>
  <c r="Y173" i="11"/>
  <c r="X173" i="11"/>
  <c r="AC172" i="11"/>
  <c r="AA172" i="11"/>
  <c r="Y172" i="11"/>
  <c r="X172" i="11"/>
  <c r="K172" i="11"/>
  <c r="I172" i="11"/>
  <c r="G172" i="11"/>
  <c r="F172" i="11"/>
  <c r="AA171" i="11"/>
  <c r="Y171" i="11"/>
  <c r="X171" i="11"/>
  <c r="AA170" i="11"/>
  <c r="Y170" i="11"/>
  <c r="X170" i="11"/>
  <c r="I170" i="11"/>
  <c r="H170" i="11"/>
  <c r="G170" i="11"/>
  <c r="F170" i="11"/>
  <c r="AC169" i="11"/>
  <c r="AA169" i="11"/>
  <c r="Y169" i="11"/>
  <c r="X169" i="11"/>
  <c r="K169" i="11"/>
  <c r="I169" i="11"/>
  <c r="G169" i="11"/>
  <c r="F169" i="11"/>
  <c r="AC168" i="11"/>
  <c r="AA168" i="11"/>
  <c r="Y168" i="11"/>
  <c r="X168" i="11"/>
  <c r="K168" i="11"/>
  <c r="I168" i="11"/>
  <c r="G168" i="11"/>
  <c r="F168" i="11"/>
  <c r="AD167" i="11"/>
  <c r="AC167" i="11"/>
  <c r="AB167" i="11"/>
  <c r="AA167" i="11"/>
  <c r="Z167" i="11"/>
  <c r="Y167" i="11"/>
  <c r="X167" i="11"/>
  <c r="K167" i="11"/>
  <c r="I167" i="11"/>
  <c r="G167" i="11"/>
  <c r="F167" i="11"/>
  <c r="AC166" i="11"/>
  <c r="AA166" i="11"/>
  <c r="Y166" i="11"/>
  <c r="X166" i="11"/>
  <c r="AC165" i="11"/>
  <c r="AA165" i="11"/>
  <c r="Y165" i="11"/>
  <c r="X165" i="11"/>
  <c r="AC164" i="11"/>
  <c r="AA164" i="11"/>
  <c r="Y164" i="11"/>
  <c r="X164" i="11"/>
  <c r="K164" i="11"/>
  <c r="I164" i="11"/>
  <c r="G164" i="11"/>
  <c r="F164" i="11"/>
  <c r="AC163" i="11"/>
  <c r="AA163" i="11"/>
  <c r="Y163" i="11"/>
  <c r="X163" i="11"/>
  <c r="AC162" i="11"/>
  <c r="AA162" i="11"/>
  <c r="Y162" i="11"/>
  <c r="X162" i="11"/>
  <c r="AC161" i="11"/>
  <c r="AA161" i="11"/>
  <c r="Y161" i="11"/>
  <c r="X161" i="11"/>
  <c r="K161" i="11"/>
  <c r="I161" i="11"/>
  <c r="G161" i="11"/>
  <c r="F161" i="11"/>
  <c r="AC160" i="11"/>
  <c r="AA160" i="11"/>
  <c r="Y160" i="11"/>
  <c r="X160" i="11"/>
  <c r="AC159" i="11"/>
  <c r="AA159" i="11"/>
  <c r="Y159" i="11"/>
  <c r="X159" i="11"/>
  <c r="AC158" i="11"/>
  <c r="AA158" i="11"/>
  <c r="Y158" i="11"/>
  <c r="X158" i="11"/>
  <c r="K158" i="11"/>
  <c r="I158" i="11"/>
  <c r="G158" i="11"/>
  <c r="F158" i="11"/>
  <c r="AC157" i="11"/>
  <c r="AA157" i="11"/>
  <c r="Y157" i="11"/>
  <c r="X157" i="11"/>
  <c r="AC156" i="11"/>
  <c r="AA156" i="11"/>
  <c r="Y156" i="11"/>
  <c r="X156" i="11"/>
  <c r="K156" i="11"/>
  <c r="I156" i="11"/>
  <c r="G156" i="11"/>
  <c r="F156" i="11"/>
  <c r="AC155" i="11"/>
  <c r="AA155" i="11"/>
  <c r="Y155" i="11"/>
  <c r="X155" i="11"/>
  <c r="AC154" i="11"/>
  <c r="AA154" i="11"/>
  <c r="Y154" i="11"/>
  <c r="X154" i="11"/>
  <c r="AC153" i="11"/>
  <c r="AA153" i="11"/>
  <c r="Y153" i="11"/>
  <c r="X153" i="11"/>
  <c r="AA152" i="11"/>
  <c r="Y152" i="11"/>
  <c r="X152" i="11"/>
  <c r="AC151" i="11"/>
  <c r="AA151" i="11"/>
  <c r="Y151" i="11"/>
  <c r="X151" i="11"/>
  <c r="K151" i="11"/>
  <c r="I151" i="11"/>
  <c r="G151" i="11"/>
  <c r="F151" i="11"/>
  <c r="AC150" i="11"/>
  <c r="AA150" i="11"/>
  <c r="Y150" i="11"/>
  <c r="X150" i="11"/>
  <c r="K150" i="11"/>
  <c r="I150" i="11"/>
  <c r="G150" i="11"/>
  <c r="F150" i="11"/>
  <c r="AC149" i="11"/>
  <c r="AA149" i="11"/>
  <c r="Y149" i="11"/>
  <c r="X149" i="11"/>
  <c r="AC148" i="11"/>
  <c r="AA148" i="11"/>
  <c r="Y148" i="11"/>
  <c r="X148" i="11"/>
  <c r="AC147" i="11"/>
  <c r="AA147" i="11"/>
  <c r="Y147" i="11"/>
  <c r="X147" i="11"/>
  <c r="AC146" i="11"/>
  <c r="AA146" i="11"/>
  <c r="Y146" i="11"/>
  <c r="X146" i="11"/>
  <c r="K146" i="11"/>
  <c r="I146" i="11"/>
  <c r="G146" i="11"/>
  <c r="F146" i="11"/>
  <c r="AA145" i="11"/>
  <c r="Y145" i="11"/>
  <c r="X145" i="11"/>
  <c r="AC144" i="11"/>
  <c r="AA144" i="11"/>
  <c r="Y144" i="11"/>
  <c r="X144" i="11"/>
  <c r="AC143" i="11"/>
  <c r="AA143" i="11"/>
  <c r="Y143" i="11"/>
  <c r="X143" i="11"/>
  <c r="K143" i="11"/>
  <c r="I143" i="11"/>
  <c r="G143" i="11"/>
  <c r="F143" i="11"/>
  <c r="AC142" i="11"/>
  <c r="AA142" i="11"/>
  <c r="Y142" i="11"/>
  <c r="X142" i="11"/>
  <c r="AC141" i="11"/>
  <c r="AA141" i="11"/>
  <c r="Y141" i="11"/>
  <c r="X141" i="11"/>
  <c r="AC140" i="11"/>
  <c r="AA140" i="11"/>
  <c r="Y140" i="11"/>
  <c r="X140" i="11"/>
  <c r="K140" i="11"/>
  <c r="I140" i="11"/>
  <c r="G140" i="11"/>
  <c r="F140" i="11"/>
  <c r="AA139" i="11"/>
  <c r="Y139" i="11"/>
  <c r="X139" i="11"/>
  <c r="K139" i="11"/>
  <c r="J139" i="11"/>
  <c r="I139" i="11"/>
  <c r="H139" i="11"/>
  <c r="G139" i="11"/>
  <c r="F139" i="11"/>
  <c r="AC138" i="11"/>
  <c r="AA138" i="11"/>
  <c r="Y138" i="11"/>
  <c r="X138" i="11"/>
  <c r="K138" i="11"/>
  <c r="I138" i="11"/>
  <c r="G138" i="11"/>
  <c r="F138" i="11"/>
  <c r="AC137" i="11"/>
  <c r="AA137" i="11"/>
  <c r="Y137" i="11"/>
  <c r="X137" i="11"/>
  <c r="T137" i="11"/>
  <c r="R137" i="11"/>
  <c r="P137" i="11"/>
  <c r="O137" i="11"/>
  <c r="K137" i="11"/>
  <c r="I137" i="11"/>
  <c r="G137" i="11"/>
  <c r="F137" i="11"/>
  <c r="AC136" i="11"/>
  <c r="AA136" i="11"/>
  <c r="Y136" i="11"/>
  <c r="X136" i="11"/>
  <c r="AC135" i="11"/>
  <c r="AA135" i="11"/>
  <c r="Y135" i="11"/>
  <c r="X135" i="11"/>
  <c r="AC134" i="11"/>
  <c r="AA134" i="11"/>
  <c r="Y134" i="11"/>
  <c r="X134" i="11"/>
  <c r="K134" i="11"/>
  <c r="I134" i="11"/>
  <c r="G134" i="11"/>
  <c r="F134" i="11"/>
  <c r="AC133" i="11"/>
  <c r="AA133" i="11"/>
  <c r="Y133" i="11"/>
  <c r="X133" i="11"/>
  <c r="K133" i="11"/>
  <c r="I133" i="11"/>
  <c r="G133" i="11"/>
  <c r="F133" i="11"/>
  <c r="AC132" i="11"/>
  <c r="AA132" i="11"/>
  <c r="Y132" i="11"/>
  <c r="X132" i="11"/>
  <c r="AC131" i="11"/>
  <c r="AA131" i="11"/>
  <c r="Y131" i="11"/>
  <c r="X131" i="11"/>
  <c r="AC130" i="11"/>
  <c r="AA130" i="11"/>
  <c r="Y130" i="11"/>
  <c r="X130" i="11"/>
  <c r="K130" i="11"/>
  <c r="I130" i="11"/>
  <c r="G130" i="11"/>
  <c r="F130" i="11"/>
  <c r="AC129" i="11"/>
  <c r="AA129" i="11"/>
  <c r="Y129" i="11"/>
  <c r="X129" i="11"/>
  <c r="K129" i="11"/>
  <c r="I129" i="11"/>
  <c r="G129" i="11"/>
  <c r="F129" i="11"/>
  <c r="AC128" i="11"/>
  <c r="AA128" i="11"/>
  <c r="Y128" i="11"/>
  <c r="X128" i="11"/>
  <c r="AC127" i="11"/>
  <c r="AA127" i="11"/>
  <c r="Y127" i="11"/>
  <c r="X127" i="11"/>
  <c r="AC126" i="11"/>
  <c r="AA126" i="11"/>
  <c r="Y126" i="11"/>
  <c r="X126" i="11"/>
  <c r="AC125" i="11"/>
  <c r="AA125" i="11"/>
  <c r="Y125" i="11"/>
  <c r="X125" i="11"/>
  <c r="AC124" i="11"/>
  <c r="AA124" i="11"/>
  <c r="Y124" i="11"/>
  <c r="X124" i="11"/>
  <c r="T124" i="11"/>
  <c r="R124" i="11"/>
  <c r="P124" i="11"/>
  <c r="O124" i="11"/>
  <c r="K124" i="11"/>
  <c r="I124" i="11"/>
  <c r="G124" i="11"/>
  <c r="F124" i="11"/>
  <c r="AC123" i="11"/>
  <c r="AA123" i="11"/>
  <c r="Y123" i="11"/>
  <c r="X123" i="11"/>
  <c r="AC122" i="11"/>
  <c r="AA122" i="11"/>
  <c r="Y122" i="11"/>
  <c r="X122" i="11"/>
  <c r="AC121" i="11"/>
  <c r="AA121" i="11"/>
  <c r="Y121" i="11"/>
  <c r="X121" i="11"/>
  <c r="AC120" i="11"/>
  <c r="AA120" i="11"/>
  <c r="Y120" i="11"/>
  <c r="X120" i="11"/>
  <c r="K120" i="11"/>
  <c r="I120" i="11"/>
  <c r="G120" i="11"/>
  <c r="F120" i="11"/>
  <c r="AC119" i="11"/>
  <c r="AA119" i="11"/>
  <c r="Y119" i="11"/>
  <c r="X119" i="11"/>
  <c r="AC118" i="11"/>
  <c r="AA118" i="11"/>
  <c r="Y118" i="11"/>
  <c r="X118" i="11"/>
  <c r="AC117" i="11"/>
  <c r="AA117" i="11"/>
  <c r="Y117" i="11"/>
  <c r="X117" i="11"/>
  <c r="AC116" i="11"/>
  <c r="AA116" i="11"/>
  <c r="Y116" i="11"/>
  <c r="X116" i="11"/>
  <c r="AC115" i="11"/>
  <c r="AA115" i="11"/>
  <c r="Y115" i="11"/>
  <c r="X115" i="11"/>
  <c r="AC114" i="11"/>
  <c r="AA114" i="11"/>
  <c r="Y114" i="11"/>
  <c r="X114" i="11"/>
  <c r="T114" i="11"/>
  <c r="R114" i="11"/>
  <c r="P114" i="11"/>
  <c r="O114" i="11"/>
  <c r="K114" i="11"/>
  <c r="I114" i="11"/>
  <c r="G114" i="11"/>
  <c r="F114" i="11"/>
  <c r="AC113" i="11"/>
  <c r="AA113" i="11"/>
  <c r="Z113" i="11"/>
  <c r="Y113" i="11"/>
  <c r="X113" i="11"/>
  <c r="T113" i="11"/>
  <c r="R113" i="11"/>
  <c r="P113" i="11"/>
  <c r="O113" i="11"/>
  <c r="K113" i="11"/>
  <c r="I113" i="11"/>
  <c r="G113" i="11"/>
  <c r="F113" i="11"/>
  <c r="AC112" i="11"/>
  <c r="AA112" i="11"/>
  <c r="Y112" i="11"/>
  <c r="X112" i="11"/>
  <c r="T112" i="11"/>
  <c r="R112" i="11"/>
  <c r="P112" i="11"/>
  <c r="O112" i="11"/>
  <c r="K112" i="11"/>
  <c r="I112" i="11"/>
  <c r="G112" i="11"/>
  <c r="F112" i="11"/>
  <c r="AC111" i="11"/>
  <c r="AA111" i="11"/>
  <c r="Y111" i="11"/>
  <c r="X111" i="11"/>
  <c r="AC110" i="11"/>
  <c r="AA110" i="11"/>
  <c r="Y110" i="11"/>
  <c r="X110" i="11"/>
  <c r="AC109" i="11"/>
  <c r="AA109" i="11"/>
  <c r="Y109" i="11"/>
  <c r="X109" i="11"/>
  <c r="AC108" i="11"/>
  <c r="AA108" i="11"/>
  <c r="Y108" i="11"/>
  <c r="X108" i="11"/>
  <c r="K108" i="11"/>
  <c r="I108" i="11"/>
  <c r="G108" i="11"/>
  <c r="F108" i="11"/>
  <c r="AC107" i="11"/>
  <c r="AA107" i="11"/>
  <c r="Y107" i="11"/>
  <c r="X107" i="11"/>
  <c r="AC106" i="11"/>
  <c r="AA106" i="11"/>
  <c r="Y106" i="11"/>
  <c r="X106" i="11"/>
  <c r="K106" i="11"/>
  <c r="I106" i="11"/>
  <c r="G106" i="11"/>
  <c r="F106" i="11"/>
  <c r="AC105" i="11"/>
  <c r="AA105" i="11"/>
  <c r="Y105" i="11"/>
  <c r="X105" i="11"/>
  <c r="K105" i="11"/>
  <c r="I105" i="11"/>
  <c r="G105" i="11"/>
  <c r="F105" i="11"/>
  <c r="AC104" i="11"/>
  <c r="AA104" i="11"/>
  <c r="Y104" i="11"/>
  <c r="X104" i="11"/>
  <c r="T104" i="11"/>
  <c r="R104" i="11"/>
  <c r="P104" i="11"/>
  <c r="O104" i="11"/>
  <c r="K104" i="11"/>
  <c r="I104" i="11"/>
  <c r="G104" i="11"/>
  <c r="F104" i="11"/>
  <c r="AC103" i="11"/>
  <c r="AA103" i="11"/>
  <c r="Y103" i="11"/>
  <c r="X103" i="11"/>
  <c r="T103" i="11"/>
  <c r="R103" i="11"/>
  <c r="P103" i="11"/>
  <c r="O103" i="11"/>
  <c r="K103" i="11"/>
  <c r="I103" i="11"/>
  <c r="G103" i="11"/>
  <c r="F103" i="11"/>
  <c r="AC102" i="11"/>
  <c r="AA102" i="11"/>
  <c r="Y102" i="11"/>
  <c r="X102" i="11"/>
  <c r="AC101" i="11"/>
  <c r="AA101" i="11"/>
  <c r="Y101" i="11"/>
  <c r="X101" i="11"/>
  <c r="AC100" i="11"/>
  <c r="AA100" i="11"/>
  <c r="Y100" i="11"/>
  <c r="X100" i="11"/>
  <c r="AC99" i="11"/>
  <c r="AA99" i="11"/>
  <c r="Y99" i="11"/>
  <c r="X99" i="11"/>
  <c r="AC98" i="11"/>
  <c r="AA98" i="11"/>
  <c r="Y98" i="11"/>
  <c r="X98" i="11"/>
  <c r="K98" i="11"/>
  <c r="I98" i="11"/>
  <c r="G98" i="11"/>
  <c r="F98" i="11"/>
  <c r="AC97" i="11"/>
  <c r="AA97" i="11"/>
  <c r="Y97" i="11"/>
  <c r="X97" i="11"/>
  <c r="AC96" i="11"/>
  <c r="AA96" i="11"/>
  <c r="Y96" i="11"/>
  <c r="X96" i="11"/>
  <c r="AC95" i="11"/>
  <c r="AA95" i="11"/>
  <c r="Y95" i="11"/>
  <c r="X95" i="11"/>
  <c r="AC94" i="11"/>
  <c r="AA94" i="11"/>
  <c r="Y94" i="11"/>
  <c r="X94" i="11"/>
  <c r="K94" i="11"/>
  <c r="I94" i="11"/>
  <c r="G94" i="11"/>
  <c r="F94" i="11"/>
  <c r="AC93" i="11"/>
  <c r="AA93" i="11"/>
  <c r="Y93" i="11"/>
  <c r="X93" i="11"/>
  <c r="AC92" i="11"/>
  <c r="AA92" i="11"/>
  <c r="Y92" i="11"/>
  <c r="X92" i="11"/>
  <c r="AC91" i="11"/>
  <c r="AA91" i="11"/>
  <c r="Y91" i="11"/>
  <c r="X91" i="11"/>
  <c r="AC90" i="11"/>
  <c r="AA90" i="11"/>
  <c r="Y90" i="11"/>
  <c r="X90" i="11"/>
  <c r="AC89" i="11"/>
  <c r="AA89" i="11"/>
  <c r="Y89" i="11"/>
  <c r="X89" i="11"/>
  <c r="K89" i="11"/>
  <c r="I89" i="11"/>
  <c r="G89" i="11"/>
  <c r="F89" i="11"/>
  <c r="AC88" i="11"/>
  <c r="AA88" i="11"/>
  <c r="Y88" i="11"/>
  <c r="X88" i="11"/>
  <c r="K88" i="11"/>
  <c r="I88" i="11"/>
  <c r="G88" i="11"/>
  <c r="F88" i="11"/>
  <c r="AC87" i="11"/>
  <c r="AA87" i="11"/>
  <c r="Y87" i="11"/>
  <c r="X87" i="11"/>
  <c r="T87" i="11"/>
  <c r="R87" i="11"/>
  <c r="P87" i="11"/>
  <c r="O87" i="11"/>
  <c r="K87" i="11"/>
  <c r="I87" i="11"/>
  <c r="G87" i="11"/>
  <c r="F87" i="11"/>
  <c r="AC86" i="11"/>
  <c r="AA86" i="11"/>
  <c r="Y86" i="11"/>
  <c r="X86" i="11"/>
  <c r="AC85" i="11"/>
  <c r="AA85" i="11"/>
  <c r="Y85" i="11"/>
  <c r="X85" i="11"/>
  <c r="AC84" i="11"/>
  <c r="AA84" i="11"/>
  <c r="Y84" i="11"/>
  <c r="X84" i="11"/>
  <c r="K84" i="11"/>
  <c r="I84" i="11"/>
  <c r="G84" i="11"/>
  <c r="F84" i="11"/>
  <c r="AC83" i="11"/>
  <c r="AA83" i="11"/>
  <c r="Y83" i="11"/>
  <c r="X83" i="11"/>
  <c r="K83" i="11"/>
  <c r="I83" i="11"/>
  <c r="H83" i="11"/>
  <c r="G83" i="11"/>
  <c r="F83" i="11"/>
  <c r="AC82" i="11"/>
  <c r="AA82" i="11"/>
  <c r="Y82" i="11"/>
  <c r="X82" i="11"/>
  <c r="AA81" i="11"/>
  <c r="Y81" i="11"/>
  <c r="X81" i="11"/>
  <c r="K81" i="11"/>
  <c r="I81" i="11"/>
  <c r="G81" i="11"/>
  <c r="F81" i="11"/>
  <c r="AC80" i="11"/>
  <c r="AA80" i="11"/>
  <c r="Y80" i="11"/>
  <c r="X80" i="11"/>
  <c r="T80" i="11"/>
  <c r="R80" i="11"/>
  <c r="P80" i="11"/>
  <c r="O80" i="11"/>
  <c r="K80" i="11"/>
  <c r="I80" i="11"/>
  <c r="G80" i="11"/>
  <c r="F80" i="11"/>
  <c r="AC79" i="11"/>
  <c r="AA79" i="11"/>
  <c r="Y79" i="11"/>
  <c r="X79" i="11"/>
  <c r="T79" i="11"/>
  <c r="R79" i="11"/>
  <c r="P79" i="11"/>
  <c r="O79" i="11"/>
  <c r="K79" i="11"/>
  <c r="I79" i="11"/>
  <c r="G79" i="11"/>
  <c r="F79" i="11"/>
  <c r="AC78" i="11"/>
  <c r="AA78" i="11"/>
  <c r="Y78" i="11"/>
  <c r="X78" i="11"/>
  <c r="AC77" i="11"/>
  <c r="AA77" i="11"/>
  <c r="Y77" i="11"/>
  <c r="X77" i="11"/>
  <c r="AC76" i="11"/>
  <c r="AA76" i="11"/>
  <c r="Y76" i="11"/>
  <c r="X76" i="11"/>
  <c r="K76" i="11"/>
  <c r="I76" i="11"/>
  <c r="G76" i="11"/>
  <c r="F76" i="11"/>
  <c r="AC75" i="11"/>
  <c r="AA75" i="11"/>
  <c r="Y75" i="11"/>
  <c r="X75" i="11"/>
  <c r="K75" i="11"/>
  <c r="I75" i="11"/>
  <c r="G75" i="11"/>
  <c r="F75" i="11"/>
  <c r="AC74" i="11"/>
  <c r="AA74" i="11"/>
  <c r="Y74" i="11"/>
  <c r="X74" i="11"/>
  <c r="AC73" i="11"/>
  <c r="AA73" i="11"/>
  <c r="Y73" i="11"/>
  <c r="X73" i="11"/>
  <c r="AC72" i="11"/>
  <c r="AA72" i="11"/>
  <c r="Y72" i="11"/>
  <c r="X72" i="11"/>
  <c r="K72" i="11"/>
  <c r="I72" i="11"/>
  <c r="G72" i="11"/>
  <c r="F72" i="11"/>
  <c r="AC71" i="11"/>
  <c r="AA71" i="11"/>
  <c r="Y71" i="11"/>
  <c r="X71" i="11"/>
  <c r="AC70" i="11"/>
  <c r="AA70" i="11"/>
  <c r="Y70" i="11"/>
  <c r="X70" i="11"/>
  <c r="AC69" i="11"/>
  <c r="AA69" i="11"/>
  <c r="Y69" i="11"/>
  <c r="X69" i="11"/>
  <c r="AC68" i="11"/>
  <c r="AA68" i="11"/>
  <c r="Y68" i="11"/>
  <c r="X68" i="11"/>
  <c r="AC67" i="11"/>
  <c r="AA67" i="11"/>
  <c r="Y67" i="11"/>
  <c r="X67" i="11"/>
  <c r="AC66" i="11"/>
  <c r="AA66" i="11"/>
  <c r="Y66" i="11"/>
  <c r="X66" i="11"/>
  <c r="K66" i="11"/>
  <c r="I66" i="11"/>
  <c r="G66" i="11"/>
  <c r="F66" i="11"/>
  <c r="AC65" i="11"/>
  <c r="AA65" i="11"/>
  <c r="Y65" i="11"/>
  <c r="X65" i="11"/>
  <c r="K65" i="11"/>
  <c r="I65" i="11"/>
  <c r="G65" i="11"/>
  <c r="F65" i="11"/>
  <c r="AC64" i="11"/>
  <c r="AA64" i="11"/>
  <c r="Y64" i="11"/>
  <c r="X64" i="11"/>
  <c r="AC63" i="11"/>
  <c r="AA63" i="11"/>
  <c r="Y63" i="11"/>
  <c r="X63" i="11"/>
  <c r="AC62" i="11"/>
  <c r="AA62" i="11"/>
  <c r="Y62" i="11"/>
  <c r="X62" i="11"/>
  <c r="AC61" i="11"/>
  <c r="AA61" i="11"/>
  <c r="Y61" i="11"/>
  <c r="X61" i="11"/>
  <c r="K61" i="11"/>
  <c r="I61" i="11"/>
  <c r="G61" i="11"/>
  <c r="F61" i="11"/>
  <c r="AC60" i="11"/>
  <c r="AA60" i="11"/>
  <c r="Y60" i="11"/>
  <c r="X60" i="11"/>
  <c r="AC59" i="11"/>
  <c r="AA59" i="11"/>
  <c r="Y59" i="11"/>
  <c r="X59" i="11"/>
  <c r="AC58" i="11"/>
  <c r="AA58" i="11"/>
  <c r="Y58" i="11"/>
  <c r="X58" i="11"/>
  <c r="AC57" i="11"/>
  <c r="AA57" i="11"/>
  <c r="Y57" i="11"/>
  <c r="X57" i="11"/>
  <c r="AC56" i="11"/>
  <c r="AA56" i="11"/>
  <c r="Y56" i="11"/>
  <c r="X56" i="11"/>
  <c r="AC55" i="11"/>
  <c r="AA55" i="11"/>
  <c r="Y55" i="11"/>
  <c r="X55" i="11"/>
  <c r="T55" i="11"/>
  <c r="R55" i="11"/>
  <c r="P55" i="11"/>
  <c r="O55" i="11"/>
  <c r="K55" i="11"/>
  <c r="I55" i="11"/>
  <c r="G55" i="11"/>
  <c r="F55" i="11"/>
  <c r="AC54" i="11"/>
  <c r="AA54" i="11"/>
  <c r="Y54" i="11"/>
  <c r="X54" i="11"/>
  <c r="T54" i="11"/>
  <c r="R54" i="11"/>
  <c r="P54" i="11"/>
  <c r="O54" i="11"/>
  <c r="K54" i="11"/>
  <c r="I54" i="11"/>
  <c r="G54" i="11"/>
  <c r="F54" i="11"/>
  <c r="AC53" i="11"/>
  <c r="AA53" i="11"/>
  <c r="Y53" i="11"/>
  <c r="X53" i="11"/>
  <c r="AC52" i="11"/>
  <c r="AA52" i="11"/>
  <c r="Y52" i="11"/>
  <c r="X52" i="11"/>
  <c r="AC51" i="11"/>
  <c r="AA51" i="11"/>
  <c r="Y51" i="11"/>
  <c r="X51" i="11"/>
  <c r="AC50" i="11"/>
  <c r="AA50" i="11"/>
  <c r="Y50" i="11"/>
  <c r="X50" i="11"/>
  <c r="AC49" i="11"/>
  <c r="AA49" i="11"/>
  <c r="Y49" i="11"/>
  <c r="X49" i="11"/>
  <c r="AC48" i="11"/>
  <c r="AA48" i="11"/>
  <c r="Y48" i="11"/>
  <c r="X48" i="11"/>
  <c r="AC47" i="11"/>
  <c r="AA47" i="11"/>
  <c r="Y47" i="11"/>
  <c r="X47" i="11"/>
  <c r="K47" i="11"/>
  <c r="I47" i="11"/>
  <c r="G47" i="11"/>
  <c r="F47" i="11"/>
  <c r="AC46" i="11"/>
  <c r="AA46" i="11"/>
  <c r="Y46" i="11"/>
  <c r="X46" i="11"/>
  <c r="K46" i="11"/>
  <c r="I46" i="11"/>
  <c r="G46" i="11"/>
  <c r="F46" i="11"/>
  <c r="AC45" i="11"/>
  <c r="AA45" i="11"/>
  <c r="Y45" i="11"/>
  <c r="X45" i="11"/>
  <c r="AC44" i="11"/>
  <c r="AA44" i="11"/>
  <c r="Y44" i="11"/>
  <c r="X44" i="11"/>
  <c r="K44" i="11"/>
  <c r="I44" i="11"/>
  <c r="G44" i="11"/>
  <c r="F44" i="11"/>
  <c r="AC43" i="11"/>
  <c r="AA43" i="11"/>
  <c r="Y43" i="11"/>
  <c r="X43" i="11"/>
  <c r="AC42" i="11"/>
  <c r="AA42" i="11"/>
  <c r="Y42" i="11"/>
  <c r="X42" i="11"/>
  <c r="K42" i="11"/>
  <c r="I42" i="11"/>
  <c r="G42" i="11"/>
  <c r="F42" i="11"/>
  <c r="AC41" i="11"/>
  <c r="AA41" i="11"/>
  <c r="Y41" i="11"/>
  <c r="X41" i="11"/>
  <c r="AC40" i="11"/>
  <c r="AA40" i="11"/>
  <c r="Y40" i="11"/>
  <c r="X40" i="11"/>
  <c r="AC39" i="11"/>
  <c r="AA39" i="11"/>
  <c r="Y39" i="11"/>
  <c r="X39" i="11"/>
  <c r="K39" i="11"/>
  <c r="I39" i="11"/>
  <c r="G39" i="11"/>
  <c r="F39" i="11"/>
  <c r="AC38" i="11"/>
  <c r="AA38" i="11"/>
  <c r="Y38" i="11"/>
  <c r="X38" i="11"/>
  <c r="K38" i="11"/>
  <c r="I38" i="11"/>
  <c r="G38" i="11"/>
  <c r="F38" i="11"/>
  <c r="AC37" i="11"/>
  <c r="AA37" i="11"/>
  <c r="Y37" i="11"/>
  <c r="X37" i="11"/>
  <c r="AC36" i="11"/>
  <c r="AA36" i="11"/>
  <c r="Y36" i="11"/>
  <c r="X36" i="11"/>
  <c r="K36" i="11"/>
  <c r="I36" i="11"/>
  <c r="G36" i="11"/>
  <c r="F36" i="11"/>
  <c r="AC35" i="11"/>
  <c r="AA35" i="11"/>
  <c r="Y35" i="11"/>
  <c r="X35" i="11"/>
  <c r="K35" i="11"/>
  <c r="I35" i="11"/>
  <c r="G35" i="11"/>
  <c r="F35" i="11"/>
  <c r="AC34" i="11"/>
  <c r="AA34" i="11"/>
  <c r="Y34" i="11"/>
  <c r="X34" i="11"/>
  <c r="AC33" i="11"/>
  <c r="AA33" i="11"/>
  <c r="Y33" i="11"/>
  <c r="X33" i="11"/>
  <c r="K33" i="11"/>
  <c r="I33" i="11"/>
  <c r="G33" i="11"/>
  <c r="F33" i="11"/>
  <c r="AC32" i="11"/>
  <c r="AA32" i="11"/>
  <c r="Y32" i="11"/>
  <c r="X32" i="11"/>
  <c r="AC31" i="11"/>
  <c r="AA31" i="11"/>
  <c r="Y31" i="11"/>
  <c r="X31" i="11"/>
  <c r="AC30" i="11"/>
  <c r="AA30" i="11"/>
  <c r="Y30" i="11"/>
  <c r="X30" i="11"/>
  <c r="K30" i="11"/>
  <c r="I30" i="11"/>
  <c r="G30" i="11"/>
  <c r="F30" i="11"/>
  <c r="AC29" i="11"/>
  <c r="AA29" i="11"/>
  <c r="Y29" i="11"/>
  <c r="X29" i="11"/>
  <c r="K29" i="11"/>
  <c r="I29" i="11"/>
  <c r="G29" i="11"/>
  <c r="F29" i="11"/>
  <c r="AC28" i="11"/>
  <c r="AA28" i="11"/>
  <c r="Y28" i="11"/>
  <c r="X28" i="11"/>
  <c r="AC27" i="11"/>
  <c r="AA27" i="11"/>
  <c r="Y27" i="11"/>
  <c r="X27" i="11"/>
  <c r="AC26" i="11"/>
  <c r="AA26" i="11"/>
  <c r="Y26" i="11"/>
  <c r="X26" i="11"/>
  <c r="AC25" i="11"/>
  <c r="AA25" i="11"/>
  <c r="Y25" i="11"/>
  <c r="X25" i="11"/>
  <c r="AC24" i="11"/>
  <c r="AA24" i="11"/>
  <c r="Y24" i="11"/>
  <c r="X24" i="11"/>
  <c r="K24" i="11"/>
  <c r="I24" i="11"/>
  <c r="G24" i="11"/>
  <c r="F24" i="11"/>
  <c r="AC23" i="11"/>
  <c r="AA23" i="11"/>
  <c r="Y23" i="11"/>
  <c r="X23" i="11"/>
  <c r="AC22" i="11"/>
  <c r="AA22" i="11"/>
  <c r="Y22" i="11"/>
  <c r="X22" i="11"/>
  <c r="K22" i="11"/>
  <c r="I22" i="11"/>
  <c r="G22" i="11"/>
  <c r="F22" i="11"/>
  <c r="AC21" i="11"/>
  <c r="AA21" i="11"/>
  <c r="Y21" i="11"/>
  <c r="X21" i="11"/>
  <c r="U21" i="11"/>
  <c r="T21" i="11"/>
  <c r="S21" i="11"/>
  <c r="R21" i="11"/>
  <c r="Q21" i="11"/>
  <c r="P21" i="11"/>
  <c r="O21" i="11"/>
  <c r="K21" i="11"/>
  <c r="I21" i="11"/>
  <c r="G21" i="11"/>
  <c r="F21" i="11"/>
  <c r="AC20" i="11"/>
  <c r="AA20" i="11"/>
  <c r="Y20" i="11"/>
  <c r="X20" i="11"/>
  <c r="AC19" i="11"/>
  <c r="AA19" i="11"/>
  <c r="Y19" i="11"/>
  <c r="X19" i="11"/>
  <c r="K19" i="11"/>
  <c r="I19" i="11"/>
  <c r="G19" i="11"/>
  <c r="F19" i="11"/>
  <c r="AD18" i="11"/>
  <c r="AC18" i="11"/>
  <c r="AB18" i="11"/>
  <c r="AA18" i="11"/>
  <c r="Z18" i="11"/>
  <c r="Y18" i="11"/>
  <c r="X18" i="11"/>
  <c r="AD17" i="11"/>
  <c r="AC17" i="11"/>
  <c r="AB17" i="11"/>
  <c r="AA17" i="11"/>
  <c r="Z17" i="11"/>
  <c r="Y17" i="11"/>
  <c r="X17" i="11"/>
  <c r="AD16" i="11"/>
  <c r="AC16" i="11"/>
  <c r="AB16" i="11"/>
  <c r="AA16" i="11"/>
  <c r="Z16" i="11"/>
  <c r="Y16" i="11"/>
  <c r="X16" i="11"/>
  <c r="L16" i="11"/>
  <c r="K16" i="11"/>
  <c r="J16" i="11"/>
  <c r="I16" i="11"/>
  <c r="H16" i="11"/>
  <c r="G16" i="11"/>
  <c r="F16" i="11"/>
  <c r="AC15" i="11"/>
  <c r="AA15" i="11"/>
  <c r="Y15" i="11"/>
  <c r="X15" i="11"/>
  <c r="AC14" i="11"/>
  <c r="AA14" i="11"/>
  <c r="Y14" i="11"/>
  <c r="X14" i="11"/>
  <c r="AC13" i="11"/>
  <c r="AA13" i="11"/>
  <c r="Y13" i="11"/>
  <c r="X13" i="11"/>
  <c r="AC12" i="11"/>
  <c r="AA12" i="11"/>
  <c r="Y12" i="11"/>
  <c r="X12" i="11"/>
  <c r="K12" i="11"/>
  <c r="I12" i="11"/>
  <c r="G12" i="11"/>
  <c r="F12" i="11"/>
  <c r="AC11" i="11"/>
  <c r="AA11" i="11"/>
  <c r="Y11" i="11"/>
  <c r="X11" i="11"/>
  <c r="AC10" i="11"/>
  <c r="AA10" i="11"/>
  <c r="Y10" i="11"/>
  <c r="X10" i="11"/>
  <c r="AC9" i="11"/>
  <c r="AA9" i="11"/>
  <c r="Y9" i="11"/>
  <c r="X9" i="11"/>
  <c r="K9" i="11"/>
  <c r="I9" i="11"/>
  <c r="G9" i="11"/>
  <c r="F9" i="11"/>
  <c r="AC8" i="11"/>
  <c r="AA8" i="11"/>
  <c r="Y8" i="11"/>
  <c r="X8" i="11"/>
  <c r="AC7" i="11"/>
  <c r="AA7" i="11"/>
  <c r="Y7" i="11"/>
  <c r="X7" i="11"/>
  <c r="AC6" i="11"/>
  <c r="AA6" i="11"/>
  <c r="Y6" i="11"/>
  <c r="X6" i="11"/>
  <c r="AC5" i="11"/>
  <c r="AA5" i="11"/>
  <c r="Y5" i="11"/>
  <c r="X5" i="11"/>
  <c r="T5" i="11"/>
  <c r="R5" i="11"/>
  <c r="Q5" i="11"/>
  <c r="P5" i="11"/>
  <c r="O5" i="11"/>
  <c r="AC4" i="11"/>
  <c r="AA4" i="11"/>
  <c r="Y4" i="11"/>
  <c r="X4" i="11"/>
  <c r="T4" i="11"/>
  <c r="R4" i="11"/>
  <c r="P4" i="11"/>
  <c r="O4" i="11"/>
  <c r="K4" i="11"/>
  <c r="I4" i="11"/>
  <c r="G4" i="11"/>
  <c r="F4" i="11"/>
  <c r="AC3" i="11"/>
  <c r="AA3" i="11"/>
  <c r="Y3" i="11"/>
  <c r="X3" i="11"/>
  <c r="T3" i="11"/>
  <c r="R3" i="11"/>
  <c r="P3" i="11"/>
  <c r="O3" i="11"/>
  <c r="K3" i="11"/>
  <c r="I3" i="11"/>
  <c r="G3" i="11"/>
  <c r="F3" i="11"/>
  <c r="J721" i="10"/>
  <c r="D716" i="10"/>
  <c r="D715" i="10"/>
  <c r="I706" i="10"/>
  <c r="J700" i="10"/>
  <c r="F699" i="10"/>
  <c r="H699" i="10" s="1"/>
  <c r="J699" i="10" s="1"/>
  <c r="F698" i="10"/>
  <c r="H698" i="10" s="1"/>
  <c r="F697" i="10"/>
  <c r="H697" i="10" s="1"/>
  <c r="J697" i="10" s="1"/>
  <c r="F695" i="10"/>
  <c r="H695" i="10" s="1"/>
  <c r="J695" i="10" s="1"/>
  <c r="G154" i="12" s="1"/>
  <c r="J692" i="10"/>
  <c r="J691" i="10"/>
  <c r="M691" i="10" s="1"/>
  <c r="F687" i="10"/>
  <c r="H687" i="10" s="1"/>
  <c r="J687" i="10" s="1"/>
  <c r="M687" i="10" s="1"/>
  <c r="F686" i="10"/>
  <c r="H686" i="10" s="1"/>
  <c r="J685" i="10" s="1"/>
  <c r="M685" i="10" s="1"/>
  <c r="F685" i="10"/>
  <c r="H685" i="10" s="1"/>
  <c r="F684" i="10"/>
  <c r="H684" i="10" s="1"/>
  <c r="J684" i="10" s="1"/>
  <c r="F683" i="10"/>
  <c r="H683" i="10" s="1"/>
  <c r="J683" i="10" s="1"/>
  <c r="M683" i="10" s="1"/>
  <c r="F680" i="10"/>
  <c r="H680" i="10" s="1"/>
  <c r="J680" i="10" s="1"/>
  <c r="M680" i="10" s="1"/>
  <c r="F679" i="10"/>
  <c r="H679" i="10" s="1"/>
  <c r="J679" i="10" s="1"/>
  <c r="M679" i="10" s="1"/>
  <c r="F676" i="10"/>
  <c r="H676" i="10" s="1"/>
  <c r="J676" i="10" s="1"/>
  <c r="F675" i="10"/>
  <c r="Z232" i="11" s="1"/>
  <c r="F674" i="10"/>
  <c r="H674" i="10" s="1"/>
  <c r="AB231" i="11" s="1"/>
  <c r="F671" i="10"/>
  <c r="H231" i="11" s="1"/>
  <c r="F668" i="10"/>
  <c r="Z230" i="11" s="1"/>
  <c r="F667" i="10"/>
  <c r="Z229" i="11" s="1"/>
  <c r="F666" i="10"/>
  <c r="Z228" i="11" s="1"/>
  <c r="F665" i="10"/>
  <c r="H665" i="10" s="1"/>
  <c r="AC227" i="11" s="1"/>
  <c r="F662" i="10"/>
  <c r="H662" i="10" s="1"/>
  <c r="J662" i="10" s="1"/>
  <c r="F661" i="10"/>
  <c r="F658" i="10"/>
  <c r="F657" i="10"/>
  <c r="F656" i="10"/>
  <c r="F653" i="10"/>
  <c r="H224" i="11" s="1"/>
  <c r="F650" i="10"/>
  <c r="Z223" i="11" s="1"/>
  <c r="F649" i="10"/>
  <c r="Z222" i="11" s="1"/>
  <c r="F648" i="10"/>
  <c r="Z221" i="11" s="1"/>
  <c r="F645" i="10"/>
  <c r="H221" i="11" s="1"/>
  <c r="F642" i="10"/>
  <c r="H642" i="10" s="1"/>
  <c r="J642" i="10" s="1"/>
  <c r="M642" i="10" s="1"/>
  <c r="F641" i="10"/>
  <c r="Z220" i="11" s="1"/>
  <c r="F640" i="10"/>
  <c r="Z219" i="11" s="1"/>
  <c r="F639" i="10"/>
  <c r="Z218" i="11" s="1"/>
  <c r="N638" i="10"/>
  <c r="N637" i="10"/>
  <c r="F635" i="10"/>
  <c r="H635" i="10" s="1"/>
  <c r="J635" i="10" s="1"/>
  <c r="M635" i="10" s="1"/>
  <c r="F634" i="10"/>
  <c r="F631" i="10"/>
  <c r="F630" i="10"/>
  <c r="F629" i="10"/>
  <c r="F628" i="10"/>
  <c r="F627" i="10"/>
  <c r="F624" i="10"/>
  <c r="H624" i="10" s="1"/>
  <c r="H623" i="10"/>
  <c r="J213" i="11" s="1"/>
  <c r="O621" i="10"/>
  <c r="F619" i="10"/>
  <c r="Z211" i="11" s="1"/>
  <c r="F618" i="10"/>
  <c r="F617" i="10"/>
  <c r="Z209" i="11" s="1"/>
  <c r="F616" i="10"/>
  <c r="Z208" i="11" s="1"/>
  <c r="F615" i="10"/>
  <c r="Z207" i="11" s="1"/>
  <c r="O614" i="10"/>
  <c r="AC206" i="11"/>
  <c r="F614" i="10"/>
  <c r="Z206" i="11" s="1"/>
  <c r="F611" i="10"/>
  <c r="H207" i="11" s="1"/>
  <c r="F610" i="10"/>
  <c r="H206" i="11" s="1"/>
  <c r="F607" i="10"/>
  <c r="Z205" i="11" s="1"/>
  <c r="F606" i="10"/>
  <c r="H606" i="10" s="1"/>
  <c r="F605" i="10"/>
  <c r="Z203" i="11" s="1"/>
  <c r="F602" i="10"/>
  <c r="H602" i="10" s="1"/>
  <c r="J602" i="10" s="1"/>
  <c r="F601" i="10"/>
  <c r="H203" i="11" s="1"/>
  <c r="F598" i="10"/>
  <c r="Z202" i="11" s="1"/>
  <c r="F597" i="10"/>
  <c r="H597" i="10" s="1"/>
  <c r="F596" i="10"/>
  <c r="Z200" i="11" s="1"/>
  <c r="F595" i="10"/>
  <c r="Z199" i="11" s="1"/>
  <c r="F592" i="10"/>
  <c r="H592" i="10" s="1"/>
  <c r="J592" i="10" s="1"/>
  <c r="F591" i="10"/>
  <c r="H200" i="11" s="1"/>
  <c r="F590" i="10"/>
  <c r="H199" i="11" s="1"/>
  <c r="F587" i="10"/>
  <c r="H587" i="10" s="1"/>
  <c r="J587" i="10" s="1"/>
  <c r="M587" i="10" s="1"/>
  <c r="F586" i="10"/>
  <c r="F585" i="10"/>
  <c r="F584" i="10"/>
  <c r="F583" i="10"/>
  <c r="F582" i="10"/>
  <c r="F581" i="10"/>
  <c r="Z193" i="11" s="1"/>
  <c r="F580" i="10"/>
  <c r="Z192" i="11" s="1"/>
  <c r="F579" i="10"/>
  <c r="Z191" i="11" s="1"/>
  <c r="F578" i="10"/>
  <c r="Z190" i="11" s="1"/>
  <c r="F575" i="10"/>
  <c r="Q190" i="11" s="1"/>
  <c r="F574" i="10"/>
  <c r="H191" i="11" s="1"/>
  <c r="F573" i="10"/>
  <c r="H190" i="11" s="1"/>
  <c r="F570" i="10"/>
  <c r="Z189" i="11" s="1"/>
  <c r="F569" i="10"/>
  <c r="Z188" i="11" s="1"/>
  <c r="F568" i="10"/>
  <c r="Z187" i="11" s="1"/>
  <c r="H565" i="10"/>
  <c r="J565" i="10" s="1"/>
  <c r="F564" i="10"/>
  <c r="J561" i="10"/>
  <c r="M561" i="10" s="1"/>
  <c r="N560" i="10"/>
  <c r="F560" i="10"/>
  <c r="Z186" i="11" s="1"/>
  <c r="N559" i="10"/>
  <c r="F559" i="10"/>
  <c r="F558" i="10"/>
  <c r="N557" i="10"/>
  <c r="F557" i="10"/>
  <c r="Z183" i="11" s="1"/>
  <c r="F556" i="10"/>
  <c r="H556" i="10" s="1"/>
  <c r="F555" i="10"/>
  <c r="Z176" i="11" s="1"/>
  <c r="F554" i="10"/>
  <c r="H554" i="10" s="1"/>
  <c r="F550" i="10"/>
  <c r="H182" i="11" s="1"/>
  <c r="F549" i="10"/>
  <c r="H549" i="10" s="1"/>
  <c r="J549" i="10" s="1"/>
  <c r="F548" i="10"/>
  <c r="H181" i="11" s="1"/>
  <c r="F547" i="10"/>
  <c r="H180" i="11" s="1"/>
  <c r="F544" i="10"/>
  <c r="H544" i="10" s="1"/>
  <c r="J544" i="10" s="1"/>
  <c r="F543" i="10"/>
  <c r="H543" i="10" s="1"/>
  <c r="J543" i="10" s="1"/>
  <c r="F542" i="10"/>
  <c r="H542" i="10" s="1"/>
  <c r="J542" i="10" s="1"/>
  <c r="F541" i="10"/>
  <c r="H541" i="10" s="1"/>
  <c r="J541" i="10" s="1"/>
  <c r="F540" i="10"/>
  <c r="H540" i="10" s="1"/>
  <c r="J540" i="10" s="1"/>
  <c r="F537" i="10"/>
  <c r="Q176" i="11" s="1"/>
  <c r="F536" i="10"/>
  <c r="Q175" i="11" s="1"/>
  <c r="F535" i="10"/>
  <c r="H177" i="11" s="1"/>
  <c r="F534" i="10"/>
  <c r="H176" i="11" s="1"/>
  <c r="F533" i="10"/>
  <c r="H175" i="11" s="1"/>
  <c r="M532" i="10"/>
  <c r="M531" i="10"/>
  <c r="M530" i="10"/>
  <c r="M529" i="10"/>
  <c r="M528" i="10"/>
  <c r="M525" i="10"/>
  <c r="I523" i="10"/>
  <c r="G523" i="10"/>
  <c r="E523" i="10"/>
  <c r="D523" i="10"/>
  <c r="C523" i="10"/>
  <c r="F521" i="10"/>
  <c r="Z174" i="11" s="1"/>
  <c r="F520" i="10"/>
  <c r="Z173" i="11" s="1"/>
  <c r="M519" i="10"/>
  <c r="F519" i="10"/>
  <c r="Z172" i="11" s="1"/>
  <c r="M516" i="10"/>
  <c r="F516" i="10"/>
  <c r="H172" i="11" s="1"/>
  <c r="M514" i="10"/>
  <c r="F513" i="10"/>
  <c r="H513" i="10" s="1"/>
  <c r="I512" i="10" s="1"/>
  <c r="AC171" i="11" s="1"/>
  <c r="M512" i="10"/>
  <c r="H512" i="10"/>
  <c r="F512" i="10"/>
  <c r="Z171" i="11" s="1"/>
  <c r="F511" i="10"/>
  <c r="H511" i="10" s="1"/>
  <c r="I510" i="10" s="1"/>
  <c r="AC170" i="11" s="1"/>
  <c r="M510" i="10"/>
  <c r="H510" i="10"/>
  <c r="F510" i="10"/>
  <c r="Z170" i="11" s="1"/>
  <c r="M508" i="10"/>
  <c r="F507" i="10"/>
  <c r="H507" i="10" s="1"/>
  <c r="I506" i="10" s="1"/>
  <c r="K170" i="11" s="1"/>
  <c r="M506" i="10"/>
  <c r="H506" i="10"/>
  <c r="J170" i="11" s="1"/>
  <c r="M505" i="10"/>
  <c r="F502" i="10"/>
  <c r="H502" i="10" s="1"/>
  <c r="J502" i="10" s="1"/>
  <c r="M503" i="10" s="1"/>
  <c r="F501" i="10"/>
  <c r="M500" i="10"/>
  <c r="F500" i="10"/>
  <c r="M499" i="10"/>
  <c r="M497" i="10"/>
  <c r="F496" i="10"/>
  <c r="F495" i="10"/>
  <c r="F494" i="10"/>
  <c r="M493" i="10"/>
  <c r="F491" i="10"/>
  <c r="F490" i="10"/>
  <c r="Z165" i="11" s="1"/>
  <c r="F489" i="10"/>
  <c r="Z164" i="11" s="1"/>
  <c r="F486" i="10"/>
  <c r="H164" i="11" s="1"/>
  <c r="M485" i="10"/>
  <c r="M484" i="10"/>
  <c r="F482" i="10"/>
  <c r="Z163" i="11" s="1"/>
  <c r="F481" i="10"/>
  <c r="Z162" i="11" s="1"/>
  <c r="F480" i="10"/>
  <c r="Z161" i="11" s="1"/>
  <c r="M479" i="10"/>
  <c r="F477" i="10"/>
  <c r="H161" i="11" s="1"/>
  <c r="M476" i="10"/>
  <c r="F474" i="10"/>
  <c r="Z160" i="11" s="1"/>
  <c r="H473" i="10"/>
  <c r="J473" i="10" s="1"/>
  <c r="M473" i="10" s="1"/>
  <c r="F473" i="10"/>
  <c r="F472" i="10"/>
  <c r="Z159" i="11" s="1"/>
  <c r="F471" i="10"/>
  <c r="Z158" i="11" s="1"/>
  <c r="M470" i="10"/>
  <c r="F468" i="10"/>
  <c r="H158" i="11" s="1"/>
  <c r="M467" i="10"/>
  <c r="F465" i="10"/>
  <c r="Z157" i="11" s="1"/>
  <c r="F464" i="10"/>
  <c r="Z156" i="11" s="1"/>
  <c r="M463" i="10"/>
  <c r="F461" i="10"/>
  <c r="M460" i="10"/>
  <c r="F458" i="10"/>
  <c r="F457" i="10"/>
  <c r="F456" i="10"/>
  <c r="F455" i="10"/>
  <c r="Z152" i="11" s="1"/>
  <c r="F454" i="10"/>
  <c r="Z151" i="11" s="1"/>
  <c r="F453" i="10"/>
  <c r="Z150" i="11" s="1"/>
  <c r="M452" i="10"/>
  <c r="M450" i="10"/>
  <c r="F449" i="10"/>
  <c r="H151" i="11" s="1"/>
  <c r="F448" i="10"/>
  <c r="H150" i="11" s="1"/>
  <c r="M447" i="10"/>
  <c r="F445" i="10"/>
  <c r="Z149" i="11" s="1"/>
  <c r="F444" i="10"/>
  <c r="Z148" i="11" s="1"/>
  <c r="F443" i="10"/>
  <c r="Z147" i="11" s="1"/>
  <c r="F442" i="10"/>
  <c r="Z146" i="11" s="1"/>
  <c r="M441" i="10"/>
  <c r="F439" i="10"/>
  <c r="M438" i="10"/>
  <c r="F436" i="10"/>
  <c r="F435" i="10"/>
  <c r="F434" i="10"/>
  <c r="M433" i="10"/>
  <c r="F431" i="10"/>
  <c r="H143" i="11" s="1"/>
  <c r="N430" i="10"/>
  <c r="M430" i="10"/>
  <c r="N429" i="10"/>
  <c r="F428" i="10"/>
  <c r="Z142" i="11" s="1"/>
  <c r="H427" i="10"/>
  <c r="F427" i="10"/>
  <c r="Z141" i="11" s="1"/>
  <c r="F426" i="10"/>
  <c r="Z140" i="11" s="1"/>
  <c r="M425" i="10"/>
  <c r="F423" i="10"/>
  <c r="M422" i="10"/>
  <c r="F420" i="10"/>
  <c r="Z139" i="11" s="1"/>
  <c r="F419" i="10"/>
  <c r="Z138" i="11" s="1"/>
  <c r="H418" i="10"/>
  <c r="J418" i="10" s="1"/>
  <c r="F240" i="12" s="1"/>
  <c r="F417" i="10"/>
  <c r="F416" i="10"/>
  <c r="H416" i="10" s="1"/>
  <c r="J414" i="10"/>
  <c r="M414" i="10" s="1"/>
  <c r="F413" i="10"/>
  <c r="H413" i="10" s="1"/>
  <c r="J413" i="10" s="1"/>
  <c r="M413" i="10" s="1"/>
  <c r="F412" i="10"/>
  <c r="H412" i="10" s="1"/>
  <c r="J412" i="10" s="1"/>
  <c r="M412" i="10" s="1"/>
  <c r="F411" i="10"/>
  <c r="H138" i="11" s="1"/>
  <c r="F410" i="10"/>
  <c r="Q137" i="11" s="1"/>
  <c r="F409" i="10"/>
  <c r="H137" i="11" s="1"/>
  <c r="F406" i="10"/>
  <c r="F405" i="10"/>
  <c r="Z135" i="11" s="1"/>
  <c r="F404" i="10"/>
  <c r="Z134" i="11" s="1"/>
  <c r="F403" i="10"/>
  <c r="Z133" i="11" s="1"/>
  <c r="F400" i="10"/>
  <c r="F399" i="10"/>
  <c r="F396" i="10"/>
  <c r="H396" i="10" s="1"/>
  <c r="F395" i="10"/>
  <c r="F394" i="10"/>
  <c r="F393" i="10"/>
  <c r="F390" i="10"/>
  <c r="H130" i="11" s="1"/>
  <c r="F389" i="10"/>
  <c r="H389" i="10" s="1"/>
  <c r="N387" i="10"/>
  <c r="F386" i="10"/>
  <c r="Z128" i="11" s="1"/>
  <c r="F385" i="10"/>
  <c r="Z127" i="11" s="1"/>
  <c r="F383" i="10"/>
  <c r="H383" i="10" s="1"/>
  <c r="J383" i="10" s="1"/>
  <c r="F382" i="10"/>
  <c r="Z125" i="11" s="1"/>
  <c r="F381" i="10"/>
  <c r="Z124" i="11" s="1"/>
  <c r="F377" i="10"/>
  <c r="H377" i="10" s="1"/>
  <c r="J377" i="10" s="1"/>
  <c r="G376" i="10"/>
  <c r="F375" i="10"/>
  <c r="H124" i="11" s="1"/>
  <c r="F372" i="10"/>
  <c r="Z126" i="11" s="1"/>
  <c r="F371" i="10"/>
  <c r="H371" i="10" s="1"/>
  <c r="J371" i="10" s="1"/>
  <c r="M371" i="10" s="1"/>
  <c r="F370" i="10"/>
  <c r="Z123" i="11" s="1"/>
  <c r="F369" i="10"/>
  <c r="F368" i="10"/>
  <c r="Z121" i="11" s="1"/>
  <c r="F367" i="10"/>
  <c r="Z120" i="11" s="1"/>
  <c r="F363" i="10"/>
  <c r="H363" i="10" s="1"/>
  <c r="J363" i="10" s="1"/>
  <c r="F362" i="10"/>
  <c r="H362" i="10" s="1"/>
  <c r="F359" i="10"/>
  <c r="Z119" i="11" s="1"/>
  <c r="F358" i="10"/>
  <c r="Z118" i="11" s="1"/>
  <c r="F357" i="10"/>
  <c r="Z117" i="11" s="1"/>
  <c r="N356" i="10"/>
  <c r="F356" i="10"/>
  <c r="G8" i="16" s="1"/>
  <c r="Q355" i="10"/>
  <c r="Q356" i="10" s="1"/>
  <c r="F355" i="10"/>
  <c r="Q354" i="10"/>
  <c r="F354" i="10"/>
  <c r="Z114" i="11" s="1"/>
  <c r="H353" i="10"/>
  <c r="J353" i="10" s="1"/>
  <c r="M353" i="10" s="1"/>
  <c r="N352" i="10"/>
  <c r="N353" i="10" s="1"/>
  <c r="F352" i="10"/>
  <c r="Z112" i="11" s="1"/>
  <c r="F348" i="10"/>
  <c r="F347" i="10"/>
  <c r="H347" i="10" s="1"/>
  <c r="F346" i="10"/>
  <c r="F343" i="10"/>
  <c r="H343" i="10" s="1"/>
  <c r="F342" i="10"/>
  <c r="F341" i="10"/>
  <c r="F337" i="10"/>
  <c r="Z111" i="11" s="1"/>
  <c r="F336" i="10"/>
  <c r="Z110" i="11" s="1"/>
  <c r="F335" i="10"/>
  <c r="Z109" i="11" s="1"/>
  <c r="F334" i="10"/>
  <c r="Z108" i="11" s="1"/>
  <c r="F331" i="10"/>
  <c r="F328" i="10"/>
  <c r="F327" i="10"/>
  <c r="F326" i="10"/>
  <c r="F325" i="10"/>
  <c r="F324" i="10"/>
  <c r="F321" i="10"/>
  <c r="H321" i="10" s="1"/>
  <c r="F320" i="10"/>
  <c r="Q103" i="11" s="1"/>
  <c r="F318" i="10"/>
  <c r="H106" i="11" s="1"/>
  <c r="F317" i="10"/>
  <c r="H105" i="11" s="1"/>
  <c r="F316" i="10"/>
  <c r="H104" i="11" s="1"/>
  <c r="F315" i="10"/>
  <c r="H103" i="11" s="1"/>
  <c r="F312" i="10"/>
  <c r="H312" i="10" s="1"/>
  <c r="J312" i="10" s="1"/>
  <c r="M312" i="10" s="1"/>
  <c r="F311" i="10"/>
  <c r="Z102" i="11" s="1"/>
  <c r="T310" i="10"/>
  <c r="U310" i="10" s="1"/>
  <c r="S310" i="10"/>
  <c r="R310" i="10"/>
  <c r="Q310" i="10"/>
  <c r="F310" i="10"/>
  <c r="Z101" i="11" s="1"/>
  <c r="T309" i="10"/>
  <c r="U309" i="10" s="1"/>
  <c r="S309" i="10"/>
  <c r="R309" i="10"/>
  <c r="Q309" i="10"/>
  <c r="F309" i="10"/>
  <c r="Z100" i="11" s="1"/>
  <c r="U308" i="10"/>
  <c r="T308" i="10"/>
  <c r="R308" i="10"/>
  <c r="S308" i="10" s="1"/>
  <c r="S311" i="10" s="1"/>
  <c r="S313" i="10" s="1"/>
  <c r="Q308" i="10"/>
  <c r="Q311" i="10" s="1"/>
  <c r="Q313" i="10" s="1"/>
  <c r="F308" i="10"/>
  <c r="H308" i="10" s="1"/>
  <c r="F307" i="10"/>
  <c r="N305" i="10"/>
  <c r="F304" i="10"/>
  <c r="F301" i="10"/>
  <c r="F300" i="10"/>
  <c r="F299" i="10"/>
  <c r="F298" i="10"/>
  <c r="F295" i="10"/>
  <c r="H94" i="11" s="1"/>
  <c r="F292" i="10"/>
  <c r="H292" i="10" s="1"/>
  <c r="F291" i="10"/>
  <c r="N290" i="10"/>
  <c r="F290" i="10"/>
  <c r="Z91" i="11" s="1"/>
  <c r="F289" i="10"/>
  <c r="Z90" i="11" s="1"/>
  <c r="N288" i="10"/>
  <c r="F288" i="10"/>
  <c r="Z89" i="11" s="1"/>
  <c r="F287" i="10"/>
  <c r="F286" i="10"/>
  <c r="H286" i="10" s="1"/>
  <c r="F284" i="10"/>
  <c r="H89" i="11" s="1"/>
  <c r="F283" i="10"/>
  <c r="Q87" i="11" s="1"/>
  <c r="Q282" i="10"/>
  <c r="Q283" i="10" s="1"/>
  <c r="F282" i="10"/>
  <c r="F281" i="10"/>
  <c r="F278" i="10"/>
  <c r="F277" i="10"/>
  <c r="F276" i="10"/>
  <c r="F275" i="10"/>
  <c r="F272" i="10"/>
  <c r="H84" i="11" s="1"/>
  <c r="F271" i="10"/>
  <c r="H271" i="10" s="1"/>
  <c r="F267" i="10"/>
  <c r="Z82" i="11" s="1"/>
  <c r="F266" i="10"/>
  <c r="Z81" i="11" s="1"/>
  <c r="F265" i="10"/>
  <c r="Z80" i="11" s="1"/>
  <c r="F264" i="10"/>
  <c r="Z79" i="11" s="1"/>
  <c r="H261" i="10"/>
  <c r="F261" i="10"/>
  <c r="Q80" i="11" s="1"/>
  <c r="F260" i="10"/>
  <c r="Q79" i="11" s="1"/>
  <c r="F259" i="10"/>
  <c r="H81" i="11" s="1"/>
  <c r="F258" i="10"/>
  <c r="H80" i="11" s="1"/>
  <c r="F257" i="10"/>
  <c r="H79" i="11" s="1"/>
  <c r="G247" i="10"/>
  <c r="E247" i="10"/>
  <c r="D247" i="10"/>
  <c r="C247" i="10"/>
  <c r="G246" i="10"/>
  <c r="E246" i="10"/>
  <c r="D246" i="10"/>
  <c r="C246" i="10"/>
  <c r="G245" i="10"/>
  <c r="E245" i="10"/>
  <c r="D245" i="10"/>
  <c r="C245" i="10"/>
  <c r="F242" i="10"/>
  <c r="H242" i="10" s="1"/>
  <c r="J242" i="10" s="1"/>
  <c r="F241" i="10"/>
  <c r="H241" i="10" s="1"/>
  <c r="J241" i="10" s="1"/>
  <c r="F238" i="10"/>
  <c r="H238" i="10" s="1"/>
  <c r="J238" i="10" s="1"/>
  <c r="F235" i="10"/>
  <c r="Z78" i="11" s="1"/>
  <c r="F234" i="10"/>
  <c r="Z77" i="11" s="1"/>
  <c r="F233" i="10"/>
  <c r="Z76" i="11" s="1"/>
  <c r="F232" i="10"/>
  <c r="Z75" i="11" s="1"/>
  <c r="F229" i="10"/>
  <c r="F228" i="10"/>
  <c r="F225" i="10"/>
  <c r="F224" i="10"/>
  <c r="H224" i="10" s="1"/>
  <c r="F223" i="10"/>
  <c r="F220" i="10"/>
  <c r="H72" i="11" s="1"/>
  <c r="F217" i="10"/>
  <c r="H217" i="10" s="1"/>
  <c r="J217" i="10" s="1"/>
  <c r="F216" i="10"/>
  <c r="F215" i="10"/>
  <c r="Z70" i="11" s="1"/>
  <c r="F214" i="10"/>
  <c r="Z69" i="11" s="1"/>
  <c r="F213" i="10"/>
  <c r="Z68" i="11" s="1"/>
  <c r="F210" i="10"/>
  <c r="H210" i="10" s="1"/>
  <c r="J210" i="10" s="1"/>
  <c r="F209" i="10"/>
  <c r="H209" i="10" s="1"/>
  <c r="J209" i="10" s="1"/>
  <c r="F206" i="10"/>
  <c r="H206" i="10" s="1"/>
  <c r="F205" i="10"/>
  <c r="F204" i="10"/>
  <c r="F201" i="10"/>
  <c r="H66" i="11" s="1"/>
  <c r="F200" i="10"/>
  <c r="H65" i="11" s="1"/>
  <c r="F197" i="10"/>
  <c r="F196" i="10"/>
  <c r="F195" i="10"/>
  <c r="F194" i="10"/>
  <c r="F191" i="10"/>
  <c r="H191" i="10" s="1"/>
  <c r="F188" i="10"/>
  <c r="Z60" i="11" s="1"/>
  <c r="F187" i="10"/>
  <c r="Z59" i="11" s="1"/>
  <c r="F186" i="10"/>
  <c r="Z58" i="11" s="1"/>
  <c r="F185" i="10"/>
  <c r="Z57" i="11" s="1"/>
  <c r="F184" i="10"/>
  <c r="F146" i="10" s="1"/>
  <c r="N183" i="10"/>
  <c r="F183" i="10"/>
  <c r="F182" i="10"/>
  <c r="F180" i="10"/>
  <c r="Q55" i="11" s="1"/>
  <c r="F179" i="10"/>
  <c r="Q54" i="11" s="1"/>
  <c r="F177" i="10"/>
  <c r="H55" i="11" s="1"/>
  <c r="F176" i="10"/>
  <c r="H54" i="11" s="1"/>
  <c r="F173" i="10"/>
  <c r="Z53" i="11" s="1"/>
  <c r="F172" i="10"/>
  <c r="Z52" i="11" s="1"/>
  <c r="F171" i="10"/>
  <c r="F170" i="10"/>
  <c r="Z50" i="11" s="1"/>
  <c r="F169" i="10"/>
  <c r="H169" i="10" s="1"/>
  <c r="F168" i="10"/>
  <c r="T167" i="10"/>
  <c r="F167" i="10"/>
  <c r="Z47" i="11" s="1"/>
  <c r="F166" i="10"/>
  <c r="Z46" i="11" s="1"/>
  <c r="V165" i="10"/>
  <c r="V167" i="10" s="1"/>
  <c r="U165" i="10"/>
  <c r="U167" i="10" s="1"/>
  <c r="T165" i="10"/>
  <c r="Q165" i="10"/>
  <c r="F163" i="10"/>
  <c r="H47" i="11" s="1"/>
  <c r="F162" i="10"/>
  <c r="H162" i="10" s="1"/>
  <c r="E160" i="10"/>
  <c r="E255" i="10" s="1"/>
  <c r="E531" i="10" s="1"/>
  <c r="D160" i="10"/>
  <c r="D255" i="10" s="1"/>
  <c r="D531" i="10" s="1"/>
  <c r="N159" i="10"/>
  <c r="G152" i="10"/>
  <c r="E152" i="10"/>
  <c r="D152" i="10"/>
  <c r="C152" i="10"/>
  <c r="E151" i="10"/>
  <c r="D151" i="10"/>
  <c r="F151" i="10" s="1"/>
  <c r="H151" i="10" s="1"/>
  <c r="J151" i="10" s="1"/>
  <c r="G148" i="10"/>
  <c r="F148" i="10"/>
  <c r="E148" i="10"/>
  <c r="D148" i="10"/>
  <c r="G147" i="10"/>
  <c r="E147" i="10"/>
  <c r="D147" i="10"/>
  <c r="G146" i="10"/>
  <c r="E146" i="10"/>
  <c r="D146" i="10"/>
  <c r="G145" i="10"/>
  <c r="E145" i="10"/>
  <c r="D145" i="10"/>
  <c r="C145" i="10"/>
  <c r="F142" i="10"/>
  <c r="H142" i="10" s="1"/>
  <c r="J142" i="10" s="1"/>
  <c r="F141" i="10"/>
  <c r="H141" i="10" s="1"/>
  <c r="J141" i="10" s="1"/>
  <c r="F140" i="10"/>
  <c r="H140" i="10" s="1"/>
  <c r="J140" i="10" s="1"/>
  <c r="M140" i="10" s="1"/>
  <c r="F137" i="10"/>
  <c r="H137" i="10" s="1"/>
  <c r="J137" i="10" s="1"/>
  <c r="H134" i="10"/>
  <c r="J134" i="10" s="1"/>
  <c r="F134" i="10"/>
  <c r="Z45" i="11" s="1"/>
  <c r="F133" i="10"/>
  <c r="Z44" i="11" s="1"/>
  <c r="F130" i="10"/>
  <c r="H44" i="11" s="1"/>
  <c r="F127" i="10"/>
  <c r="G6" i="16" s="1"/>
  <c r="F126" i="10"/>
  <c r="H126" i="10" s="1"/>
  <c r="F123" i="10"/>
  <c r="F120" i="10"/>
  <c r="H120" i="10" s="1"/>
  <c r="J120" i="10" s="1"/>
  <c r="F119" i="10"/>
  <c r="F118" i="10"/>
  <c r="F117" i="10"/>
  <c r="F116" i="10"/>
  <c r="H116" i="10" s="1"/>
  <c r="F114" i="10"/>
  <c r="H114" i="10" s="1"/>
  <c r="J114" i="10" s="1"/>
  <c r="F113" i="10"/>
  <c r="H39" i="11" s="1"/>
  <c r="F112" i="10"/>
  <c r="H38" i="11" s="1"/>
  <c r="F109" i="10"/>
  <c r="Z37" i="11" s="1"/>
  <c r="F108" i="10"/>
  <c r="H108" i="10" s="1"/>
  <c r="F107" i="10"/>
  <c r="Z36" i="11" s="1"/>
  <c r="F104" i="10"/>
  <c r="H36" i="11" s="1"/>
  <c r="N101" i="10"/>
  <c r="F100" i="10"/>
  <c r="H100" i="10" s="1"/>
  <c r="J100" i="10" s="1"/>
  <c r="F97" i="10"/>
  <c r="H35" i="11" s="1"/>
  <c r="F93" i="10"/>
  <c r="H93" i="10" s="1"/>
  <c r="F92" i="10"/>
  <c r="N90" i="10"/>
  <c r="F89" i="10"/>
  <c r="F86" i="10"/>
  <c r="F85" i="10"/>
  <c r="F84" i="10"/>
  <c r="F83" i="10"/>
  <c r="F80" i="10"/>
  <c r="H30" i="11" s="1"/>
  <c r="F79" i="10"/>
  <c r="H29" i="11" s="1"/>
  <c r="F76" i="10"/>
  <c r="H76" i="10" s="1"/>
  <c r="F75" i="10"/>
  <c r="Z27" i="11" s="1"/>
  <c r="F74" i="10"/>
  <c r="Z26" i="11" s="1"/>
  <c r="F73" i="10"/>
  <c r="Z25" i="11" s="1"/>
  <c r="F72" i="10"/>
  <c r="Z24" i="11" s="1"/>
  <c r="F68" i="10"/>
  <c r="H68" i="10" s="1"/>
  <c r="F65" i="10"/>
  <c r="Z23" i="11" s="1"/>
  <c r="F64" i="10"/>
  <c r="Z22" i="11" s="1"/>
  <c r="F63" i="10"/>
  <c r="Z21" i="11" s="1"/>
  <c r="F59" i="10"/>
  <c r="H59" i="10" s="1"/>
  <c r="F58" i="10"/>
  <c r="F55" i="10"/>
  <c r="H55" i="10" s="1"/>
  <c r="F54" i="10"/>
  <c r="F51" i="10"/>
  <c r="H19" i="11" s="1"/>
  <c r="F50" i="10"/>
  <c r="H50" i="10" s="1"/>
  <c r="J50" i="10" s="1"/>
  <c r="H48" i="10"/>
  <c r="F47" i="10"/>
  <c r="H47" i="10" s="1"/>
  <c r="J47" i="10" s="1"/>
  <c r="F21" i="12" s="1"/>
  <c r="F46" i="10"/>
  <c r="H46" i="10" s="1"/>
  <c r="J46" i="10" s="1"/>
  <c r="F23" i="12" s="1"/>
  <c r="F45" i="10"/>
  <c r="H45" i="10" s="1"/>
  <c r="J45" i="10" s="1"/>
  <c r="F41" i="10"/>
  <c r="H41" i="10" s="1"/>
  <c r="J41" i="10" s="1"/>
  <c r="F40" i="10"/>
  <c r="H40" i="10" s="1"/>
  <c r="J40" i="10" s="1"/>
  <c r="F37" i="10"/>
  <c r="F36" i="10"/>
  <c r="Q35" i="10"/>
  <c r="P35" i="10"/>
  <c r="F35" i="10"/>
  <c r="Z13" i="11" s="1"/>
  <c r="O34" i="10"/>
  <c r="P34" i="10" s="1"/>
  <c r="F34" i="10"/>
  <c r="F31" i="10"/>
  <c r="F28" i="10"/>
  <c r="H28" i="10" s="1"/>
  <c r="F27" i="10"/>
  <c r="F26" i="10"/>
  <c r="F22" i="10"/>
  <c r="O19" i="10"/>
  <c r="N19" i="10"/>
  <c r="F19" i="10"/>
  <c r="H19" i="10" s="1"/>
  <c r="AB8" i="11" s="1"/>
  <c r="F18" i="10"/>
  <c r="Z7" i="11" s="1"/>
  <c r="F17" i="10"/>
  <c r="Z6" i="11" s="1"/>
  <c r="N16" i="10"/>
  <c r="F16" i="10"/>
  <c r="Z5" i="11" s="1"/>
  <c r="F15" i="10"/>
  <c r="F14" i="10"/>
  <c r="H14" i="10" s="1"/>
  <c r="F11" i="10"/>
  <c r="H11" i="10" s="1"/>
  <c r="F10" i="10"/>
  <c r="Q4" i="11" s="1"/>
  <c r="F9" i="10"/>
  <c r="Q3" i="11" s="1"/>
  <c r="F7" i="10"/>
  <c r="F6" i="10"/>
  <c r="D2" i="10"/>
  <c r="E529" i="10" s="1"/>
  <c r="F15" i="9"/>
  <c r="E2" i="9"/>
  <c r="J14" i="8"/>
  <c r="D26" i="15" s="1"/>
  <c r="G14" i="8"/>
  <c r="M2" i="8"/>
  <c r="K144" i="7"/>
  <c r="L144" i="7" s="1"/>
  <c r="H163" i="12" s="1"/>
  <c r="K143" i="7"/>
  <c r="L143" i="7" s="1"/>
  <c r="H164" i="12" s="1"/>
  <c r="K142" i="7"/>
  <c r="K141" i="7"/>
  <c r="K140" i="7"/>
  <c r="K139" i="7"/>
  <c r="K138" i="7"/>
  <c r="L138" i="7" s="1"/>
  <c r="H126" i="12" s="1"/>
  <c r="K137" i="7"/>
  <c r="L137" i="7" s="1"/>
  <c r="H124" i="12" s="1"/>
  <c r="K136" i="7"/>
  <c r="K135" i="7"/>
  <c r="K134" i="7"/>
  <c r="K133" i="7"/>
  <c r="K132" i="7"/>
  <c r="K131" i="7"/>
  <c r="K130" i="7"/>
  <c r="K129" i="7"/>
  <c r="K128" i="7"/>
  <c r="K127" i="7"/>
  <c r="H151" i="12" s="1"/>
  <c r="K126" i="7"/>
  <c r="K125" i="7"/>
  <c r="L125" i="7" s="1"/>
  <c r="H149" i="12" s="1"/>
  <c r="K124" i="7"/>
  <c r="K123" i="7"/>
  <c r="K122" i="7"/>
  <c r="K121" i="7"/>
  <c r="L121" i="7" s="1"/>
  <c r="H150" i="12" s="1"/>
  <c r="K120" i="7"/>
  <c r="L120" i="7" s="1"/>
  <c r="H143" i="12" s="1"/>
  <c r="K119" i="7"/>
  <c r="E119" i="7"/>
  <c r="K118" i="7"/>
  <c r="K117" i="7"/>
  <c r="K116" i="7"/>
  <c r="K115" i="7"/>
  <c r="K114" i="7"/>
  <c r="K110" i="7"/>
  <c r="L110" i="7" s="1"/>
  <c r="H89" i="12" s="1"/>
  <c r="K109" i="7"/>
  <c r="H74" i="12" s="1"/>
  <c r="K108" i="7"/>
  <c r="H87" i="12" s="1"/>
  <c r="K107" i="7"/>
  <c r="L107" i="7" s="1"/>
  <c r="H71" i="12" s="1"/>
  <c r="K106" i="7"/>
  <c r="K105" i="7"/>
  <c r="K104" i="7"/>
  <c r="L104" i="7" s="1"/>
  <c r="K103" i="7"/>
  <c r="K102" i="7"/>
  <c r="K101" i="7"/>
  <c r="K100" i="7"/>
  <c r="K99" i="7"/>
  <c r="K96" i="7"/>
  <c r="L96" i="7" s="1"/>
  <c r="H51" i="12" s="1"/>
  <c r="K95" i="7"/>
  <c r="H46" i="12" s="1"/>
  <c r="K94" i="7"/>
  <c r="L94" i="7" s="1"/>
  <c r="H43" i="12" s="1"/>
  <c r="K93" i="7"/>
  <c r="L93" i="7" s="1"/>
  <c r="H21" i="12" s="1"/>
  <c r="K92" i="7"/>
  <c r="K91" i="7"/>
  <c r="K90" i="7"/>
  <c r="L90" i="7" s="1"/>
  <c r="H19" i="12" s="1"/>
  <c r="K89" i="7"/>
  <c r="L89" i="7" s="1"/>
  <c r="H31" i="12" s="1"/>
  <c r="K88" i="7"/>
  <c r="L88" i="7" s="1"/>
  <c r="H28" i="12" s="1"/>
  <c r="K87" i="7"/>
  <c r="L87" i="7" s="1"/>
  <c r="H38" i="12" s="1"/>
  <c r="K86" i="7"/>
  <c r="K85" i="7"/>
  <c r="L85" i="7" s="1"/>
  <c r="K84" i="7"/>
  <c r="K83" i="7"/>
  <c r="K82" i="7"/>
  <c r="K81" i="7"/>
  <c r="K80" i="7"/>
  <c r="K79" i="7"/>
  <c r="L79" i="7" s="1"/>
  <c r="H8" i="12" s="1"/>
  <c r="K78" i="7"/>
  <c r="R78" i="7" s="1"/>
  <c r="K77" i="7"/>
  <c r="K76" i="7"/>
  <c r="R76" i="7" s="1"/>
  <c r="K75" i="7"/>
  <c r="R75" i="7" s="1"/>
  <c r="K74" i="7"/>
  <c r="R74" i="7" s="1"/>
  <c r="K73" i="7"/>
  <c r="R73" i="7" s="1"/>
  <c r="K72" i="7"/>
  <c r="R72" i="7" s="1"/>
  <c r="K71" i="7"/>
  <c r="R71" i="7" s="1"/>
  <c r="K70" i="7"/>
  <c r="R70" i="7" s="1"/>
  <c r="K69" i="7"/>
  <c r="K68" i="7"/>
  <c r="L68" i="7" s="1"/>
  <c r="H13" i="12" s="1"/>
  <c r="K67" i="7"/>
  <c r="K66" i="7"/>
  <c r="K62" i="7"/>
  <c r="L62" i="7" s="1"/>
  <c r="H288" i="12" s="1"/>
  <c r="K61" i="7"/>
  <c r="L61" i="7" s="1"/>
  <c r="H280" i="12" s="1"/>
  <c r="K60" i="7"/>
  <c r="K59" i="7"/>
  <c r="K58" i="7"/>
  <c r="L58" i="7" s="1"/>
  <c r="H263" i="12" s="1"/>
  <c r="K57" i="7"/>
  <c r="K56" i="7"/>
  <c r="K55" i="7"/>
  <c r="K54" i="7"/>
  <c r="K53" i="7"/>
  <c r="K52" i="7"/>
  <c r="K51" i="7"/>
  <c r="K50" i="7"/>
  <c r="K49" i="7"/>
  <c r="K48" i="7"/>
  <c r="L48" i="7" s="1"/>
  <c r="H264" i="12" s="1"/>
  <c r="K47" i="7"/>
  <c r="K46" i="7"/>
  <c r="K45" i="7"/>
  <c r="K44" i="7"/>
  <c r="L44" i="7" s="1"/>
  <c r="H278" i="12" s="1"/>
  <c r="K43" i="7"/>
  <c r="K41" i="7"/>
  <c r="K40" i="7"/>
  <c r="K39" i="7"/>
  <c r="K38" i="7"/>
  <c r="K37" i="7"/>
  <c r="L37" i="7" s="1"/>
  <c r="H252" i="12" s="1"/>
  <c r="K36" i="7"/>
  <c r="K35" i="7"/>
  <c r="K34" i="7"/>
  <c r="K33" i="7"/>
  <c r="K32" i="7"/>
  <c r="K31" i="7"/>
  <c r="L31" i="7" s="1"/>
  <c r="H257" i="12" s="1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L12" i="7" s="1"/>
  <c r="H228" i="12" s="1"/>
  <c r="H243" i="12" s="1"/>
  <c r="K11" i="7"/>
  <c r="K10" i="7"/>
  <c r="K9" i="7"/>
  <c r="K8" i="7"/>
  <c r="K7" i="7"/>
  <c r="L7" i="7" s="1"/>
  <c r="H211" i="12" s="1"/>
  <c r="K6" i="7"/>
  <c r="L6" i="7" s="1"/>
  <c r="H295" i="12" s="1"/>
  <c r="H307" i="12" s="1"/>
  <c r="K5" i="7"/>
  <c r="L5" i="7" s="1"/>
  <c r="H198" i="12" s="1"/>
  <c r="K4" i="7"/>
  <c r="L4" i="7" s="1"/>
  <c r="P2" i="7"/>
  <c r="M153" i="6"/>
  <c r="P153" i="6" s="1"/>
  <c r="P152" i="6"/>
  <c r="N152" i="6"/>
  <c r="P151" i="6"/>
  <c r="N151" i="6"/>
  <c r="P150" i="6"/>
  <c r="N150" i="6"/>
  <c r="P149" i="6"/>
  <c r="P148" i="6"/>
  <c r="P147" i="6"/>
  <c r="N147" i="6"/>
  <c r="P146" i="6"/>
  <c r="P145" i="6"/>
  <c r="N145" i="6"/>
  <c r="M137" i="6"/>
  <c r="N137" i="6" s="1"/>
  <c r="M135" i="6"/>
  <c r="M134" i="6"/>
  <c r="M133" i="6"/>
  <c r="M132" i="6"/>
  <c r="M131" i="6"/>
  <c r="M130" i="6"/>
  <c r="M129" i="6"/>
  <c r="M128" i="6"/>
  <c r="M127" i="6"/>
  <c r="M126" i="6"/>
  <c r="M125" i="6"/>
  <c r="M124" i="6"/>
  <c r="M123" i="6"/>
  <c r="M122" i="6"/>
  <c r="M121" i="6"/>
  <c r="M120" i="6"/>
  <c r="M119" i="6"/>
  <c r="M118" i="6"/>
  <c r="M117" i="6"/>
  <c r="M116" i="6"/>
  <c r="M115" i="6"/>
  <c r="M114" i="6"/>
  <c r="N114" i="6" s="1"/>
  <c r="M113" i="6"/>
  <c r="M112" i="6"/>
  <c r="D112" i="6"/>
  <c r="M111" i="6"/>
  <c r="M110" i="6"/>
  <c r="M109" i="6"/>
  <c r="M108" i="6"/>
  <c r="M107" i="6"/>
  <c r="M106" i="6"/>
  <c r="M105" i="6"/>
  <c r="M104" i="6"/>
  <c r="M103" i="6"/>
  <c r="M102" i="6"/>
  <c r="M101" i="6"/>
  <c r="M100" i="6"/>
  <c r="M99" i="6"/>
  <c r="M98" i="6"/>
  <c r="M97" i="6"/>
  <c r="M96" i="6"/>
  <c r="M95" i="6"/>
  <c r="M94" i="6"/>
  <c r="M93" i="6"/>
  <c r="M91" i="6"/>
  <c r="N91" i="6" s="1"/>
  <c r="F34" i="17" s="1"/>
  <c r="Q34" i="17" s="1"/>
  <c r="M90" i="6"/>
  <c r="M89" i="6"/>
  <c r="D89" i="6"/>
  <c r="M88" i="6"/>
  <c r="M87" i="6"/>
  <c r="M86" i="6"/>
  <c r="M85" i="6"/>
  <c r="M84" i="6"/>
  <c r="M83" i="6"/>
  <c r="M82" i="6"/>
  <c r="M81" i="6"/>
  <c r="M80" i="6"/>
  <c r="M79" i="6"/>
  <c r="M78" i="6"/>
  <c r="M77" i="6"/>
  <c r="M76" i="6"/>
  <c r="M75" i="6"/>
  <c r="K75" i="6"/>
  <c r="J75" i="6"/>
  <c r="I75" i="6"/>
  <c r="H75" i="6"/>
  <c r="G75" i="6"/>
  <c r="M74" i="6"/>
  <c r="M73" i="6"/>
  <c r="M72" i="6"/>
  <c r="M71" i="6"/>
  <c r="M70" i="6"/>
  <c r="M69" i="6"/>
  <c r="M68" i="6"/>
  <c r="K68" i="6"/>
  <c r="J68" i="6"/>
  <c r="I68" i="6"/>
  <c r="H68" i="6"/>
  <c r="G68" i="6"/>
  <c r="M67" i="6"/>
  <c r="M66" i="6"/>
  <c r="M65" i="6"/>
  <c r="M64" i="6"/>
  <c r="M63" i="6"/>
  <c r="M62" i="6"/>
  <c r="M61" i="6"/>
  <c r="N61" i="6" s="1"/>
  <c r="M60" i="6"/>
  <c r="N60" i="6" s="1"/>
  <c r="F42" i="17" s="1"/>
  <c r="Q42" i="17" s="1"/>
  <c r="M59" i="6"/>
  <c r="M58" i="6"/>
  <c r="M57" i="6"/>
  <c r="M56" i="6"/>
  <c r="M55" i="6"/>
  <c r="M54" i="6"/>
  <c r="N54" i="6" s="1"/>
  <c r="F64" i="17" s="1"/>
  <c r="Q64" i="17" s="1"/>
  <c r="M53" i="6"/>
  <c r="N53" i="6" s="1"/>
  <c r="F56" i="17" s="1"/>
  <c r="M52" i="6"/>
  <c r="M51" i="6"/>
  <c r="M50" i="6"/>
  <c r="M49" i="6"/>
  <c r="N49" i="6" s="1"/>
  <c r="M48" i="6"/>
  <c r="M47" i="6"/>
  <c r="M46" i="6"/>
  <c r="M45" i="6"/>
  <c r="M44" i="6"/>
  <c r="M43" i="6"/>
  <c r="M42" i="6"/>
  <c r="M41" i="6"/>
  <c r="M40" i="6"/>
  <c r="M39" i="6"/>
  <c r="M38" i="6"/>
  <c r="M37" i="6"/>
  <c r="N37" i="6" s="1"/>
  <c r="F54" i="17" s="1"/>
  <c r="M36" i="6"/>
  <c r="M35" i="6"/>
  <c r="M34" i="6"/>
  <c r="M33" i="6"/>
  <c r="M32" i="6"/>
  <c r="M31" i="6"/>
  <c r="N31" i="6" s="1"/>
  <c r="M30" i="6"/>
  <c r="N30" i="6" s="1"/>
  <c r="M29" i="6"/>
  <c r="M28" i="6"/>
  <c r="M27" i="6"/>
  <c r="M26" i="6"/>
  <c r="M25" i="6"/>
  <c r="M24" i="6"/>
  <c r="M23" i="6"/>
  <c r="M22" i="6"/>
  <c r="M21" i="6"/>
  <c r="M20" i="6"/>
  <c r="M19" i="6"/>
  <c r="M18" i="6"/>
  <c r="M17" i="6"/>
  <c r="M16" i="6"/>
  <c r="M15" i="6"/>
  <c r="M14" i="6"/>
  <c r="M13" i="6"/>
  <c r="M12" i="6"/>
  <c r="M11" i="6"/>
  <c r="M10" i="6"/>
  <c r="M9" i="6"/>
  <c r="M8" i="6"/>
  <c r="M7" i="6"/>
  <c r="M6" i="6"/>
  <c r="M5" i="6"/>
  <c r="M4" i="6"/>
  <c r="P2" i="6"/>
  <c r="K251" i="5"/>
  <c r="K250" i="5"/>
  <c r="K249" i="5"/>
  <c r="K248" i="5"/>
  <c r="K247" i="5"/>
  <c r="K246" i="5"/>
  <c r="K245" i="5"/>
  <c r="K244" i="5"/>
  <c r="K243" i="5"/>
  <c r="K242" i="5"/>
  <c r="K241" i="5"/>
  <c r="K240" i="5"/>
  <c r="K239" i="5"/>
  <c r="K238" i="5"/>
  <c r="K237" i="5"/>
  <c r="K236" i="5"/>
  <c r="K235" i="5"/>
  <c r="K234" i="5"/>
  <c r="K233" i="5"/>
  <c r="K232" i="5"/>
  <c r="K231" i="5"/>
  <c r="K230" i="5"/>
  <c r="K229" i="5"/>
  <c r="K228" i="5"/>
  <c r="K227" i="5"/>
  <c r="K226" i="5"/>
  <c r="K225" i="5"/>
  <c r="K224" i="5"/>
  <c r="K223" i="5"/>
  <c r="K222" i="5"/>
  <c r="K221" i="5"/>
  <c r="K220" i="5"/>
  <c r="K219" i="5"/>
  <c r="AQ218" i="5"/>
  <c r="K218" i="5"/>
  <c r="AQ217" i="5"/>
  <c r="K217" i="5"/>
  <c r="AQ216" i="5"/>
  <c r="K216" i="5"/>
  <c r="AQ215" i="5"/>
  <c r="K215" i="5"/>
  <c r="AQ214" i="5"/>
  <c r="K214" i="5"/>
  <c r="AQ213" i="5"/>
  <c r="K213" i="5"/>
  <c r="AQ212" i="5"/>
  <c r="K212" i="5"/>
  <c r="AQ211" i="5"/>
  <c r="K211" i="5"/>
  <c r="AQ210" i="5"/>
  <c r="K210" i="5"/>
  <c r="AQ209" i="5"/>
  <c r="K209" i="5"/>
  <c r="AQ208" i="5"/>
  <c r="K208" i="5"/>
  <c r="AQ207" i="5"/>
  <c r="K207" i="5"/>
  <c r="AQ206" i="5"/>
  <c r="K206" i="5"/>
  <c r="AQ205" i="5"/>
  <c r="K205" i="5"/>
  <c r="AQ204" i="5"/>
  <c r="K204" i="5"/>
  <c r="AQ203" i="5"/>
  <c r="K203" i="5"/>
  <c r="AQ202" i="5"/>
  <c r="K202" i="5"/>
  <c r="AQ201" i="5"/>
  <c r="K201" i="5"/>
  <c r="AQ200" i="5"/>
  <c r="K200" i="5"/>
  <c r="AQ199" i="5"/>
  <c r="K199" i="5"/>
  <c r="AQ198" i="5"/>
  <c r="K198" i="5"/>
  <c r="AQ197" i="5"/>
  <c r="K197" i="5"/>
  <c r="AQ196" i="5"/>
  <c r="K196" i="5"/>
  <c r="AQ195" i="5"/>
  <c r="K195" i="5"/>
  <c r="AQ194" i="5"/>
  <c r="K194" i="5"/>
  <c r="AQ193" i="5"/>
  <c r="K193" i="5"/>
  <c r="AQ192" i="5"/>
  <c r="K192" i="5"/>
  <c r="AQ191" i="5"/>
  <c r="K191" i="5"/>
  <c r="AQ190" i="5"/>
  <c r="K190" i="5"/>
  <c r="AQ189" i="5"/>
  <c r="K189" i="5"/>
  <c r="AQ188" i="5"/>
  <c r="K188" i="5"/>
  <c r="AQ187" i="5"/>
  <c r="K187" i="5"/>
  <c r="AQ186" i="5"/>
  <c r="K186" i="5"/>
  <c r="AQ185" i="5"/>
  <c r="K185" i="5"/>
  <c r="AQ184" i="5"/>
  <c r="K184" i="5"/>
  <c r="AQ183" i="5"/>
  <c r="K183" i="5"/>
  <c r="AQ182" i="5"/>
  <c r="K182" i="5"/>
  <c r="AQ181" i="5"/>
  <c r="K181" i="5"/>
  <c r="AQ180" i="5"/>
  <c r="K180" i="5"/>
  <c r="AQ179" i="5"/>
  <c r="K179" i="5"/>
  <c r="AQ178" i="5"/>
  <c r="K178" i="5"/>
  <c r="AQ177" i="5"/>
  <c r="K177" i="5"/>
  <c r="AQ176" i="5"/>
  <c r="K176" i="5"/>
  <c r="AQ175" i="5"/>
  <c r="K175" i="5"/>
  <c r="AQ174" i="5"/>
  <c r="K174" i="5"/>
  <c r="AQ173" i="5"/>
  <c r="K173" i="5"/>
  <c r="AQ172" i="5"/>
  <c r="K172" i="5"/>
  <c r="AQ171" i="5"/>
  <c r="K171" i="5"/>
  <c r="AQ170" i="5"/>
  <c r="K170" i="5"/>
  <c r="AQ169" i="5"/>
  <c r="K169" i="5"/>
  <c r="AQ168" i="5"/>
  <c r="K168" i="5"/>
  <c r="AQ167" i="5"/>
  <c r="K167" i="5"/>
  <c r="AQ166" i="5"/>
  <c r="K166" i="5"/>
  <c r="AQ165" i="5"/>
  <c r="K165" i="5"/>
  <c r="AQ164" i="5"/>
  <c r="K164" i="5"/>
  <c r="AQ163" i="5"/>
  <c r="K163" i="5"/>
  <c r="AQ162" i="5"/>
  <c r="K162" i="5"/>
  <c r="AQ161" i="5"/>
  <c r="K161" i="5"/>
  <c r="AQ160" i="5"/>
  <c r="K160" i="5"/>
  <c r="AQ159" i="5"/>
  <c r="K159" i="5"/>
  <c r="AQ158" i="5"/>
  <c r="K158" i="5"/>
  <c r="AQ157" i="5"/>
  <c r="K157" i="5"/>
  <c r="AQ156" i="5"/>
  <c r="K156" i="5"/>
  <c r="AQ155" i="5"/>
  <c r="K155" i="5"/>
  <c r="AQ154" i="5"/>
  <c r="K154" i="5"/>
  <c r="AQ153" i="5"/>
  <c r="K153" i="5"/>
  <c r="AQ152" i="5"/>
  <c r="K152" i="5"/>
  <c r="AQ151" i="5"/>
  <c r="K151" i="5"/>
  <c r="AQ150" i="5"/>
  <c r="K150" i="5"/>
  <c r="AQ149" i="5"/>
  <c r="K149" i="5"/>
  <c r="AQ148" i="5"/>
  <c r="K148" i="5"/>
  <c r="AQ147" i="5"/>
  <c r="K147" i="5"/>
  <c r="AQ146" i="5"/>
  <c r="K146" i="5"/>
  <c r="AQ145" i="5"/>
  <c r="K145" i="5"/>
  <c r="AQ144" i="5"/>
  <c r="K144" i="5"/>
  <c r="AQ143" i="5"/>
  <c r="K143" i="5"/>
  <c r="AQ142" i="5"/>
  <c r="K142" i="5"/>
  <c r="AQ141" i="5"/>
  <c r="K141" i="5"/>
  <c r="AQ140" i="5"/>
  <c r="K140" i="5"/>
  <c r="AQ139" i="5"/>
  <c r="K139" i="5"/>
  <c r="AQ138" i="5"/>
  <c r="K138" i="5"/>
  <c r="AQ137" i="5"/>
  <c r="K137" i="5"/>
  <c r="AQ136" i="5"/>
  <c r="K136" i="5"/>
  <c r="AQ135" i="5"/>
  <c r="K135" i="5"/>
  <c r="AQ134" i="5"/>
  <c r="K134" i="5"/>
  <c r="AQ133" i="5"/>
  <c r="K133" i="5"/>
  <c r="AQ132" i="5"/>
  <c r="K132" i="5"/>
  <c r="AQ131" i="5"/>
  <c r="K131" i="5"/>
  <c r="AQ130" i="5"/>
  <c r="K130" i="5"/>
  <c r="AQ129" i="5"/>
  <c r="K129" i="5"/>
  <c r="AQ128" i="5"/>
  <c r="K128" i="5"/>
  <c r="AQ127" i="5"/>
  <c r="K127" i="5"/>
  <c r="AQ126" i="5"/>
  <c r="K126" i="5"/>
  <c r="AQ125" i="5"/>
  <c r="K125" i="5"/>
  <c r="AQ124" i="5"/>
  <c r="K124" i="5"/>
  <c r="AQ123" i="5"/>
  <c r="K123" i="5"/>
  <c r="AQ122" i="5"/>
  <c r="K122" i="5"/>
  <c r="AQ121" i="5"/>
  <c r="K121" i="5"/>
  <c r="AQ120" i="5"/>
  <c r="K120" i="5"/>
  <c r="AQ119" i="5"/>
  <c r="K119" i="5"/>
  <c r="AQ118" i="5"/>
  <c r="K118" i="5"/>
  <c r="AQ117" i="5"/>
  <c r="K117" i="5"/>
  <c r="AQ116" i="5"/>
  <c r="K116" i="5"/>
  <c r="AQ115" i="5"/>
  <c r="K115" i="5"/>
  <c r="AQ114" i="5"/>
  <c r="K114" i="5"/>
  <c r="AQ113" i="5"/>
  <c r="K113" i="5"/>
  <c r="AQ112" i="5"/>
  <c r="K112" i="5"/>
  <c r="AQ111" i="5"/>
  <c r="K111" i="5"/>
  <c r="AQ110" i="5"/>
  <c r="K110" i="5"/>
  <c r="AQ109" i="5"/>
  <c r="K109" i="5"/>
  <c r="AQ108" i="5"/>
  <c r="K108" i="5"/>
  <c r="AQ107" i="5"/>
  <c r="K107" i="5"/>
  <c r="AQ106" i="5"/>
  <c r="K106" i="5"/>
  <c r="AQ105" i="5"/>
  <c r="K105" i="5"/>
  <c r="AQ104" i="5"/>
  <c r="K104" i="5"/>
  <c r="AQ103" i="5"/>
  <c r="K103" i="5"/>
  <c r="AQ102" i="5"/>
  <c r="K102" i="5"/>
  <c r="AQ101" i="5"/>
  <c r="K101" i="5"/>
  <c r="AQ100" i="5"/>
  <c r="K100" i="5"/>
  <c r="AQ99" i="5"/>
  <c r="K99" i="5"/>
  <c r="AQ98" i="5"/>
  <c r="K98" i="5"/>
  <c r="AQ97" i="5"/>
  <c r="K97" i="5"/>
  <c r="AQ96" i="5"/>
  <c r="K96" i="5"/>
  <c r="AQ95" i="5"/>
  <c r="K95" i="5"/>
  <c r="AQ94" i="5"/>
  <c r="K94" i="5"/>
  <c r="AQ93" i="5"/>
  <c r="K93" i="5"/>
  <c r="AQ92" i="5"/>
  <c r="K92" i="5"/>
  <c r="AQ91" i="5"/>
  <c r="K91" i="5"/>
  <c r="AQ90" i="5"/>
  <c r="K90" i="5"/>
  <c r="AQ89" i="5"/>
  <c r="K89" i="5"/>
  <c r="AQ88" i="5"/>
  <c r="K88" i="5"/>
  <c r="AQ87" i="5"/>
  <c r="K87" i="5"/>
  <c r="AQ86" i="5"/>
  <c r="K86" i="5"/>
  <c r="AQ85" i="5"/>
  <c r="K85" i="5"/>
  <c r="AQ84" i="5"/>
  <c r="K84" i="5"/>
  <c r="AQ83" i="5"/>
  <c r="K83" i="5"/>
  <c r="AQ82" i="5"/>
  <c r="K82" i="5"/>
  <c r="AQ81" i="5"/>
  <c r="K81" i="5"/>
  <c r="AQ80" i="5"/>
  <c r="K80" i="5"/>
  <c r="AQ79" i="5"/>
  <c r="K79" i="5"/>
  <c r="AQ78" i="5"/>
  <c r="K78" i="5"/>
  <c r="AQ77" i="5"/>
  <c r="K77" i="5"/>
  <c r="AQ76" i="5"/>
  <c r="K76" i="5"/>
  <c r="AQ75" i="5"/>
  <c r="K75" i="5"/>
  <c r="AQ74" i="5"/>
  <c r="K74" i="5"/>
  <c r="AQ73" i="5"/>
  <c r="K73" i="5"/>
  <c r="AQ72" i="5"/>
  <c r="K72" i="5"/>
  <c r="AQ71" i="5"/>
  <c r="K71" i="5"/>
  <c r="AQ70" i="5"/>
  <c r="K70" i="5"/>
  <c r="AQ69" i="5"/>
  <c r="K69" i="5"/>
  <c r="AQ68" i="5"/>
  <c r="K68" i="5"/>
  <c r="AQ67" i="5"/>
  <c r="K67" i="5"/>
  <c r="AQ66" i="5"/>
  <c r="K66" i="5"/>
  <c r="AQ65" i="5"/>
  <c r="K65" i="5"/>
  <c r="AQ64" i="5"/>
  <c r="K64" i="5"/>
  <c r="AQ63" i="5"/>
  <c r="K63" i="5"/>
  <c r="AQ62" i="5"/>
  <c r="K62" i="5"/>
  <c r="AQ61" i="5"/>
  <c r="K61" i="5"/>
  <c r="AQ60" i="5"/>
  <c r="K60" i="5"/>
  <c r="AQ59" i="5"/>
  <c r="K59" i="5"/>
  <c r="AQ58" i="5"/>
  <c r="K58" i="5"/>
  <c r="AQ57" i="5"/>
  <c r="K57" i="5"/>
  <c r="AQ56" i="5"/>
  <c r="K56" i="5"/>
  <c r="AQ55" i="5"/>
  <c r="K55" i="5"/>
  <c r="AQ54" i="5"/>
  <c r="K54" i="5"/>
  <c r="AQ53" i="5"/>
  <c r="K53" i="5"/>
  <c r="AQ52" i="5"/>
  <c r="K52" i="5"/>
  <c r="AQ51" i="5"/>
  <c r="K51" i="5"/>
  <c r="AQ50" i="5"/>
  <c r="K50" i="5"/>
  <c r="AQ49" i="5"/>
  <c r="K49" i="5"/>
  <c r="AQ48" i="5"/>
  <c r="K48" i="5"/>
  <c r="AQ47" i="5"/>
  <c r="K47" i="5"/>
  <c r="AQ46" i="5"/>
  <c r="K46" i="5"/>
  <c r="AQ45" i="5"/>
  <c r="K45" i="5"/>
  <c r="AQ44" i="5"/>
  <c r="K44" i="5"/>
  <c r="AQ43" i="5"/>
  <c r="K43" i="5"/>
  <c r="AQ42" i="5"/>
  <c r="K42" i="5"/>
  <c r="AQ41" i="5"/>
  <c r="K41" i="5"/>
  <c r="AQ40" i="5"/>
  <c r="K40" i="5"/>
  <c r="AQ39" i="5"/>
  <c r="K39" i="5"/>
  <c r="AQ38" i="5"/>
  <c r="K38" i="5"/>
  <c r="AQ37" i="5"/>
  <c r="K37" i="5"/>
  <c r="AQ36" i="5"/>
  <c r="K36" i="5"/>
  <c r="AQ35" i="5"/>
  <c r="K35" i="5"/>
  <c r="AQ34" i="5"/>
  <c r="K34" i="5"/>
  <c r="AQ33" i="5"/>
  <c r="K33" i="5"/>
  <c r="AQ32" i="5"/>
  <c r="K32" i="5"/>
  <c r="AQ31" i="5"/>
  <c r="K31" i="5"/>
  <c r="AQ30" i="5"/>
  <c r="K30" i="5"/>
  <c r="AQ29" i="5"/>
  <c r="K29" i="5"/>
  <c r="AQ28" i="5"/>
  <c r="K28" i="5"/>
  <c r="AQ27" i="5"/>
  <c r="K27" i="5"/>
  <c r="AQ26" i="5"/>
  <c r="K26" i="5"/>
  <c r="AQ25" i="5"/>
  <c r="K25" i="5"/>
  <c r="AQ24" i="5"/>
  <c r="K24" i="5"/>
  <c r="AQ23" i="5"/>
  <c r="K23" i="5"/>
  <c r="AQ22" i="5"/>
  <c r="K22" i="5"/>
  <c r="AQ21" i="5"/>
  <c r="K21" i="5"/>
  <c r="AQ20" i="5"/>
  <c r="K20" i="5"/>
  <c r="AQ19" i="5"/>
  <c r="K19" i="5"/>
  <c r="AQ18" i="5"/>
  <c r="K18" i="5"/>
  <c r="AQ17" i="5"/>
  <c r="K17" i="5"/>
  <c r="AQ16" i="5"/>
  <c r="K16" i="5"/>
  <c r="AQ15" i="5"/>
  <c r="K15" i="5"/>
  <c r="AQ14" i="5"/>
  <c r="K14" i="5"/>
  <c r="AQ13" i="5"/>
  <c r="K13" i="5"/>
  <c r="AQ12" i="5"/>
  <c r="K12" i="5"/>
  <c r="AQ11" i="5"/>
  <c r="K11" i="5"/>
  <c r="AQ10" i="5"/>
  <c r="K10" i="5"/>
  <c r="AQ9" i="5"/>
  <c r="K9" i="5"/>
  <c r="AQ8" i="5"/>
  <c r="K8" i="5"/>
  <c r="AQ7" i="5"/>
  <c r="K7" i="5"/>
  <c r="AQ6" i="5"/>
  <c r="K6" i="5"/>
  <c r="AQ5" i="5"/>
  <c r="K5" i="5"/>
  <c r="AQ4" i="5"/>
  <c r="K4" i="5"/>
  <c r="AQ3" i="5"/>
  <c r="K3" i="5"/>
  <c r="AQ2" i="5"/>
  <c r="I1" i="5"/>
  <c r="F48" i="4"/>
  <c r="J39" i="4"/>
  <c r="F40" i="4" s="1"/>
  <c r="J33" i="4"/>
  <c r="K32" i="4"/>
  <c r="F32" i="4"/>
  <c r="D32" i="4"/>
  <c r="K31" i="4"/>
  <c r="F31" i="4"/>
  <c r="D31" i="4"/>
  <c r="K30" i="4"/>
  <c r="I30" i="4"/>
  <c r="F30" i="4"/>
  <c r="D30" i="4"/>
  <c r="L26" i="4"/>
  <c r="K26" i="4"/>
  <c r="F26" i="4"/>
  <c r="D26" i="4"/>
  <c r="I25" i="4"/>
  <c r="F25" i="4"/>
  <c r="D25" i="4"/>
  <c r="J24" i="4"/>
  <c r="H24" i="4"/>
  <c r="F23" i="4"/>
  <c r="H23" i="4" s="1"/>
  <c r="D23" i="4"/>
  <c r="J22" i="4"/>
  <c r="F22" i="4"/>
  <c r="D22" i="4"/>
  <c r="H22" i="4" s="1"/>
  <c r="F21" i="4"/>
  <c r="D21" i="4"/>
  <c r="I20" i="4"/>
  <c r="D20" i="4"/>
  <c r="H19" i="4"/>
  <c r="I18" i="4"/>
  <c r="D18" i="4"/>
  <c r="L14" i="4"/>
  <c r="H13" i="4"/>
  <c r="J13" i="4" s="1"/>
  <c r="O20" i="1" s="1"/>
  <c r="J12" i="4"/>
  <c r="O19" i="1" s="1"/>
  <c r="H12" i="4"/>
  <c r="H11" i="4"/>
  <c r="J11" i="4" s="1"/>
  <c r="H10" i="4"/>
  <c r="J10" i="4" s="1"/>
  <c r="G10" i="4"/>
  <c r="G19" i="4" s="1"/>
  <c r="E10" i="4"/>
  <c r="E19" i="4" s="1"/>
  <c r="H9" i="4"/>
  <c r="J9" i="4" s="1"/>
  <c r="O14" i="1" s="1"/>
  <c r="G9" i="4"/>
  <c r="E9" i="4"/>
  <c r="H8" i="4"/>
  <c r="J8" i="4" s="1"/>
  <c r="O16" i="1" s="1"/>
  <c r="G8" i="4"/>
  <c r="G22" i="4" s="1"/>
  <c r="E8" i="4"/>
  <c r="E22" i="4" s="1"/>
  <c r="K123" i="3"/>
  <c r="J123" i="3"/>
  <c r="I123" i="3"/>
  <c r="H122" i="3"/>
  <c r="I122" i="3" s="1"/>
  <c r="J120" i="3" s="1"/>
  <c r="K121" i="3"/>
  <c r="J121" i="3"/>
  <c r="H121" i="3"/>
  <c r="I121" i="3" s="1"/>
  <c r="J119" i="3" s="1"/>
  <c r="K124" i="3" s="1"/>
  <c r="I120" i="3"/>
  <c r="H120" i="3"/>
  <c r="M118" i="3"/>
  <c r="J118" i="3"/>
  <c r="L108" i="3"/>
  <c r="H99" i="3"/>
  <c r="K98" i="3"/>
  <c r="J26" i="4"/>
  <c r="W96" i="3"/>
  <c r="V96" i="3"/>
  <c r="S96" i="3"/>
  <c r="R96" i="3"/>
  <c r="J25" i="4"/>
  <c r="W95" i="3"/>
  <c r="V95" i="3"/>
  <c r="S95" i="3"/>
  <c r="R95" i="3"/>
  <c r="W94" i="3"/>
  <c r="V94" i="3"/>
  <c r="S94" i="3"/>
  <c r="R94" i="3"/>
  <c r="W93" i="3"/>
  <c r="V93" i="3"/>
  <c r="U93" i="3" s="1"/>
  <c r="D72" i="17"/>
  <c r="E72" i="17" s="1"/>
  <c r="W92" i="3"/>
  <c r="V92" i="3"/>
  <c r="S92" i="3"/>
  <c r="R92" i="3"/>
  <c r="D70" i="17"/>
  <c r="E70" i="17" s="1"/>
  <c r="W91" i="3"/>
  <c r="V91" i="3"/>
  <c r="U91" i="3"/>
  <c r="S91" i="3"/>
  <c r="R91" i="3"/>
  <c r="D68" i="17"/>
  <c r="E68" i="17" s="1"/>
  <c r="W90" i="3"/>
  <c r="V90" i="3"/>
  <c r="S90" i="3"/>
  <c r="R90" i="3"/>
  <c r="D66" i="17"/>
  <c r="E66" i="17" s="1"/>
  <c r="W89" i="3"/>
  <c r="V89" i="3"/>
  <c r="S89" i="3"/>
  <c r="R89" i="3"/>
  <c r="D64" i="17"/>
  <c r="E64" i="17" s="1"/>
  <c r="W88" i="3"/>
  <c r="V88" i="3"/>
  <c r="S88" i="3"/>
  <c r="R88" i="3"/>
  <c r="D62" i="17"/>
  <c r="E62" i="17" s="1"/>
  <c r="W87" i="3"/>
  <c r="V87" i="3"/>
  <c r="S87" i="3"/>
  <c r="R87" i="3"/>
  <c r="D60" i="17"/>
  <c r="E60" i="17" s="1"/>
  <c r="W86" i="3"/>
  <c r="V86" i="3"/>
  <c r="S86" i="3"/>
  <c r="R86" i="3"/>
  <c r="Z85" i="3"/>
  <c r="H84" i="3"/>
  <c r="D28" i="1" s="1"/>
  <c r="P83" i="3"/>
  <c r="H83" i="3"/>
  <c r="D27" i="1" s="1"/>
  <c r="H82" i="3"/>
  <c r="D26" i="1" s="1"/>
  <c r="H81" i="3"/>
  <c r="D25" i="1" s="1"/>
  <c r="H80" i="3"/>
  <c r="O76" i="3"/>
  <c r="H63" i="3"/>
  <c r="J23" i="4" s="1"/>
  <c r="K62" i="3"/>
  <c r="H61" i="3"/>
  <c r="D58" i="17" s="1"/>
  <c r="E58" i="17" s="1"/>
  <c r="H60" i="3"/>
  <c r="D56" i="17" s="1"/>
  <c r="E56" i="17" s="1"/>
  <c r="H59" i="3"/>
  <c r="D54" i="17" s="1"/>
  <c r="E54" i="17" s="1"/>
  <c r="H58" i="3"/>
  <c r="D50" i="17" s="1"/>
  <c r="E50" i="17" s="1"/>
  <c r="H57" i="3"/>
  <c r="D48" i="17" s="1"/>
  <c r="E48" i="17" s="1"/>
  <c r="H56" i="3"/>
  <c r="D46" i="17" s="1"/>
  <c r="E46" i="17" s="1"/>
  <c r="V55" i="3"/>
  <c r="H55" i="3"/>
  <c r="D44" i="17" s="1"/>
  <c r="E44" i="17" s="1"/>
  <c r="W54" i="3"/>
  <c r="V54" i="3"/>
  <c r="T54" i="3"/>
  <c r="S54" i="3"/>
  <c r="R54" i="3"/>
  <c r="H54" i="3"/>
  <c r="D42" i="17" s="1"/>
  <c r="E42" i="17" s="1"/>
  <c r="V53" i="3"/>
  <c r="S53" i="3"/>
  <c r="R53" i="3"/>
  <c r="H53" i="3"/>
  <c r="D40" i="17" s="1"/>
  <c r="E40" i="17" s="1"/>
  <c r="S52" i="3"/>
  <c r="R52" i="3"/>
  <c r="S51" i="3"/>
  <c r="R51" i="3"/>
  <c r="S50" i="3"/>
  <c r="R50" i="3"/>
  <c r="H50" i="3"/>
  <c r="W49" i="3"/>
  <c r="V49" i="3"/>
  <c r="S49" i="3"/>
  <c r="R49" i="3"/>
  <c r="H49" i="3"/>
  <c r="D20" i="1" s="1"/>
  <c r="S48" i="3"/>
  <c r="R48" i="3"/>
  <c r="H48" i="3"/>
  <c r="D19" i="1" s="1"/>
  <c r="U47" i="3"/>
  <c r="Z50" i="3" s="1"/>
  <c r="S47" i="3"/>
  <c r="R47" i="3"/>
  <c r="H47" i="3"/>
  <c r="D17" i="1" s="1"/>
  <c r="H46" i="3"/>
  <c r="S45" i="3"/>
  <c r="R45" i="3"/>
  <c r="H45" i="3"/>
  <c r="D16" i="1" s="1"/>
  <c r="S44" i="3"/>
  <c r="R44" i="3"/>
  <c r="H44" i="3"/>
  <c r="W36" i="3"/>
  <c r="V36" i="3"/>
  <c r="R36" i="3"/>
  <c r="W35" i="3"/>
  <c r="V35" i="3"/>
  <c r="S35" i="3"/>
  <c r="R35" i="3"/>
  <c r="W32" i="3"/>
  <c r="V32" i="3"/>
  <c r="R32" i="3"/>
  <c r="W31" i="3"/>
  <c r="V31" i="3"/>
  <c r="S31" i="3"/>
  <c r="R31" i="3"/>
  <c r="S36" i="3"/>
  <c r="W29" i="3"/>
  <c r="V29" i="3"/>
  <c r="T29" i="3"/>
  <c r="R29" i="3"/>
  <c r="H29" i="3"/>
  <c r="D24" i="17" s="1"/>
  <c r="E24" i="17" s="1"/>
  <c r="H28" i="3"/>
  <c r="D22" i="17" s="1"/>
  <c r="E22" i="17" s="1"/>
  <c r="W27" i="3"/>
  <c r="V27" i="3"/>
  <c r="T27" i="3"/>
  <c r="R27" i="3"/>
  <c r="F18" i="4"/>
  <c r="H18" i="4" s="1"/>
  <c r="W26" i="3"/>
  <c r="V26" i="3"/>
  <c r="T26" i="3"/>
  <c r="R26" i="3"/>
  <c r="S29" i="3"/>
  <c r="S27" i="3"/>
  <c r="W24" i="3"/>
  <c r="V24" i="3"/>
  <c r="T24" i="3"/>
  <c r="R24" i="3"/>
  <c r="K24" i="3"/>
  <c r="H24" i="3"/>
  <c r="F12" i="1" s="1"/>
  <c r="H23" i="3"/>
  <c r="W22" i="3"/>
  <c r="V22" i="3"/>
  <c r="S22" i="3"/>
  <c r="R22" i="3"/>
  <c r="S24" i="3"/>
  <c r="W21" i="3"/>
  <c r="V21" i="3"/>
  <c r="R21" i="3"/>
  <c r="H21" i="3"/>
  <c r="D30" i="17" s="1"/>
  <c r="E30" i="17" s="1"/>
  <c r="W20" i="3"/>
  <c r="V20" i="3"/>
  <c r="R20" i="3"/>
  <c r="S21" i="3"/>
  <c r="W19" i="3"/>
  <c r="V19" i="3"/>
  <c r="R19" i="3"/>
  <c r="S20" i="3"/>
  <c r="W18" i="3"/>
  <c r="V18" i="3"/>
  <c r="R18" i="3"/>
  <c r="S19" i="3"/>
  <c r="H17" i="3"/>
  <c r="D18" i="17" s="1"/>
  <c r="E18" i="17" s="1"/>
  <c r="V16" i="3"/>
  <c r="R16" i="3"/>
  <c r="H16" i="3"/>
  <c r="W15" i="3"/>
  <c r="V15" i="3"/>
  <c r="R15" i="3"/>
  <c r="H15" i="3"/>
  <c r="H13" i="3"/>
  <c r="H12" i="3"/>
  <c r="H10" i="3"/>
  <c r="D10" i="1" s="1"/>
  <c r="H9" i="3"/>
  <c r="H8" i="3"/>
  <c r="D9" i="1" s="1"/>
  <c r="H7" i="3"/>
  <c r="H6" i="3"/>
  <c r="D8" i="1" s="1"/>
  <c r="H5" i="3"/>
  <c r="H2" i="3"/>
  <c r="H76" i="3" s="1"/>
  <c r="F46" i="2"/>
  <c r="E46" i="2"/>
  <c r="D46" i="2"/>
  <c r="C46" i="2"/>
  <c r="G45" i="2"/>
  <c r="G43" i="2"/>
  <c r="G42" i="2"/>
  <c r="G40" i="2"/>
  <c r="G39" i="2"/>
  <c r="G46" i="2" s="1"/>
  <c r="G37" i="2"/>
  <c r="G31" i="2"/>
  <c r="G28" i="2"/>
  <c r="F28" i="2"/>
  <c r="E28" i="2"/>
  <c r="D28" i="2"/>
  <c r="C28" i="2"/>
  <c r="F27" i="2"/>
  <c r="F29" i="2" s="1"/>
  <c r="F47" i="2" s="1"/>
  <c r="E27" i="2"/>
  <c r="D27" i="2"/>
  <c r="D29" i="2" s="1"/>
  <c r="D47" i="2" s="1"/>
  <c r="C27" i="2"/>
  <c r="G23" i="2"/>
  <c r="D21" i="2"/>
  <c r="D25" i="2" s="1"/>
  <c r="C21" i="2"/>
  <c r="F18" i="2"/>
  <c r="E18" i="2"/>
  <c r="G17" i="2"/>
  <c r="G16" i="2"/>
  <c r="G15" i="2"/>
  <c r="G11" i="2"/>
  <c r="G10" i="2"/>
  <c r="G9" i="2"/>
  <c r="E2" i="2"/>
  <c r="F58" i="1"/>
  <c r="G56" i="1"/>
  <c r="G58" i="1" s="1"/>
  <c r="F56" i="1"/>
  <c r="D56" i="1"/>
  <c r="C56" i="1"/>
  <c r="E56" i="1" s="1"/>
  <c r="B47" i="1"/>
  <c r="B49" i="1" s="1"/>
  <c r="O35" i="1"/>
  <c r="N35" i="1"/>
  <c r="M35" i="1"/>
  <c r="L35" i="1"/>
  <c r="K35" i="1"/>
  <c r="J35" i="1"/>
  <c r="I35" i="1"/>
  <c r="H35" i="1"/>
  <c r="A33" i="1"/>
  <c r="S31" i="1"/>
  <c r="Q31" i="1"/>
  <c r="F27" i="1"/>
  <c r="H23" i="1"/>
  <c r="D18" i="1"/>
  <c r="F17" i="1"/>
  <c r="F16" i="1"/>
  <c r="L39" i="7" l="1"/>
  <c r="N92" i="6"/>
  <c r="F36" i="17" s="1"/>
  <c r="F170" i="12"/>
  <c r="J694" i="10"/>
  <c r="M694" i="10" s="1"/>
  <c r="M692" i="10"/>
  <c r="K694" i="10"/>
  <c r="H31" i="4"/>
  <c r="I48" i="12"/>
  <c r="G11" i="4"/>
  <c r="G12" i="4" s="1"/>
  <c r="G13" i="4" s="1"/>
  <c r="U87" i="3"/>
  <c r="H26" i="4"/>
  <c r="H85" i="3"/>
  <c r="U86" i="3"/>
  <c r="H51" i="3"/>
  <c r="D11" i="1"/>
  <c r="U22" i="3"/>
  <c r="H180" i="10"/>
  <c r="S55" i="11" s="1"/>
  <c r="F47" i="12"/>
  <c r="J31" i="4"/>
  <c r="L139" i="11"/>
  <c r="F226" i="12"/>
  <c r="J226" i="12" s="1"/>
  <c r="F135" i="12"/>
  <c r="I135" i="12" s="1"/>
  <c r="H581" i="10"/>
  <c r="H335" i="10"/>
  <c r="H486" i="10"/>
  <c r="J164" i="11" s="1"/>
  <c r="H386" i="10"/>
  <c r="J386" i="10" s="1"/>
  <c r="F236" i="12" s="1"/>
  <c r="F145" i="10"/>
  <c r="AB201" i="11"/>
  <c r="O597" i="10"/>
  <c r="F189" i="12"/>
  <c r="J189" i="12" s="1"/>
  <c r="H445" i="10"/>
  <c r="J445" i="10" s="1"/>
  <c r="H520" i="10"/>
  <c r="AB173" i="11" s="1"/>
  <c r="H259" i="10"/>
  <c r="H267" i="10"/>
  <c r="J267" i="10" s="1"/>
  <c r="H318" i="10"/>
  <c r="J318" i="10" s="1"/>
  <c r="L106" i="11" s="1"/>
  <c r="H316" i="10"/>
  <c r="J104" i="11" s="1"/>
  <c r="H232" i="10"/>
  <c r="AB75" i="11" s="1"/>
  <c r="H172" i="10"/>
  <c r="H247" i="10" s="1"/>
  <c r="H104" i="10"/>
  <c r="J36" i="11" s="1"/>
  <c r="H10" i="10"/>
  <c r="S4" i="11" s="1"/>
  <c r="E11" i="4"/>
  <c r="E12" i="4" s="1"/>
  <c r="E13" i="4" s="1"/>
  <c r="H42" i="12"/>
  <c r="H80" i="12"/>
  <c r="G110" i="12"/>
  <c r="N153" i="6"/>
  <c r="N157" i="6"/>
  <c r="N32" i="6"/>
  <c r="F40" i="17" s="1"/>
  <c r="N94" i="6"/>
  <c r="F68" i="17" s="1"/>
  <c r="L45" i="7"/>
  <c r="H35" i="12"/>
  <c r="L102" i="7"/>
  <c r="L59" i="7"/>
  <c r="H275" i="12" s="1"/>
  <c r="H290" i="12" s="1"/>
  <c r="N75" i="6"/>
  <c r="F26" i="17" s="1"/>
  <c r="N102" i="6"/>
  <c r="F66" i="17" s="1"/>
  <c r="N125" i="6"/>
  <c r="F70" i="17" s="1"/>
  <c r="L32" i="7"/>
  <c r="K97" i="7"/>
  <c r="L148" i="7" s="1"/>
  <c r="N140" i="6" s="1"/>
  <c r="N55" i="6"/>
  <c r="F62" i="17" s="1"/>
  <c r="N81" i="6"/>
  <c r="F30" i="17" s="1"/>
  <c r="Q30" i="17" s="1"/>
  <c r="S30" i="17" s="1"/>
  <c r="U30" i="17" s="1"/>
  <c r="L83" i="7"/>
  <c r="H39" i="12" s="1"/>
  <c r="L99" i="7"/>
  <c r="H108" i="12"/>
  <c r="H109" i="12" s="1"/>
  <c r="M139" i="6"/>
  <c r="N40" i="6"/>
  <c r="F52" i="17" s="1"/>
  <c r="N129" i="6"/>
  <c r="L8" i="7"/>
  <c r="H161" i="12"/>
  <c r="H172" i="12" s="1"/>
  <c r="N68" i="6"/>
  <c r="F28" i="17" s="1"/>
  <c r="N115" i="6"/>
  <c r="F60" i="17" s="1"/>
  <c r="H265" i="12"/>
  <c r="L132" i="7"/>
  <c r="L49" i="7"/>
  <c r="H261" i="12" s="1"/>
  <c r="L66" i="7"/>
  <c r="H10" i="12" s="1"/>
  <c r="H17" i="12" s="1"/>
  <c r="N4" i="6"/>
  <c r="F10" i="17" s="1"/>
  <c r="N24" i="6"/>
  <c r="F18" i="17" s="1"/>
  <c r="N38" i="6"/>
  <c r="F12" i="17" s="1"/>
  <c r="N50" i="6"/>
  <c r="F50" i="17" s="1"/>
  <c r="N62" i="6"/>
  <c r="F20" i="17" s="1"/>
  <c r="N83" i="6"/>
  <c r="F32" i="17" s="1"/>
  <c r="N133" i="6"/>
  <c r="F58" i="17" s="1"/>
  <c r="L29" i="7"/>
  <c r="L80" i="7"/>
  <c r="H40" i="12" s="1"/>
  <c r="L95" i="7"/>
  <c r="L109" i="7"/>
  <c r="K145" i="7"/>
  <c r="I189" i="12"/>
  <c r="J43" i="10"/>
  <c r="K16" i="17" s="1"/>
  <c r="H590" i="10"/>
  <c r="J199" i="11" s="1"/>
  <c r="H166" i="10"/>
  <c r="AB46" i="11" s="1"/>
  <c r="S22" i="17"/>
  <c r="U22" i="17" s="1"/>
  <c r="U35" i="3"/>
  <c r="H354" i="10"/>
  <c r="AB114" i="11" s="1"/>
  <c r="H284" i="10"/>
  <c r="J89" i="11" s="1"/>
  <c r="P35" i="1"/>
  <c r="E78" i="17" s="1"/>
  <c r="H24" i="11"/>
  <c r="H266" i="10"/>
  <c r="H519" i="10"/>
  <c r="AB172" i="11" s="1"/>
  <c r="Z49" i="11"/>
  <c r="H311" i="10"/>
  <c r="J311" i="10" s="1"/>
  <c r="H257" i="10"/>
  <c r="H170" i="10"/>
  <c r="AB50" i="11" s="1"/>
  <c r="H30" i="4"/>
  <c r="J30" i="4" s="1"/>
  <c r="J34" i="4" s="1"/>
  <c r="H337" i="10"/>
  <c r="AB111" i="11" s="1"/>
  <c r="H671" i="10"/>
  <c r="J231" i="11" s="1"/>
  <c r="H489" i="10"/>
  <c r="H614" i="10"/>
  <c r="J614" i="10" s="1"/>
  <c r="H557" i="10"/>
  <c r="J557" i="10" s="1"/>
  <c r="M557" i="10" s="1"/>
  <c r="H289" i="10"/>
  <c r="H521" i="10"/>
  <c r="H555" i="10"/>
  <c r="J555" i="10" s="1"/>
  <c r="M555" i="10" s="1"/>
  <c r="Q104" i="11"/>
  <c r="H472" i="10"/>
  <c r="AB159" i="11" s="1"/>
  <c r="H52" i="3"/>
  <c r="F24" i="1"/>
  <c r="F29" i="1" s="1"/>
  <c r="U96" i="3"/>
  <c r="U89" i="3"/>
  <c r="U92" i="3"/>
  <c r="U94" i="3"/>
  <c r="U88" i="3"/>
  <c r="F21" i="2"/>
  <c r="D24" i="1"/>
  <c r="D29" i="1" s="1"/>
  <c r="U95" i="3"/>
  <c r="Z94" i="3" s="1"/>
  <c r="H25" i="4"/>
  <c r="U90" i="3"/>
  <c r="U49" i="3"/>
  <c r="F15" i="1"/>
  <c r="F23" i="1" s="1"/>
  <c r="U50" i="3"/>
  <c r="U53" i="3"/>
  <c r="H65" i="3"/>
  <c r="D15" i="1"/>
  <c r="U44" i="3"/>
  <c r="U45" i="3"/>
  <c r="U54" i="3"/>
  <c r="Z62" i="3" s="1"/>
  <c r="U19" i="3"/>
  <c r="U20" i="3"/>
  <c r="U21" i="3"/>
  <c r="U36" i="3"/>
  <c r="U31" i="3"/>
  <c r="Z93" i="11"/>
  <c r="H667" i="10"/>
  <c r="H403" i="10"/>
  <c r="AB133" i="11" s="1"/>
  <c r="Z227" i="11"/>
  <c r="H420" i="10"/>
  <c r="AB139" i="11" s="1"/>
  <c r="H382" i="10"/>
  <c r="H367" i="10"/>
  <c r="J367" i="10" s="1"/>
  <c r="M367" i="10" s="1"/>
  <c r="H381" i="10"/>
  <c r="AB124" i="11" s="1"/>
  <c r="H536" i="10"/>
  <c r="S175" i="11" s="1"/>
  <c r="H465" i="10"/>
  <c r="H454" i="10"/>
  <c r="J454" i="10" s="1"/>
  <c r="H448" i="10"/>
  <c r="J448" i="10" s="1"/>
  <c r="H443" i="10"/>
  <c r="AB147" i="11" s="1"/>
  <c r="H405" i="10"/>
  <c r="AB135" i="11" s="1"/>
  <c r="M263" i="13"/>
  <c r="M42" i="13"/>
  <c r="M180" i="13"/>
  <c r="H234" i="10"/>
  <c r="J234" i="10" s="1"/>
  <c r="H214" i="10"/>
  <c r="H32" i="4"/>
  <c r="J32" i="4" s="1"/>
  <c r="F22" i="2" s="1"/>
  <c r="J597" i="10"/>
  <c r="H666" i="10"/>
  <c r="H580" i="10"/>
  <c r="J580" i="10" s="1"/>
  <c r="M580" i="10" s="1"/>
  <c r="H591" i="10"/>
  <c r="J200" i="11" s="1"/>
  <c r="H617" i="10"/>
  <c r="AB209" i="11" s="1"/>
  <c r="H668" i="10"/>
  <c r="J668" i="10" s="1"/>
  <c r="H537" i="10"/>
  <c r="S176" i="11" s="1"/>
  <c r="Z201" i="11"/>
  <c r="H214" i="11"/>
  <c r="AB81" i="11"/>
  <c r="H114" i="11"/>
  <c r="H258" i="10"/>
  <c r="J80" i="11" s="1"/>
  <c r="H260" i="10"/>
  <c r="S79" i="11" s="1"/>
  <c r="H265" i="10"/>
  <c r="H310" i="10"/>
  <c r="H334" i="10"/>
  <c r="H428" i="10"/>
  <c r="AB142" i="11" s="1"/>
  <c r="H453" i="10"/>
  <c r="J453" i="10" s="1"/>
  <c r="H464" i="10"/>
  <c r="AB156" i="11" s="1"/>
  <c r="H264" i="10"/>
  <c r="H290" i="10"/>
  <c r="J290" i="10" s="1"/>
  <c r="M290" i="10" s="1"/>
  <c r="H317" i="10"/>
  <c r="J105" i="11" s="1"/>
  <c r="H359" i="10"/>
  <c r="H368" i="10"/>
  <c r="J368" i="10" s="1"/>
  <c r="M368" i="10" s="1"/>
  <c r="H385" i="10"/>
  <c r="AB127" i="11" s="1"/>
  <c r="H419" i="10"/>
  <c r="J419" i="10" s="1"/>
  <c r="M419" i="10" s="1"/>
  <c r="H442" i="10"/>
  <c r="AB146" i="11" s="1"/>
  <c r="H444" i="10"/>
  <c r="AB148" i="11" s="1"/>
  <c r="H468" i="10"/>
  <c r="J468" i="10" s="1"/>
  <c r="H474" i="10"/>
  <c r="H477" i="10"/>
  <c r="H490" i="10"/>
  <c r="J490" i="10" s="1"/>
  <c r="H129" i="11"/>
  <c r="M201" i="13"/>
  <c r="H336" i="10"/>
  <c r="AB110" i="11" s="1"/>
  <c r="H404" i="10"/>
  <c r="J404" i="10" s="1"/>
  <c r="H426" i="10"/>
  <c r="J426" i="10" s="1"/>
  <c r="H449" i="10"/>
  <c r="J449" i="10" s="1"/>
  <c r="H455" i="10"/>
  <c r="AB152" i="11" s="1"/>
  <c r="H471" i="10"/>
  <c r="J472" i="10"/>
  <c r="AD159" i="11" s="1"/>
  <c r="H516" i="10"/>
  <c r="J172" i="11" s="1"/>
  <c r="J520" i="10"/>
  <c r="F282" i="12" s="1"/>
  <c r="Z132" i="11"/>
  <c r="H179" i="10"/>
  <c r="J180" i="10"/>
  <c r="Z56" i="11"/>
  <c r="H213" i="10"/>
  <c r="J213" i="10" s="1"/>
  <c r="AD68" i="11" s="1"/>
  <c r="H215" i="10"/>
  <c r="AB70" i="11" s="1"/>
  <c r="H233" i="10"/>
  <c r="J233" i="10" s="1"/>
  <c r="H235" i="10"/>
  <c r="AB78" i="11" s="1"/>
  <c r="H61" i="11"/>
  <c r="H46" i="11"/>
  <c r="J166" i="10"/>
  <c r="J172" i="10"/>
  <c r="M172" i="10" s="1"/>
  <c r="H167" i="10"/>
  <c r="AB47" i="11" s="1"/>
  <c r="H173" i="10"/>
  <c r="J173" i="10" s="1"/>
  <c r="M173" i="10" s="1"/>
  <c r="J211" i="10"/>
  <c r="S5" i="11"/>
  <c r="J11" i="10"/>
  <c r="AB45" i="11"/>
  <c r="H9" i="10"/>
  <c r="H18" i="10"/>
  <c r="AB7" i="11" s="1"/>
  <c r="H133" i="10"/>
  <c r="Z28" i="11"/>
  <c r="H17" i="10"/>
  <c r="H113" i="10"/>
  <c r="H127" i="10"/>
  <c r="I6" i="16" s="1"/>
  <c r="Z8" i="11"/>
  <c r="Z34" i="11"/>
  <c r="J10" i="10"/>
  <c r="U4" i="11" s="1"/>
  <c r="H16" i="10"/>
  <c r="H130" i="10"/>
  <c r="J130" i="10" s="1"/>
  <c r="H35" i="10"/>
  <c r="J35" i="10" s="1"/>
  <c r="H51" i="10"/>
  <c r="H109" i="10"/>
  <c r="H112" i="10"/>
  <c r="Z11" i="11"/>
  <c r="Z35" i="11"/>
  <c r="H11" i="3"/>
  <c r="H14" i="3" s="1"/>
  <c r="E29" i="2"/>
  <c r="E47" i="2" s="1"/>
  <c r="G27" i="2"/>
  <c r="G29" i="2" s="1"/>
  <c r="G47" i="2" s="1"/>
  <c r="M427" i="13"/>
  <c r="L432" i="13"/>
  <c r="G308" i="12"/>
  <c r="L80" i="13"/>
  <c r="L308" i="13"/>
  <c r="M248" i="13"/>
  <c r="M160" i="13"/>
  <c r="L227" i="13"/>
  <c r="L403" i="13"/>
  <c r="M425" i="13"/>
  <c r="L140" i="13"/>
  <c r="M97" i="13"/>
  <c r="L82" i="13"/>
  <c r="L122" i="13"/>
  <c r="L129" i="13"/>
  <c r="M148" i="13"/>
  <c r="M181" i="13"/>
  <c r="L218" i="13"/>
  <c r="L404" i="13"/>
  <c r="L32" i="13"/>
  <c r="M158" i="13"/>
  <c r="L165" i="13"/>
  <c r="M192" i="13"/>
  <c r="M211" i="13"/>
  <c r="L223" i="13"/>
  <c r="M331" i="13"/>
  <c r="M19" i="13"/>
  <c r="L81" i="13"/>
  <c r="L92" i="13"/>
  <c r="M156" i="13"/>
  <c r="M159" i="13"/>
  <c r="L167" i="13"/>
  <c r="M174" i="13"/>
  <c r="M209" i="13"/>
  <c r="L225" i="13"/>
  <c r="L228" i="13"/>
  <c r="L319" i="13"/>
  <c r="M335" i="13"/>
  <c r="L399" i="13"/>
  <c r="M424" i="13"/>
  <c r="L79" i="13"/>
  <c r="L101" i="13"/>
  <c r="M150" i="13"/>
  <c r="M161" i="13"/>
  <c r="M190" i="13"/>
  <c r="L217" i="13"/>
  <c r="M290" i="13"/>
  <c r="L301" i="13"/>
  <c r="M322" i="13"/>
  <c r="M237" i="13"/>
  <c r="M238" i="13"/>
  <c r="L11" i="13"/>
  <c r="L26" i="13"/>
  <c r="L27" i="13"/>
  <c r="L34" i="13"/>
  <c r="L35" i="13"/>
  <c r="L45" i="13"/>
  <c r="L46" i="13"/>
  <c r="L47" i="13"/>
  <c r="L66" i="13"/>
  <c r="M89" i="13"/>
  <c r="L128" i="13"/>
  <c r="L141" i="13"/>
  <c r="L142" i="13"/>
  <c r="L143" i="13"/>
  <c r="M147" i="13"/>
  <c r="M151" i="13"/>
  <c r="M157" i="13"/>
  <c r="L166" i="13"/>
  <c r="L175" i="13"/>
  <c r="L176" i="13"/>
  <c r="L177" i="13"/>
  <c r="L178" i="13"/>
  <c r="L179" i="13"/>
  <c r="M191" i="13"/>
  <c r="L197" i="13"/>
  <c r="L198" i="13"/>
  <c r="L199" i="13"/>
  <c r="L200" i="13"/>
  <c r="M212" i="13"/>
  <c r="L226" i="13"/>
  <c r="M247" i="13"/>
  <c r="M265" i="13"/>
  <c r="L318" i="13"/>
  <c r="M333" i="13"/>
  <c r="L398" i="13"/>
  <c r="M445" i="13"/>
  <c r="M29" i="13"/>
  <c r="M49" i="13"/>
  <c r="M64" i="13"/>
  <c r="L91" i="13"/>
  <c r="L100" i="13"/>
  <c r="L121" i="13"/>
  <c r="M149" i="13"/>
  <c r="L168" i="13"/>
  <c r="M189" i="13"/>
  <c r="M193" i="13"/>
  <c r="M210" i="13"/>
  <c r="L224" i="13"/>
  <c r="M249" i="13"/>
  <c r="M262" i="13"/>
  <c r="M295" i="13"/>
  <c r="L300" i="13"/>
  <c r="L307" i="13"/>
  <c r="M329" i="13"/>
  <c r="L434" i="13"/>
  <c r="D34" i="17"/>
  <c r="E34" i="17" s="1"/>
  <c r="S34" i="17" s="1"/>
  <c r="U34" i="17" s="1"/>
  <c r="U26" i="3"/>
  <c r="E24" i="4"/>
  <c r="E25" i="4" s="1"/>
  <c r="E23" i="4"/>
  <c r="G18" i="4"/>
  <c r="G20" i="4"/>
  <c r="G21" i="4" s="1"/>
  <c r="D12" i="17"/>
  <c r="E12" i="17" s="1"/>
  <c r="P11" i="4"/>
  <c r="P15" i="4" s="1"/>
  <c r="O21" i="1"/>
  <c r="F152" i="12"/>
  <c r="D14" i="17"/>
  <c r="E14" i="17" s="1"/>
  <c r="H201" i="12"/>
  <c r="H212" i="12" s="1"/>
  <c r="D14" i="1"/>
  <c r="K125" i="3"/>
  <c r="M125" i="3" s="1"/>
  <c r="D14" i="2"/>
  <c r="D18" i="2" s="1"/>
  <c r="E20" i="4"/>
  <c r="E21" i="4" s="1"/>
  <c r="E18" i="4"/>
  <c r="G5" i="12"/>
  <c r="G17" i="12" s="1"/>
  <c r="F151" i="12"/>
  <c r="J20" i="17"/>
  <c r="F149" i="12"/>
  <c r="J545" i="10"/>
  <c r="F157" i="12"/>
  <c r="G24" i="4"/>
  <c r="G26" i="4" s="1"/>
  <c r="G23" i="4"/>
  <c r="G25" i="4"/>
  <c r="D10" i="17"/>
  <c r="E10" i="17" s="1"/>
  <c r="P10" i="4"/>
  <c r="C14" i="2"/>
  <c r="O17" i="1"/>
  <c r="H27" i="1"/>
  <c r="H29" i="1" s="1"/>
  <c r="E22" i="2"/>
  <c r="F153" i="12"/>
  <c r="F146" i="12"/>
  <c r="D16" i="17"/>
  <c r="E16" i="17" s="1"/>
  <c r="M14" i="3"/>
  <c r="M15" i="3"/>
  <c r="F150" i="12"/>
  <c r="F120" i="12"/>
  <c r="J681" i="10"/>
  <c r="M681" i="10" s="1"/>
  <c r="H64" i="3"/>
  <c r="H66" i="3" s="1"/>
  <c r="K63" i="7"/>
  <c r="H4" i="11"/>
  <c r="H7" i="10"/>
  <c r="J68" i="10"/>
  <c r="J24" i="11"/>
  <c r="Z29" i="11"/>
  <c r="H83" i="10"/>
  <c r="AB49" i="11"/>
  <c r="J169" i="10"/>
  <c r="M169" i="10" s="1"/>
  <c r="Z71" i="11"/>
  <c r="H216" i="10"/>
  <c r="H75" i="11"/>
  <c r="H228" i="10"/>
  <c r="AC81" i="11"/>
  <c r="S113" i="11"/>
  <c r="J347" i="10"/>
  <c r="Z131" i="11"/>
  <c r="H395" i="10"/>
  <c r="J240" i="12"/>
  <c r="I240" i="12"/>
  <c r="H146" i="11"/>
  <c r="H439" i="10"/>
  <c r="H169" i="11"/>
  <c r="H496" i="10"/>
  <c r="AB180" i="11"/>
  <c r="AB175" i="11"/>
  <c r="J554" i="10"/>
  <c r="M554" i="10" s="1"/>
  <c r="Z210" i="11"/>
  <c r="H618" i="10"/>
  <c r="H218" i="11"/>
  <c r="H634" i="10"/>
  <c r="F188" i="12"/>
  <c r="Q113" i="11"/>
  <c r="D21" i="1"/>
  <c r="C29" i="2"/>
  <c r="C47" i="2" s="1"/>
  <c r="S16" i="3"/>
  <c r="U16" i="3" s="1"/>
  <c r="S18" i="3"/>
  <c r="U18" i="3" s="1"/>
  <c r="Z18" i="3" s="1"/>
  <c r="H19" i="3"/>
  <c r="D26" i="17" s="1"/>
  <c r="E26" i="17" s="1"/>
  <c r="H22" i="3"/>
  <c r="H26" i="3"/>
  <c r="H27" i="3"/>
  <c r="S32" i="3"/>
  <c r="U32" i="3" s="1"/>
  <c r="S42" i="17"/>
  <c r="U42" i="17" s="1"/>
  <c r="H101" i="3"/>
  <c r="F20" i="4"/>
  <c r="H20" i="4" s="1"/>
  <c r="K275" i="5"/>
  <c r="H248" i="12"/>
  <c r="H262" i="12"/>
  <c r="L108" i="7"/>
  <c r="H9" i="11"/>
  <c r="H22" i="10"/>
  <c r="Z9" i="11"/>
  <c r="H26" i="10"/>
  <c r="J28" i="10"/>
  <c r="AB11" i="11"/>
  <c r="H12" i="11"/>
  <c r="H31" i="10"/>
  <c r="Z12" i="11"/>
  <c r="F152" i="10"/>
  <c r="H34" i="10"/>
  <c r="G4" i="16"/>
  <c r="H36" i="10"/>
  <c r="F22" i="12"/>
  <c r="J48" i="10"/>
  <c r="I21" i="12"/>
  <c r="J21" i="12"/>
  <c r="J55" i="10"/>
  <c r="AB20" i="11"/>
  <c r="H21" i="11"/>
  <c r="H58" i="10"/>
  <c r="Z32" i="11"/>
  <c r="H86" i="10"/>
  <c r="AB34" i="11"/>
  <c r="J93" i="10"/>
  <c r="Z39" i="11"/>
  <c r="H117" i="10"/>
  <c r="F24" i="12"/>
  <c r="J61" i="11"/>
  <c r="J191" i="10"/>
  <c r="Z62" i="11"/>
  <c r="H195" i="10"/>
  <c r="AB67" i="11"/>
  <c r="J206" i="10"/>
  <c r="F107" i="12"/>
  <c r="Z72" i="11"/>
  <c r="H223" i="10"/>
  <c r="J239" i="10"/>
  <c r="Z83" i="11"/>
  <c r="H275" i="10"/>
  <c r="AB91" i="11"/>
  <c r="Z97" i="11"/>
  <c r="H301" i="10"/>
  <c r="AB99" i="11"/>
  <c r="J308" i="10"/>
  <c r="M308" i="10" s="1"/>
  <c r="U311" i="10"/>
  <c r="U313" i="10" s="1"/>
  <c r="Z106" i="11"/>
  <c r="H327" i="10"/>
  <c r="H108" i="11"/>
  <c r="H331" i="10"/>
  <c r="J334" i="10"/>
  <c r="AB108" i="11"/>
  <c r="Q112" i="11"/>
  <c r="H346" i="10"/>
  <c r="J120" i="11"/>
  <c r="S124" i="11"/>
  <c r="J362" i="10"/>
  <c r="H376" i="10"/>
  <c r="Z130" i="11"/>
  <c r="H394" i="10"/>
  <c r="AB134" i="11"/>
  <c r="H417" i="10"/>
  <c r="F523" i="10"/>
  <c r="Z137" i="11"/>
  <c r="H140" i="11"/>
  <c r="H423" i="10"/>
  <c r="Z143" i="11"/>
  <c r="H434" i="10"/>
  <c r="H457" i="10"/>
  <c r="Z154" i="11"/>
  <c r="H156" i="11"/>
  <c r="H461" i="10"/>
  <c r="H491" i="10"/>
  <c r="Z166" i="11"/>
  <c r="H168" i="11"/>
  <c r="H495" i="10"/>
  <c r="Z168" i="11"/>
  <c r="H500" i="10"/>
  <c r="AB170" i="11"/>
  <c r="J510" i="10"/>
  <c r="AB171" i="11"/>
  <c r="J512" i="10"/>
  <c r="J537" i="10"/>
  <c r="Z195" i="11"/>
  <c r="H583" i="10"/>
  <c r="H629" i="10"/>
  <c r="Z215" i="11"/>
  <c r="Z226" i="11"/>
  <c r="H658" i="10"/>
  <c r="AB227" i="11"/>
  <c r="J665" i="10"/>
  <c r="M665" i="10" s="1"/>
  <c r="AB229" i="11"/>
  <c r="J667" i="10"/>
  <c r="M667" i="10" s="1"/>
  <c r="Z3" i="11"/>
  <c r="Z14" i="11"/>
  <c r="H22" i="11"/>
  <c r="Z67" i="11"/>
  <c r="Z99" i="11"/>
  <c r="J14" i="10"/>
  <c r="M14" i="10" s="1"/>
  <c r="AB3" i="11"/>
  <c r="AB28" i="11"/>
  <c r="J76" i="10"/>
  <c r="I5" i="16"/>
  <c r="J126" i="10"/>
  <c r="M126" i="10" s="1"/>
  <c r="AB42" i="11"/>
  <c r="H196" i="10"/>
  <c r="Z63" i="11"/>
  <c r="AB73" i="11"/>
  <c r="J224" i="10"/>
  <c r="Z84" i="11"/>
  <c r="H276" i="10"/>
  <c r="Z103" i="11"/>
  <c r="H324" i="10"/>
  <c r="J343" i="10"/>
  <c r="J114" i="11"/>
  <c r="F235" i="12"/>
  <c r="I420" i="10"/>
  <c r="AC139" i="11" s="1"/>
  <c r="J151" i="11"/>
  <c r="J536" i="10"/>
  <c r="H584" i="10"/>
  <c r="Z196" i="11"/>
  <c r="J590" i="10"/>
  <c r="I9" i="16"/>
  <c r="AB204" i="11"/>
  <c r="J606" i="10"/>
  <c r="Z216" i="11"/>
  <c r="H630" i="10"/>
  <c r="S15" i="3"/>
  <c r="U15" i="3" s="1"/>
  <c r="H18" i="3"/>
  <c r="D20" i="17" s="1"/>
  <c r="E20" i="17" s="1"/>
  <c r="H20" i="3"/>
  <c r="D28" i="17" s="1"/>
  <c r="E28" i="17" s="1"/>
  <c r="H25" i="3"/>
  <c r="S26" i="3"/>
  <c r="H30" i="3"/>
  <c r="H41" i="3"/>
  <c r="U48" i="3"/>
  <c r="H100" i="3"/>
  <c r="Q8" i="4"/>
  <c r="J15" i="4"/>
  <c r="H106" i="3" s="1"/>
  <c r="H219" i="12"/>
  <c r="L69" i="7"/>
  <c r="H23" i="12"/>
  <c r="J23" i="12" s="1"/>
  <c r="L91" i="7"/>
  <c r="H141" i="12"/>
  <c r="H147" i="12" s="1"/>
  <c r="H152" i="12"/>
  <c r="L127" i="7"/>
  <c r="L139" i="7"/>
  <c r="D20" i="9"/>
  <c r="Z10" i="11"/>
  <c r="H27" i="10"/>
  <c r="Z15" i="11"/>
  <c r="H37" i="10"/>
  <c r="Z19" i="11"/>
  <c r="H54" i="10"/>
  <c r="J59" i="10"/>
  <c r="J22" i="11"/>
  <c r="Z30" i="11"/>
  <c r="H84" i="10"/>
  <c r="Z41" i="11"/>
  <c r="H119" i="10"/>
  <c r="H123" i="10"/>
  <c r="H42" i="11"/>
  <c r="F54" i="12"/>
  <c r="AD45" i="11"/>
  <c r="F16" i="12"/>
  <c r="J143" i="10"/>
  <c r="N143" i="10"/>
  <c r="N144" i="10" s="1"/>
  <c r="N140" i="10"/>
  <c r="F34" i="12"/>
  <c r="D158" i="10"/>
  <c r="D253" i="10" s="1"/>
  <c r="J46" i="11"/>
  <c r="J162" i="10"/>
  <c r="AD46" i="11"/>
  <c r="Z51" i="11"/>
  <c r="H171" i="10"/>
  <c r="H182" i="10"/>
  <c r="Z54" i="11"/>
  <c r="Z64" i="11"/>
  <c r="H197" i="10"/>
  <c r="Z65" i="11"/>
  <c r="H204" i="10"/>
  <c r="J214" i="10"/>
  <c r="AB69" i="11"/>
  <c r="F90" i="12"/>
  <c r="Z74" i="11"/>
  <c r="H225" i="10"/>
  <c r="H76" i="11"/>
  <c r="H229" i="10"/>
  <c r="AB77" i="11"/>
  <c r="J79" i="11"/>
  <c r="J257" i="10"/>
  <c r="J81" i="11"/>
  <c r="J259" i="10"/>
  <c r="S80" i="11"/>
  <c r="J261" i="10"/>
  <c r="H277" i="10"/>
  <c r="Z85" i="11"/>
  <c r="H87" i="11"/>
  <c r="H281" i="10"/>
  <c r="AB87" i="11"/>
  <c r="J286" i="10"/>
  <c r="M286" i="10" s="1"/>
  <c r="Z92" i="11"/>
  <c r="H291" i="10"/>
  <c r="Z95" i="11"/>
  <c r="H299" i="10"/>
  <c r="J321" i="10"/>
  <c r="S104" i="11"/>
  <c r="Z104" i="11"/>
  <c r="H325" i="10"/>
  <c r="AB109" i="11"/>
  <c r="J335" i="10"/>
  <c r="J337" i="10"/>
  <c r="H341" i="10"/>
  <c r="H112" i="11"/>
  <c r="Q114" i="11"/>
  <c r="H348" i="10"/>
  <c r="Z122" i="11"/>
  <c r="H369" i="10"/>
  <c r="AD128" i="11"/>
  <c r="J389" i="10"/>
  <c r="J129" i="11"/>
  <c r="AB132" i="11"/>
  <c r="J396" i="10"/>
  <c r="H134" i="11"/>
  <c r="H400" i="10"/>
  <c r="AB141" i="11"/>
  <c r="J427" i="10"/>
  <c r="Z145" i="11"/>
  <c r="H436" i="10"/>
  <c r="AC145" i="11" s="1"/>
  <c r="AB150" i="11"/>
  <c r="AB157" i="11"/>
  <c r="J465" i="10"/>
  <c r="J158" i="11"/>
  <c r="Z169" i="11"/>
  <c r="H501" i="10"/>
  <c r="AB182" i="11"/>
  <c r="J556" i="10"/>
  <c r="M556" i="10" s="1"/>
  <c r="H558" i="10"/>
  <c r="Z184" i="11"/>
  <c r="AB193" i="11"/>
  <c r="J581" i="10"/>
  <c r="M581" i="10" s="1"/>
  <c r="Z197" i="11"/>
  <c r="H585" i="10"/>
  <c r="Z213" i="11"/>
  <c r="H627" i="10"/>
  <c r="Z217" i="11"/>
  <c r="H631" i="10"/>
  <c r="Z224" i="11"/>
  <c r="H656" i="10"/>
  <c r="AB230" i="11"/>
  <c r="J671" i="10"/>
  <c r="J674" i="10"/>
  <c r="F190" i="12"/>
  <c r="Z38" i="11"/>
  <c r="U55" i="11"/>
  <c r="Z87" i="11"/>
  <c r="J20" i="14"/>
  <c r="K10" i="13"/>
  <c r="M9" i="13"/>
  <c r="L9" i="13"/>
  <c r="L20" i="13"/>
  <c r="M20" i="13"/>
  <c r="K48" i="14"/>
  <c r="J66" i="14"/>
  <c r="K25" i="13"/>
  <c r="M60" i="13"/>
  <c r="L60" i="13"/>
  <c r="M62" i="13"/>
  <c r="L62" i="13"/>
  <c r="J87" i="14"/>
  <c r="K33" i="13"/>
  <c r="H118" i="10"/>
  <c r="Z40" i="11"/>
  <c r="F105" i="12"/>
  <c r="H298" i="10"/>
  <c r="Z94" i="11"/>
  <c r="Z107" i="11"/>
  <c r="H328" i="10"/>
  <c r="H133" i="11"/>
  <c r="H399" i="10"/>
  <c r="Z144" i="11"/>
  <c r="H435" i="10"/>
  <c r="Z155" i="11"/>
  <c r="H458" i="10"/>
  <c r="F178" i="12"/>
  <c r="AD201" i="11"/>
  <c r="I170" i="12"/>
  <c r="J170" i="12"/>
  <c r="Z73" i="11"/>
  <c r="U51" i="3"/>
  <c r="U52" i="3"/>
  <c r="S64" i="17"/>
  <c r="U64" i="17" s="1"/>
  <c r="H217" i="12"/>
  <c r="L13" i="7"/>
  <c r="H249" i="12"/>
  <c r="R69" i="7"/>
  <c r="I51" i="12"/>
  <c r="J51" i="12"/>
  <c r="L105" i="7"/>
  <c r="L114" i="7"/>
  <c r="L122" i="7"/>
  <c r="H153" i="12"/>
  <c r="L128" i="7"/>
  <c r="H3" i="11"/>
  <c r="H6" i="10"/>
  <c r="Z4" i="11"/>
  <c r="H15" i="10"/>
  <c r="J19" i="10"/>
  <c r="M19" i="10" s="1"/>
  <c r="H85" i="10"/>
  <c r="Z31" i="11"/>
  <c r="H89" i="10"/>
  <c r="H33" i="11"/>
  <c r="H92" i="10"/>
  <c r="Z33" i="11"/>
  <c r="J102" i="10"/>
  <c r="AB38" i="11"/>
  <c r="J116" i="10"/>
  <c r="F14" i="12"/>
  <c r="J127" i="10"/>
  <c r="Z48" i="11"/>
  <c r="H168" i="10"/>
  <c r="F246" i="10"/>
  <c r="F147" i="10"/>
  <c r="Z55" i="11"/>
  <c r="H183" i="10"/>
  <c r="H194" i="10"/>
  <c r="Z61" i="11"/>
  <c r="H205" i="10"/>
  <c r="Z66" i="11"/>
  <c r="F104" i="12"/>
  <c r="J243" i="10"/>
  <c r="AB82" i="11"/>
  <c r="J271" i="10"/>
  <c r="J83" i="11"/>
  <c r="Z86" i="11"/>
  <c r="H278" i="10"/>
  <c r="H88" i="11"/>
  <c r="H282" i="10"/>
  <c r="H287" i="10"/>
  <c r="Z88" i="11"/>
  <c r="AB93" i="11"/>
  <c r="J292" i="10"/>
  <c r="M292" i="10" s="1"/>
  <c r="H300" i="10"/>
  <c r="Z96" i="11"/>
  <c r="H98" i="11"/>
  <c r="H304" i="10"/>
  <c r="Z98" i="11"/>
  <c r="H307" i="10"/>
  <c r="F279" i="12"/>
  <c r="Z105" i="11"/>
  <c r="H326" i="10"/>
  <c r="H113" i="11"/>
  <c r="H342" i="10"/>
  <c r="Z115" i="11"/>
  <c r="H355" i="10"/>
  <c r="AB120" i="11"/>
  <c r="Z129" i="11"/>
  <c r="H393" i="10"/>
  <c r="Z136" i="11"/>
  <c r="H406" i="10"/>
  <c r="J443" i="10"/>
  <c r="AB149" i="11"/>
  <c r="Z153" i="11"/>
  <c r="H456" i="10"/>
  <c r="AB165" i="11"/>
  <c r="L489" i="10"/>
  <c r="H167" i="11"/>
  <c r="H494" i="10"/>
  <c r="Z185" i="11"/>
  <c r="Z179" i="11"/>
  <c r="H559" i="10"/>
  <c r="H187" i="11"/>
  <c r="H564" i="10"/>
  <c r="Z194" i="11"/>
  <c r="H582" i="10"/>
  <c r="H586" i="10"/>
  <c r="Z198" i="11"/>
  <c r="J214" i="11"/>
  <c r="J624" i="10"/>
  <c r="Z214" i="11"/>
  <c r="H628" i="10"/>
  <c r="Z225" i="11"/>
  <c r="H657" i="10"/>
  <c r="H227" i="11"/>
  <c r="H661" i="10"/>
  <c r="J154" i="12"/>
  <c r="G158" i="12"/>
  <c r="I154" i="12"/>
  <c r="J698" i="10"/>
  <c r="H145" i="10"/>
  <c r="Z20" i="11"/>
  <c r="AB128" i="11"/>
  <c r="AB177" i="11"/>
  <c r="Z178" i="11"/>
  <c r="H37" i="12"/>
  <c r="H97" i="12"/>
  <c r="H99" i="12" s="1"/>
  <c r="H88" i="12"/>
  <c r="H91" i="12" s="1"/>
  <c r="K111" i="7"/>
  <c r="H116" i="12"/>
  <c r="H128" i="12" s="1"/>
  <c r="H63" i="10"/>
  <c r="H64" i="10"/>
  <c r="H65" i="10"/>
  <c r="H72" i="10"/>
  <c r="H73" i="10"/>
  <c r="H74" i="10"/>
  <c r="H75" i="10"/>
  <c r="H79" i="10"/>
  <c r="H80" i="10"/>
  <c r="H97" i="10"/>
  <c r="H107" i="10"/>
  <c r="H163" i="10"/>
  <c r="H176" i="10"/>
  <c r="H177" i="10"/>
  <c r="H184" i="10"/>
  <c r="H185" i="10"/>
  <c r="H186" i="10"/>
  <c r="H187" i="10"/>
  <c r="H188" i="10"/>
  <c r="H200" i="10"/>
  <c r="H201" i="10"/>
  <c r="H220" i="10"/>
  <c r="F245" i="10"/>
  <c r="F247" i="10"/>
  <c r="H272" i="10"/>
  <c r="H283" i="10"/>
  <c r="H288" i="10"/>
  <c r="H295" i="10"/>
  <c r="H309" i="10"/>
  <c r="H315" i="10"/>
  <c r="H320" i="10"/>
  <c r="H352" i="10"/>
  <c r="I7" i="16"/>
  <c r="AB113" i="11"/>
  <c r="N354" i="10"/>
  <c r="H356" i="10"/>
  <c r="O356" i="10"/>
  <c r="P356" i="10" s="1"/>
  <c r="H357" i="10"/>
  <c r="H358" i="10"/>
  <c r="H370" i="10"/>
  <c r="H372" i="10"/>
  <c r="H375" i="10"/>
  <c r="H390" i="10"/>
  <c r="H409" i="10"/>
  <c r="H410" i="10"/>
  <c r="H411" i="10"/>
  <c r="H431" i="10"/>
  <c r="H480" i="10"/>
  <c r="H481" i="10"/>
  <c r="H482" i="10"/>
  <c r="H533" i="10"/>
  <c r="H534" i="10"/>
  <c r="H560" i="10"/>
  <c r="H578" i="10"/>
  <c r="H579" i="10"/>
  <c r="AC191" i="11" s="1"/>
  <c r="H605" i="10"/>
  <c r="H607" i="10"/>
  <c r="H610" i="10"/>
  <c r="H611" i="10"/>
  <c r="H615" i="10"/>
  <c r="H619" i="10"/>
  <c r="H648" i="10"/>
  <c r="H649" i="10"/>
  <c r="H650" i="10"/>
  <c r="H653" i="10"/>
  <c r="Z116" i="11"/>
  <c r="Z181" i="11"/>
  <c r="Z231" i="11"/>
  <c r="G5" i="16"/>
  <c r="Z42" i="11"/>
  <c r="K7" i="16"/>
  <c r="F217" i="12"/>
  <c r="AD113" i="11"/>
  <c r="Q124" i="11"/>
  <c r="H120" i="11"/>
  <c r="J506" i="10"/>
  <c r="H547" i="10"/>
  <c r="H548" i="10"/>
  <c r="H550" i="10"/>
  <c r="Z180" i="11"/>
  <c r="Z175" i="11"/>
  <c r="Z177" i="11"/>
  <c r="Z182" i="11"/>
  <c r="H568" i="10"/>
  <c r="H569" i="10"/>
  <c r="H570" i="10"/>
  <c r="H573" i="10"/>
  <c r="H574" i="10"/>
  <c r="H575" i="10"/>
  <c r="H595" i="10"/>
  <c r="O595" i="10" s="1"/>
  <c r="H596" i="10"/>
  <c r="O596" i="10" s="1"/>
  <c r="H598" i="10"/>
  <c r="O598" i="10" s="1"/>
  <c r="H601" i="10"/>
  <c r="H616" i="10"/>
  <c r="J623" i="10"/>
  <c r="M623" i="10" s="1"/>
  <c r="H639" i="10"/>
  <c r="H640" i="10"/>
  <c r="H641" i="10"/>
  <c r="H645" i="10"/>
  <c r="H675" i="10"/>
  <c r="Z43" i="11"/>
  <c r="F376" i="10"/>
  <c r="G9" i="16"/>
  <c r="Z204" i="11"/>
  <c r="R55" i="12"/>
  <c r="R58" i="12"/>
  <c r="U56" i="12"/>
  <c r="U55" i="12" s="1"/>
  <c r="R45" i="12"/>
  <c r="L242" i="13"/>
  <c r="M242" i="13"/>
  <c r="L13" i="13"/>
  <c r="L51" i="13"/>
  <c r="M51" i="13"/>
  <c r="L53" i="13"/>
  <c r="M53" i="13"/>
  <c r="M12" i="13"/>
  <c r="L12" i="13"/>
  <c r="L204" i="13"/>
  <c r="M204" i="13"/>
  <c r="L244" i="13"/>
  <c r="M244" i="13"/>
  <c r="L252" i="13"/>
  <c r="M252" i="13"/>
  <c r="L254" i="13"/>
  <c r="M254" i="13"/>
  <c r="L268" i="13"/>
  <c r="M268" i="13"/>
  <c r="L277" i="13"/>
  <c r="M277" i="13"/>
  <c r="L279" i="13"/>
  <c r="M279" i="13"/>
  <c r="L281" i="13"/>
  <c r="M281" i="13"/>
  <c r="M288" i="13"/>
  <c r="L288" i="13"/>
  <c r="L294" i="13"/>
  <c r="M294" i="13"/>
  <c r="L205" i="13"/>
  <c r="M205" i="13"/>
  <c r="L243" i="13"/>
  <c r="M243" i="13"/>
  <c r="L253" i="13"/>
  <c r="M253" i="13"/>
  <c r="L267" i="13"/>
  <c r="M267" i="13"/>
  <c r="L269" i="13"/>
  <c r="M269" i="13"/>
  <c r="L278" i="13"/>
  <c r="M278" i="13"/>
  <c r="L280" i="13"/>
  <c r="M280" i="13"/>
  <c r="L282" i="13"/>
  <c r="M282" i="13"/>
  <c r="L381" i="13"/>
  <c r="M381" i="13"/>
  <c r="K389" i="13"/>
  <c r="J236" i="14"/>
  <c r="M22" i="13"/>
  <c r="M39" i="13"/>
  <c r="L39" i="13"/>
  <c r="L52" i="13"/>
  <c r="M52" i="13"/>
  <c r="L105" i="13"/>
  <c r="M105" i="13"/>
  <c r="L107" i="13"/>
  <c r="M107" i="13"/>
  <c r="L114" i="13"/>
  <c r="M114" i="13"/>
  <c r="L133" i="13"/>
  <c r="M133" i="13"/>
  <c r="L135" i="13"/>
  <c r="M135" i="13"/>
  <c r="M216" i="13"/>
  <c r="L106" i="13"/>
  <c r="M106" i="13"/>
  <c r="L108" i="13"/>
  <c r="M108" i="13"/>
  <c r="L113" i="13"/>
  <c r="M113" i="13"/>
  <c r="L115" i="13"/>
  <c r="M115" i="13"/>
  <c r="L117" i="13"/>
  <c r="M117" i="13"/>
  <c r="L134" i="13"/>
  <c r="M134" i="13"/>
  <c r="L136" i="13"/>
  <c r="M136" i="13"/>
  <c r="L328" i="13"/>
  <c r="M328" i="13"/>
  <c r="J279" i="14"/>
  <c r="K279" i="14" s="1"/>
  <c r="K219" i="13"/>
  <c r="J293" i="14"/>
  <c r="K188" i="13"/>
  <c r="K302" i="14"/>
  <c r="M123" i="13"/>
  <c r="L123" i="13"/>
  <c r="M124" i="13"/>
  <c r="L124" i="13"/>
  <c r="J428" i="14"/>
  <c r="K127" i="13"/>
  <c r="J659" i="14"/>
  <c r="K261" i="13"/>
  <c r="L40" i="13"/>
  <c r="L58" i="13"/>
  <c r="L59" i="13"/>
  <c r="L61" i="13"/>
  <c r="L86" i="13"/>
  <c r="L87" i="13"/>
  <c r="L95" i="13"/>
  <c r="L96" i="13"/>
  <c r="L187" i="13"/>
  <c r="L232" i="13"/>
  <c r="L233" i="13"/>
  <c r="L234" i="13"/>
  <c r="M287" i="13"/>
  <c r="M293" i="13"/>
  <c r="L296" i="13"/>
  <c r="M296" i="13"/>
  <c r="L302" i="13"/>
  <c r="L311" i="13"/>
  <c r="M372" i="13"/>
  <c r="L372" i="13"/>
  <c r="M374" i="13"/>
  <c r="L374" i="13"/>
  <c r="M450" i="13"/>
  <c r="L450" i="13"/>
  <c r="M452" i="13"/>
  <c r="L452" i="13"/>
  <c r="D158" i="14"/>
  <c r="D253" i="14" s="1"/>
  <c r="E529" i="14"/>
  <c r="K128" i="14"/>
  <c r="J125" i="14"/>
  <c r="L416" i="13"/>
  <c r="M416" i="13"/>
  <c r="L415" i="13"/>
  <c r="M415" i="13"/>
  <c r="J198" i="14"/>
  <c r="K426" i="13"/>
  <c r="J226" i="14"/>
  <c r="J146" i="14"/>
  <c r="J338" i="14"/>
  <c r="J455" i="14"/>
  <c r="K116" i="13" s="1"/>
  <c r="I454" i="14"/>
  <c r="M271" i="13"/>
  <c r="M286" i="13"/>
  <c r="M310" i="13"/>
  <c r="L310" i="13"/>
  <c r="L336" i="13"/>
  <c r="M336" i="13"/>
  <c r="L418" i="13"/>
  <c r="M418" i="13"/>
  <c r="K446" i="13"/>
  <c r="J243" i="14"/>
  <c r="M317" i="13"/>
  <c r="L317" i="13"/>
  <c r="L332" i="13"/>
  <c r="M332" i="13"/>
  <c r="L358" i="13"/>
  <c r="M358" i="13"/>
  <c r="K402" i="13"/>
  <c r="J147" i="14"/>
  <c r="K400" i="13" s="1"/>
  <c r="J246" i="14"/>
  <c r="K198" i="14"/>
  <c r="K433" i="13"/>
  <c r="J207" i="14"/>
  <c r="J221" i="14"/>
  <c r="K226" i="14"/>
  <c r="K503" i="14"/>
  <c r="M327" i="13"/>
  <c r="M373" i="13"/>
  <c r="L373" i="13"/>
  <c r="M451" i="13"/>
  <c r="L451" i="13"/>
  <c r="I453" i="13"/>
  <c r="L453" i="13" s="1"/>
  <c r="F453" i="13"/>
  <c r="J32" i="14"/>
  <c r="J56" i="14"/>
  <c r="K56" i="14" s="1"/>
  <c r="J77" i="14"/>
  <c r="K77" i="14" s="1"/>
  <c r="J94" i="14"/>
  <c r="K359" i="13"/>
  <c r="J109" i="14"/>
  <c r="I108" i="14"/>
  <c r="L414" i="13"/>
  <c r="M414" i="13"/>
  <c r="L419" i="13"/>
  <c r="M419" i="13"/>
  <c r="L380" i="13"/>
  <c r="M380" i="13"/>
  <c r="K243" i="14"/>
  <c r="J239" i="14"/>
  <c r="K448" i="13"/>
  <c r="M448" i="13" s="1"/>
  <c r="K447" i="13"/>
  <c r="M447" i="13" s="1"/>
  <c r="K437" i="13"/>
  <c r="M437" i="13" s="1"/>
  <c r="K429" i="13"/>
  <c r="M429" i="13" s="1"/>
  <c r="K428" i="13"/>
  <c r="M428" i="13" s="1"/>
  <c r="K412" i="13"/>
  <c r="M412" i="13" s="1"/>
  <c r="K408" i="13"/>
  <c r="M408" i="13" s="1"/>
  <c r="K395" i="13"/>
  <c r="M395" i="13" s="1"/>
  <c r="K386" i="13"/>
  <c r="M386" i="13" s="1"/>
  <c r="K378" i="13"/>
  <c r="M378" i="13" s="1"/>
  <c r="K370" i="13"/>
  <c r="M370" i="13" s="1"/>
  <c r="K369" i="13"/>
  <c r="M369" i="13" s="1"/>
  <c r="K368" i="13"/>
  <c r="M368" i="13" s="1"/>
  <c r="K367" i="13"/>
  <c r="K366" i="13"/>
  <c r="K365" i="13"/>
  <c r="K357" i="13"/>
  <c r="M357" i="13" s="1"/>
  <c r="K356" i="13"/>
  <c r="K355" i="13"/>
  <c r="K354" i="13"/>
  <c r="K353" i="13"/>
  <c r="K442" i="13"/>
  <c r="M442" i="13" s="1"/>
  <c r="K441" i="13"/>
  <c r="M441" i="13" s="1"/>
  <c r="K440" i="13"/>
  <c r="K439" i="13"/>
  <c r="K438" i="13"/>
  <c r="K430" i="13"/>
  <c r="M430" i="13" s="1"/>
  <c r="K421" i="13"/>
  <c r="M421" i="13" s="1"/>
  <c r="K420" i="13"/>
  <c r="M420" i="13" s="1"/>
  <c r="K409" i="13"/>
  <c r="M409" i="13" s="1"/>
  <c r="K396" i="13"/>
  <c r="M396" i="13" s="1"/>
  <c r="K387" i="13"/>
  <c r="M387" i="13" s="1"/>
  <c r="K371" i="13"/>
  <c r="M371" i="13" s="1"/>
  <c r="K362" i="13"/>
  <c r="M362" i="13" s="1"/>
  <c r="K361" i="13"/>
  <c r="M361" i="13" s="1"/>
  <c r="K360" i="13"/>
  <c r="K350" i="13"/>
  <c r="M350" i="13" s="1"/>
  <c r="K339" i="13"/>
  <c r="M339" i="13" s="1"/>
  <c r="K324" i="13"/>
  <c r="M324" i="13" s="1"/>
  <c r="K315" i="13"/>
  <c r="M315" i="13" s="1"/>
  <c r="K305" i="13"/>
  <c r="M305" i="13" s="1"/>
  <c r="K292" i="13"/>
  <c r="M292" i="13" s="1"/>
  <c r="K436" i="13"/>
  <c r="M436" i="13" s="1"/>
  <c r="K435" i="13"/>
  <c r="M435" i="13" s="1"/>
  <c r="K423" i="13"/>
  <c r="M423" i="13" s="1"/>
  <c r="K411" i="13"/>
  <c r="M411" i="13" s="1"/>
  <c r="K407" i="13"/>
  <c r="M407" i="13" s="1"/>
  <c r="K406" i="13"/>
  <c r="M406" i="13" s="1"/>
  <c r="K394" i="13"/>
  <c r="M394" i="13" s="1"/>
  <c r="K385" i="13"/>
  <c r="M385" i="13" s="1"/>
  <c r="K384" i="13"/>
  <c r="M384" i="13" s="1"/>
  <c r="K377" i="13"/>
  <c r="M377" i="13" s="1"/>
  <c r="K364" i="13"/>
  <c r="M364" i="13" s="1"/>
  <c r="K352" i="13"/>
  <c r="M352" i="13" s="1"/>
  <c r="K348" i="13"/>
  <c r="M348" i="13" s="1"/>
  <c r="K347" i="13"/>
  <c r="M347" i="13" s="1"/>
  <c r="K346" i="13"/>
  <c r="K345" i="13"/>
  <c r="K344" i="13"/>
  <c r="K343" i="13"/>
  <c r="K342" i="13"/>
  <c r="K341" i="13"/>
  <c r="K326" i="13"/>
  <c r="M326" i="13" s="1"/>
  <c r="J268" i="14"/>
  <c r="K268" i="14" s="1"/>
  <c r="K313" i="14"/>
  <c r="J387" i="14"/>
  <c r="K465" i="14"/>
  <c r="J474" i="14"/>
  <c r="K474" i="14" s="1"/>
  <c r="J491" i="14"/>
  <c r="J669" i="14"/>
  <c r="K669" i="14" s="1"/>
  <c r="J672" i="14"/>
  <c r="J696" i="14" s="1"/>
  <c r="K677" i="14"/>
  <c r="M298" i="13"/>
  <c r="L309" i="13"/>
  <c r="L320" i="13"/>
  <c r="M330" i="13"/>
  <c r="M334" i="13"/>
  <c r="M388" i="13"/>
  <c r="L388" i="13"/>
  <c r="M390" i="13"/>
  <c r="L390" i="13"/>
  <c r="F152" i="14"/>
  <c r="H34" i="14"/>
  <c r="J81" i="14"/>
  <c r="K102" i="14"/>
  <c r="J143" i="14"/>
  <c r="K143" i="14" s="1"/>
  <c r="L413" i="13"/>
  <c r="M413" i="13"/>
  <c r="J230" i="14"/>
  <c r="J302" i="14"/>
  <c r="J319" i="14"/>
  <c r="J349" i="14"/>
  <c r="J350" i="14" s="1"/>
  <c r="K360" i="14" s="1"/>
  <c r="J391" i="14"/>
  <c r="K397" i="14" s="1"/>
  <c r="F523" i="14"/>
  <c r="H417" i="14"/>
  <c r="J454" i="14"/>
  <c r="J458" i="14" s="1"/>
  <c r="K458" i="14" s="1"/>
  <c r="J503" i="14"/>
  <c r="J562" i="14"/>
  <c r="K562" i="14" s="1"/>
  <c r="M391" i="13"/>
  <c r="L391" i="13"/>
  <c r="M393" i="13"/>
  <c r="J48" i="14"/>
  <c r="K66" i="14"/>
  <c r="K94" i="14"/>
  <c r="J108" i="14"/>
  <c r="K72" i="13" s="1"/>
  <c r="J115" i="14"/>
  <c r="J120" i="14"/>
  <c r="K78" i="13" s="1"/>
  <c r="I120" i="14"/>
  <c r="J167" i="14"/>
  <c r="K405" i="13" s="1"/>
  <c r="K207" i="14"/>
  <c r="L379" i="13"/>
  <c r="M379" i="13"/>
  <c r="J218" i="14"/>
  <c r="K218" i="14" s="1"/>
  <c r="J285" i="14"/>
  <c r="K293" i="14" s="1"/>
  <c r="J329" i="14"/>
  <c r="K329" i="14" s="1"/>
  <c r="K338" i="14"/>
  <c r="J360" i="14"/>
  <c r="F376" i="14"/>
  <c r="H362" i="14"/>
  <c r="J373" i="14"/>
  <c r="J407" i="14"/>
  <c r="K407" i="14" s="1"/>
  <c r="J415" i="14"/>
  <c r="J423" i="14"/>
  <c r="K428" i="14"/>
  <c r="J445" i="14"/>
  <c r="K445" i="14" s="1"/>
  <c r="J482" i="14"/>
  <c r="K482" i="14" s="1"/>
  <c r="K491" i="14"/>
  <c r="K522" i="14"/>
  <c r="J545" i="14"/>
  <c r="J571" i="14"/>
  <c r="K571" i="14" s="1"/>
  <c r="K621" i="14"/>
  <c r="K651" i="14"/>
  <c r="K444" i="13"/>
  <c r="M444" i="13" s="1"/>
  <c r="H172" i="14"/>
  <c r="J184" i="14"/>
  <c r="J189" i="14" s="1"/>
  <c r="K189" i="14" s="1"/>
  <c r="J588" i="14"/>
  <c r="K588" i="14" s="1"/>
  <c r="J599" i="14"/>
  <c r="K599" i="14" s="1"/>
  <c r="J651" i="14"/>
  <c r="K659" i="14"/>
  <c r="J688" i="14"/>
  <c r="K688" i="14"/>
  <c r="J510" i="14"/>
  <c r="J514" i="14" s="1"/>
  <c r="K514" i="14" s="1"/>
  <c r="J695" i="14"/>
  <c r="F35" i="41"/>
  <c r="M38" i="41" s="1"/>
  <c r="B27" i="28"/>
  <c r="AG27" i="28" s="1"/>
  <c r="AH27" i="28" s="1"/>
  <c r="AI27" i="28" s="1"/>
  <c r="B56" i="28"/>
  <c r="AG56" i="28" s="1"/>
  <c r="AH56" i="28" s="1"/>
  <c r="AI56" i="28" s="1"/>
  <c r="AD63" i="28"/>
  <c r="Z86" i="3" l="1"/>
  <c r="G121" i="12"/>
  <c r="G128" i="12" s="1"/>
  <c r="M698" i="10"/>
  <c r="I23" i="12"/>
  <c r="I226" i="12"/>
  <c r="AB121" i="11"/>
  <c r="Q166" i="10"/>
  <c r="M166" i="10"/>
  <c r="J135" i="12"/>
  <c r="AB176" i="11"/>
  <c r="C22" i="2"/>
  <c r="C25" i="2" s="1"/>
  <c r="AB52" i="11"/>
  <c r="AD52" i="11"/>
  <c r="F280" i="12"/>
  <c r="J280" i="12" s="1"/>
  <c r="M311" i="10"/>
  <c r="K143" i="10"/>
  <c r="M143" i="10"/>
  <c r="T19" i="1"/>
  <c r="U98" i="3"/>
  <c r="J148" i="10"/>
  <c r="M148" i="10" s="1"/>
  <c r="D28" i="9"/>
  <c r="O10" i="17"/>
  <c r="H8" i="1"/>
  <c r="J247" i="10"/>
  <c r="M247" i="10" s="1"/>
  <c r="Q172" i="10"/>
  <c r="H148" i="10"/>
  <c r="J403" i="10"/>
  <c r="J428" i="10"/>
  <c r="J405" i="10"/>
  <c r="J316" i="10"/>
  <c r="L104" i="11" s="1"/>
  <c r="J232" i="10"/>
  <c r="J215" i="10"/>
  <c r="J486" i="10"/>
  <c r="M486" i="10" s="1"/>
  <c r="P386" i="10"/>
  <c r="J44" i="11"/>
  <c r="M521" i="10"/>
  <c r="AD173" i="11"/>
  <c r="J519" i="10"/>
  <c r="H9" i="1" s="1"/>
  <c r="J516" i="10"/>
  <c r="J517" i="10" s="1"/>
  <c r="J591" i="10"/>
  <c r="AC228" i="11"/>
  <c r="AB192" i="11"/>
  <c r="J150" i="11"/>
  <c r="AB102" i="11"/>
  <c r="J464" i="10"/>
  <c r="J466" i="10" s="1"/>
  <c r="AB140" i="11"/>
  <c r="J381" i="10"/>
  <c r="J106" i="11"/>
  <c r="J385" i="10"/>
  <c r="AB76" i="11"/>
  <c r="AB53" i="11"/>
  <c r="AB13" i="11"/>
  <c r="J104" i="10"/>
  <c r="F32" i="1"/>
  <c r="H158" i="12"/>
  <c r="H192" i="12" s="1"/>
  <c r="L97" i="7"/>
  <c r="H55" i="12"/>
  <c r="O139" i="6"/>
  <c r="H8" i="8" s="1"/>
  <c r="P139" i="6"/>
  <c r="H10" i="8" s="1"/>
  <c r="N139" i="6"/>
  <c r="N141" i="6" s="1"/>
  <c r="H273" i="12"/>
  <c r="H110" i="12"/>
  <c r="L111" i="7"/>
  <c r="M148" i="7" s="1"/>
  <c r="O140" i="6" s="1"/>
  <c r="Q139" i="6"/>
  <c r="H12" i="8" s="1"/>
  <c r="L63" i="7"/>
  <c r="N148" i="7" s="1"/>
  <c r="O153" i="7" s="1"/>
  <c r="H25" i="12"/>
  <c r="K48" i="10"/>
  <c r="D10" i="9"/>
  <c r="F19" i="12"/>
  <c r="J19" i="12" s="1"/>
  <c r="F285" i="12"/>
  <c r="J285" i="12" s="1"/>
  <c r="Z35" i="3"/>
  <c r="J354" i="10"/>
  <c r="M354" i="10" s="1"/>
  <c r="J284" i="10"/>
  <c r="J266" i="10"/>
  <c r="J18" i="10"/>
  <c r="J170" i="10"/>
  <c r="M170" i="10" s="1"/>
  <c r="J258" i="10"/>
  <c r="AB164" i="11"/>
  <c r="L488" i="10"/>
  <c r="M488" i="10" s="1"/>
  <c r="J489" i="10"/>
  <c r="M489" i="10" s="1"/>
  <c r="AB206" i="11"/>
  <c r="AB183" i="11"/>
  <c r="AB90" i="11"/>
  <c r="N287" i="10"/>
  <c r="J289" i="10"/>
  <c r="M289" i="10" s="1"/>
  <c r="AB174" i="11"/>
  <c r="J521" i="10"/>
  <c r="AB181" i="11"/>
  <c r="F25" i="2"/>
  <c r="Z89" i="3"/>
  <c r="H102" i="3"/>
  <c r="U56" i="3"/>
  <c r="Z44" i="3"/>
  <c r="AA44" i="3" s="1"/>
  <c r="AB44" i="3" s="1"/>
  <c r="D23" i="1"/>
  <c r="AB151" i="11"/>
  <c r="AB125" i="11"/>
  <c r="J382" i="10"/>
  <c r="AD138" i="11"/>
  <c r="F238" i="12"/>
  <c r="I238" i="12" s="1"/>
  <c r="J444" i="10"/>
  <c r="M444" i="10" s="1"/>
  <c r="J167" i="10"/>
  <c r="AB228" i="11"/>
  <c r="J617" i="10"/>
  <c r="AD209" i="11" s="1"/>
  <c r="AB119" i="11"/>
  <c r="J359" i="10"/>
  <c r="M359" i="10" s="1"/>
  <c r="J442" i="10"/>
  <c r="M472" i="10"/>
  <c r="J336" i="10"/>
  <c r="F294" i="12" s="1"/>
  <c r="J317" i="10"/>
  <c r="J260" i="10"/>
  <c r="I280" i="12"/>
  <c r="AB158" i="11"/>
  <c r="J471" i="10"/>
  <c r="AB101" i="11"/>
  <c r="J310" i="10"/>
  <c r="M310" i="10" s="1"/>
  <c r="J161" i="11"/>
  <c r="J477" i="10"/>
  <c r="AB160" i="11"/>
  <c r="J474" i="10"/>
  <c r="AD172" i="11"/>
  <c r="J420" i="10"/>
  <c r="F239" i="12" s="1"/>
  <c r="AB138" i="11"/>
  <c r="G22" i="2"/>
  <c r="AB79" i="11"/>
  <c r="J264" i="10"/>
  <c r="AB80" i="11"/>
  <c r="J265" i="10"/>
  <c r="F94" i="12"/>
  <c r="I94" i="12" s="1"/>
  <c r="N235" i="10"/>
  <c r="AB68" i="11"/>
  <c r="J235" i="10"/>
  <c r="S54" i="11"/>
  <c r="J179" i="10"/>
  <c r="J19" i="11"/>
  <c r="J51" i="10"/>
  <c r="AB43" i="11"/>
  <c r="N134" i="10"/>
  <c r="U5" i="11"/>
  <c r="AD13" i="11"/>
  <c r="J38" i="11"/>
  <c r="J112" i="10"/>
  <c r="AB6" i="11"/>
  <c r="J17" i="10"/>
  <c r="M17" i="10" s="1"/>
  <c r="AB44" i="11"/>
  <c r="J133" i="10"/>
  <c r="J113" i="10"/>
  <c r="J39" i="11"/>
  <c r="P32" i="10"/>
  <c r="AB37" i="11"/>
  <c r="J108" i="10"/>
  <c r="J109" i="10"/>
  <c r="AB5" i="11"/>
  <c r="J16" i="10"/>
  <c r="M16" i="10" s="1"/>
  <c r="S3" i="11"/>
  <c r="J9" i="10"/>
  <c r="P23" i="12"/>
  <c r="M346" i="13"/>
  <c r="L346" i="13"/>
  <c r="L353" i="13"/>
  <c r="M353" i="13"/>
  <c r="M433" i="13"/>
  <c r="L433" i="13"/>
  <c r="AB202" i="11"/>
  <c r="J598" i="10"/>
  <c r="M598" i="10" s="1"/>
  <c r="L170" i="11"/>
  <c r="M507" i="10"/>
  <c r="J508" i="10"/>
  <c r="AB223" i="11"/>
  <c r="J650" i="10"/>
  <c r="AB203" i="11"/>
  <c r="J605" i="10"/>
  <c r="AB118" i="11"/>
  <c r="J358" i="10"/>
  <c r="M358" i="10" s="1"/>
  <c r="J288" i="10"/>
  <c r="M288" i="10" s="1"/>
  <c r="AB89" i="11"/>
  <c r="AB60" i="11"/>
  <c r="J188" i="10"/>
  <c r="M188" i="10" s="1"/>
  <c r="AB36" i="11"/>
  <c r="J107" i="10"/>
  <c r="J661" i="10"/>
  <c r="M661" i="10" s="1"/>
  <c r="J227" i="11"/>
  <c r="AB194" i="11"/>
  <c r="J582" i="10"/>
  <c r="M582" i="10" s="1"/>
  <c r="AD120" i="11"/>
  <c r="F231" i="12"/>
  <c r="J14" i="12"/>
  <c r="X14" i="12"/>
  <c r="I14" i="12"/>
  <c r="J178" i="12"/>
  <c r="I178" i="12"/>
  <c r="I105" i="12"/>
  <c r="J105" i="12"/>
  <c r="J134" i="11"/>
  <c r="J400" i="10"/>
  <c r="J236" i="12"/>
  <c r="I236" i="12"/>
  <c r="J341" i="10"/>
  <c r="J112" i="11"/>
  <c r="L81" i="11"/>
  <c r="AB65" i="11"/>
  <c r="J204" i="10"/>
  <c r="J16" i="12"/>
  <c r="I16" i="12"/>
  <c r="Z15" i="3"/>
  <c r="M517" i="10"/>
  <c r="L151" i="11"/>
  <c r="M449" i="10"/>
  <c r="L114" i="11"/>
  <c r="U176" i="11"/>
  <c r="J12" i="11"/>
  <c r="J31" i="10"/>
  <c r="AB210" i="11"/>
  <c r="J618" i="10"/>
  <c r="Q169" i="10"/>
  <c r="F95" i="12"/>
  <c r="AD49" i="11"/>
  <c r="J151" i="12"/>
  <c r="I151" i="12"/>
  <c r="J697" i="14"/>
  <c r="K696" i="14" s="1"/>
  <c r="M405" i="13"/>
  <c r="L405" i="13"/>
  <c r="M72" i="13"/>
  <c r="L72" i="13"/>
  <c r="J34" i="14"/>
  <c r="H152" i="14"/>
  <c r="M344" i="13"/>
  <c r="L344" i="13"/>
  <c r="L355" i="13"/>
  <c r="M355" i="13"/>
  <c r="L366" i="13"/>
  <c r="M366" i="13"/>
  <c r="J121" i="14"/>
  <c r="K545" i="14"/>
  <c r="L116" i="13"/>
  <c r="M116" i="13"/>
  <c r="L426" i="13"/>
  <c r="M426" i="13"/>
  <c r="M127" i="13"/>
  <c r="L127" i="13"/>
  <c r="AB220" i="11"/>
  <c r="J641" i="10"/>
  <c r="AB208" i="11"/>
  <c r="J616" i="10"/>
  <c r="AB199" i="11"/>
  <c r="J595" i="10"/>
  <c r="M595" i="10" s="1"/>
  <c r="AB189" i="11"/>
  <c r="J570" i="10"/>
  <c r="J181" i="11"/>
  <c r="J548" i="10"/>
  <c r="J648" i="10"/>
  <c r="AB221" i="11"/>
  <c r="J206" i="11"/>
  <c r="J610" i="10"/>
  <c r="AB190" i="11"/>
  <c r="J578" i="10"/>
  <c r="M578" i="10" s="1"/>
  <c r="J176" i="11"/>
  <c r="J534" i="10"/>
  <c r="J538" i="10" s="1"/>
  <c r="J480" i="10"/>
  <c r="AB161" i="11"/>
  <c r="S137" i="11"/>
  <c r="J410" i="10"/>
  <c r="M410" i="10" s="1"/>
  <c r="AB126" i="11"/>
  <c r="J372" i="10"/>
  <c r="M372" i="10" s="1"/>
  <c r="AB100" i="11"/>
  <c r="J309" i="10"/>
  <c r="M309" i="10" s="1"/>
  <c r="J84" i="11"/>
  <c r="J272" i="10"/>
  <c r="J66" i="11"/>
  <c r="J201" i="10"/>
  <c r="AB58" i="11"/>
  <c r="J186" i="10"/>
  <c r="M186" i="10" s="1"/>
  <c r="J54" i="11"/>
  <c r="J176" i="10"/>
  <c r="J80" i="10"/>
  <c r="J30" i="11"/>
  <c r="AB25" i="11"/>
  <c r="J73" i="10"/>
  <c r="AB21" i="11"/>
  <c r="J63" i="10"/>
  <c r="AB225" i="11"/>
  <c r="J657" i="10"/>
  <c r="L214" i="11"/>
  <c r="J187" i="11"/>
  <c r="J564" i="10"/>
  <c r="F254" i="12"/>
  <c r="AD165" i="11"/>
  <c r="F303" i="12"/>
  <c r="AD147" i="11"/>
  <c r="M443" i="10"/>
  <c r="J279" i="12"/>
  <c r="I279" i="12"/>
  <c r="J300" i="10"/>
  <c r="AB96" i="11"/>
  <c r="AB88" i="11"/>
  <c r="J287" i="10"/>
  <c r="M287" i="10" s="1"/>
  <c r="J183" i="10"/>
  <c r="M183" i="10" s="1"/>
  <c r="AB55" i="11"/>
  <c r="AB48" i="11"/>
  <c r="J168" i="10"/>
  <c r="M168" i="10" s="1"/>
  <c r="H147" i="10"/>
  <c r="H246" i="10"/>
  <c r="M10" i="17"/>
  <c r="L44" i="11"/>
  <c r="N130" i="10"/>
  <c r="D19" i="9"/>
  <c r="AD8" i="11"/>
  <c r="L145" i="7"/>
  <c r="O148" i="7" s="1"/>
  <c r="Q140" i="6" s="1"/>
  <c r="H227" i="12"/>
  <c r="AB155" i="11"/>
  <c r="J458" i="10"/>
  <c r="J133" i="11"/>
  <c r="J399" i="10"/>
  <c r="AB94" i="11"/>
  <c r="J298" i="10"/>
  <c r="J118" i="10"/>
  <c r="M118" i="10" s="1"/>
  <c r="AB40" i="11"/>
  <c r="J110" i="14"/>
  <c r="K110" i="14" s="1"/>
  <c r="M25" i="13"/>
  <c r="L25" i="13"/>
  <c r="AB184" i="11"/>
  <c r="AB178" i="11"/>
  <c r="J558" i="10"/>
  <c r="M558" i="10" s="1"/>
  <c r="F211" i="12"/>
  <c r="AD157" i="11"/>
  <c r="M465" i="10"/>
  <c r="F206" i="12"/>
  <c r="M453" i="10"/>
  <c r="AD150" i="11"/>
  <c r="F269" i="12"/>
  <c r="AD141" i="11"/>
  <c r="M427" i="10"/>
  <c r="F204" i="12"/>
  <c r="AD133" i="11"/>
  <c r="AD132" i="11"/>
  <c r="F298" i="12"/>
  <c r="AB95" i="11"/>
  <c r="J299" i="10"/>
  <c r="J277" i="10"/>
  <c r="AB85" i="11"/>
  <c r="U80" i="11"/>
  <c r="L79" i="11"/>
  <c r="AB74" i="11"/>
  <c r="J225" i="10"/>
  <c r="AB64" i="11"/>
  <c r="J197" i="10"/>
  <c r="E20" i="9"/>
  <c r="F20" i="9" s="1"/>
  <c r="AB41" i="11"/>
  <c r="J119" i="10"/>
  <c r="L199" i="11"/>
  <c r="U175" i="11"/>
  <c r="AD146" i="11"/>
  <c r="F103" i="12"/>
  <c r="AD73" i="11"/>
  <c r="F60" i="12"/>
  <c r="AD28" i="11"/>
  <c r="F5" i="12"/>
  <c r="AD3" i="11"/>
  <c r="N15" i="10"/>
  <c r="AB215" i="11"/>
  <c r="J629" i="10"/>
  <c r="M629" i="10" s="1"/>
  <c r="AD171" i="11"/>
  <c r="F257" i="12"/>
  <c r="M513" i="10"/>
  <c r="AB168" i="11"/>
  <c r="J500" i="10"/>
  <c r="F270" i="12"/>
  <c r="AD142" i="11"/>
  <c r="M428" i="10"/>
  <c r="F203" i="12"/>
  <c r="AD134" i="11"/>
  <c r="AB97" i="11"/>
  <c r="J301" i="10"/>
  <c r="AB83" i="11"/>
  <c r="J275" i="10"/>
  <c r="AB62" i="11"/>
  <c r="J195" i="10"/>
  <c r="F98" i="12"/>
  <c r="Q173" i="10"/>
  <c r="AD53" i="11"/>
  <c r="AB39" i="11"/>
  <c r="J117" i="10"/>
  <c r="F33" i="12"/>
  <c r="AD20" i="11"/>
  <c r="J9" i="11"/>
  <c r="J22" i="10"/>
  <c r="D38" i="17"/>
  <c r="E38" i="17" s="1"/>
  <c r="S38" i="17" s="1"/>
  <c r="U38" i="17" s="1"/>
  <c r="U29" i="3"/>
  <c r="J218" i="11"/>
  <c r="J634" i="10"/>
  <c r="F130" i="12"/>
  <c r="AD180" i="11"/>
  <c r="AD175" i="11"/>
  <c r="AB29" i="11"/>
  <c r="J83" i="10"/>
  <c r="J4" i="11"/>
  <c r="J7" i="10"/>
  <c r="M7" i="10" s="1"/>
  <c r="J120" i="12"/>
  <c r="I120" i="12"/>
  <c r="G31" i="4"/>
  <c r="G32" i="4" s="1"/>
  <c r="G30" i="4"/>
  <c r="AA50" i="3"/>
  <c r="AB50" i="3" s="1"/>
  <c r="I149" i="12"/>
  <c r="J149" i="12"/>
  <c r="O31" i="1"/>
  <c r="H31" i="3"/>
  <c r="AA18" i="3" s="1"/>
  <c r="I152" i="12"/>
  <c r="J152" i="12"/>
  <c r="M342" i="13"/>
  <c r="L342" i="13"/>
  <c r="L439" i="13"/>
  <c r="M439" i="13"/>
  <c r="AB218" i="11"/>
  <c r="J639" i="10"/>
  <c r="M639" i="10" s="1"/>
  <c r="AB187" i="11"/>
  <c r="J568" i="10"/>
  <c r="AB207" i="11"/>
  <c r="J615" i="10"/>
  <c r="AB163" i="11"/>
  <c r="J482" i="10"/>
  <c r="J130" i="11"/>
  <c r="J390" i="10"/>
  <c r="S103" i="11"/>
  <c r="J320" i="10"/>
  <c r="H146" i="10"/>
  <c r="J184" i="10"/>
  <c r="M184" i="10" s="1"/>
  <c r="AB56" i="11"/>
  <c r="H245" i="10"/>
  <c r="J245" i="10" s="1"/>
  <c r="M245" i="10" s="1"/>
  <c r="J65" i="10"/>
  <c r="AB23" i="11"/>
  <c r="AB214" i="11"/>
  <c r="J628" i="10"/>
  <c r="M628" i="10" s="1"/>
  <c r="AB179" i="11"/>
  <c r="AB185" i="11"/>
  <c r="J559" i="10"/>
  <c r="M559" i="10" s="1"/>
  <c r="F305" i="12"/>
  <c r="AD149" i="11"/>
  <c r="M445" i="10"/>
  <c r="L83" i="11"/>
  <c r="AB144" i="11"/>
  <c r="J435" i="10"/>
  <c r="L158" i="11"/>
  <c r="J469" i="10"/>
  <c r="M468" i="10"/>
  <c r="AB145" i="11"/>
  <c r="J436" i="10"/>
  <c r="U104" i="11"/>
  <c r="AB92" i="11"/>
  <c r="J291" i="10"/>
  <c r="M291" i="10" s="1"/>
  <c r="J76" i="11"/>
  <c r="J229" i="10"/>
  <c r="L22" i="11"/>
  <c r="I235" i="12"/>
  <c r="J235" i="12"/>
  <c r="AB84" i="11"/>
  <c r="J276" i="10"/>
  <c r="K5" i="16"/>
  <c r="AD42" i="11"/>
  <c r="J168" i="11"/>
  <c r="J495" i="10"/>
  <c r="AB154" i="11"/>
  <c r="J457" i="10"/>
  <c r="AB130" i="11"/>
  <c r="J394" i="10"/>
  <c r="F292" i="12"/>
  <c r="AD108" i="11"/>
  <c r="D31" i="9"/>
  <c r="F72" i="12"/>
  <c r="AD67" i="11"/>
  <c r="F93" i="12"/>
  <c r="I22" i="12"/>
  <c r="J22" i="12"/>
  <c r="J26" i="10"/>
  <c r="M26" i="10" s="1"/>
  <c r="AB9" i="11"/>
  <c r="J150" i="12"/>
  <c r="I150" i="12"/>
  <c r="I6" i="8"/>
  <c r="E34" i="9"/>
  <c r="K236" i="14"/>
  <c r="M341" i="13"/>
  <c r="L341" i="13"/>
  <c r="M345" i="13"/>
  <c r="L345" i="13"/>
  <c r="L438" i="13"/>
  <c r="M438" i="13"/>
  <c r="L356" i="13"/>
  <c r="M356" i="13"/>
  <c r="L367" i="13"/>
  <c r="M367" i="13"/>
  <c r="M400" i="13"/>
  <c r="L400" i="13"/>
  <c r="L446" i="13"/>
  <c r="M446" i="13"/>
  <c r="K417" i="13"/>
  <c r="L261" i="13"/>
  <c r="M261" i="13"/>
  <c r="L219" i="13"/>
  <c r="M219" i="13"/>
  <c r="AB219" i="11"/>
  <c r="J640" i="10"/>
  <c r="J203" i="11"/>
  <c r="J601" i="10"/>
  <c r="S190" i="11"/>
  <c r="J575" i="10"/>
  <c r="AB188" i="11"/>
  <c r="J569" i="10"/>
  <c r="J180" i="11"/>
  <c r="J547" i="10"/>
  <c r="M547" i="10" s="1"/>
  <c r="J224" i="11"/>
  <c r="J653" i="10"/>
  <c r="AB211" i="11"/>
  <c r="J619" i="10"/>
  <c r="AB205" i="11"/>
  <c r="J607" i="10"/>
  <c r="M607" i="10" s="1"/>
  <c r="J175" i="11"/>
  <c r="J533" i="10"/>
  <c r="J143" i="11"/>
  <c r="J431" i="10"/>
  <c r="J137" i="11"/>
  <c r="J409" i="10"/>
  <c r="AB123" i="11"/>
  <c r="J370" i="10"/>
  <c r="M370" i="10" s="1"/>
  <c r="I8" i="16"/>
  <c r="J356" i="10"/>
  <c r="M356" i="10" s="1"/>
  <c r="AB116" i="11"/>
  <c r="AB112" i="11"/>
  <c r="J352" i="10"/>
  <c r="M352" i="10" s="1"/>
  <c r="J94" i="11"/>
  <c r="J295" i="10"/>
  <c r="J65" i="11"/>
  <c r="J200" i="10"/>
  <c r="AB57" i="11"/>
  <c r="J185" i="10"/>
  <c r="M185" i="10" s="1"/>
  <c r="J47" i="11"/>
  <c r="J163" i="10"/>
  <c r="J79" i="10"/>
  <c r="J29" i="11"/>
  <c r="AB24" i="11"/>
  <c r="J72" i="10"/>
  <c r="F32" i="12"/>
  <c r="J145" i="10"/>
  <c r="M145" i="10" s="1"/>
  <c r="F187" i="12"/>
  <c r="J688" i="10"/>
  <c r="M688" i="10" s="1"/>
  <c r="AB198" i="11"/>
  <c r="J586" i="10"/>
  <c r="M586" i="10" s="1"/>
  <c r="J167" i="11"/>
  <c r="J494" i="10"/>
  <c r="L150" i="11"/>
  <c r="M448" i="10"/>
  <c r="J451" i="10"/>
  <c r="AB136" i="11"/>
  <c r="J406" i="10"/>
  <c r="AB115" i="11"/>
  <c r="J355" i="10"/>
  <c r="M355" i="10" s="1"/>
  <c r="AB105" i="11"/>
  <c r="J326" i="10"/>
  <c r="AD102" i="11"/>
  <c r="J98" i="11"/>
  <c r="J304" i="10"/>
  <c r="F251" i="12"/>
  <c r="AD93" i="11"/>
  <c r="O292" i="10"/>
  <c r="J88" i="11"/>
  <c r="J282" i="10"/>
  <c r="AB66" i="11"/>
  <c r="J205" i="10"/>
  <c r="AB33" i="11"/>
  <c r="J92" i="10"/>
  <c r="AB31" i="11"/>
  <c r="J85" i="10"/>
  <c r="M85" i="10" s="1"/>
  <c r="AB4" i="11"/>
  <c r="J15" i="10"/>
  <c r="M15" i="10" s="1"/>
  <c r="J6" i="10"/>
  <c r="J3" i="11"/>
  <c r="AB107" i="11"/>
  <c r="J328" i="10"/>
  <c r="M33" i="13"/>
  <c r="L33" i="13"/>
  <c r="K20" i="14"/>
  <c r="J190" i="12"/>
  <c r="I190" i="12"/>
  <c r="AD230" i="11"/>
  <c r="AB224" i="11"/>
  <c r="J656" i="10"/>
  <c r="AB213" i="11"/>
  <c r="J627" i="10"/>
  <c r="M627" i="10" s="1"/>
  <c r="F115" i="12"/>
  <c r="AD193" i="11"/>
  <c r="AD177" i="11"/>
  <c r="AD182" i="11"/>
  <c r="J282" i="12"/>
  <c r="I282" i="12"/>
  <c r="AB169" i="11"/>
  <c r="J501" i="10"/>
  <c r="AB122" i="11"/>
  <c r="J369" i="10"/>
  <c r="M369" i="10" s="1"/>
  <c r="F293" i="12"/>
  <c r="AD109" i="11"/>
  <c r="J87" i="11"/>
  <c r="J281" i="10"/>
  <c r="F108" i="12"/>
  <c r="N215" i="10"/>
  <c r="N218" i="10" s="1"/>
  <c r="AD69" i="11"/>
  <c r="I50" i="17"/>
  <c r="Q50" i="17" s="1"/>
  <c r="S50" i="17" s="1"/>
  <c r="U50" i="17" s="1"/>
  <c r="Q162" i="10"/>
  <c r="L46" i="11"/>
  <c r="J34" i="12"/>
  <c r="I34" i="12"/>
  <c r="I54" i="12"/>
  <c r="J54" i="12"/>
  <c r="AB15" i="11"/>
  <c r="J37" i="10"/>
  <c r="J20" i="4"/>
  <c r="F11" i="1"/>
  <c r="K9" i="16"/>
  <c r="F141" i="12"/>
  <c r="AD204" i="11"/>
  <c r="F186" i="12"/>
  <c r="AD229" i="11"/>
  <c r="AB226" i="11"/>
  <c r="J658" i="10"/>
  <c r="F161" i="12"/>
  <c r="AB195" i="11"/>
  <c r="J583" i="10"/>
  <c r="M583" i="10" s="1"/>
  <c r="F133" i="12"/>
  <c r="AD183" i="11"/>
  <c r="AB166" i="11"/>
  <c r="J491" i="10"/>
  <c r="L490" i="10"/>
  <c r="M490" i="10" s="1"/>
  <c r="F210" i="12"/>
  <c r="AD156" i="11"/>
  <c r="AB143" i="11"/>
  <c r="J434" i="10"/>
  <c r="F268" i="12"/>
  <c r="AD140" i="11"/>
  <c r="J429" i="10"/>
  <c r="M426" i="10"/>
  <c r="F233" i="12"/>
  <c r="AD127" i="11"/>
  <c r="S112" i="11"/>
  <c r="J346" i="10"/>
  <c r="AB106" i="11"/>
  <c r="J327" i="10"/>
  <c r="L80" i="11"/>
  <c r="F88" i="12"/>
  <c r="AD76" i="11"/>
  <c r="AD70" i="11"/>
  <c r="I107" i="12"/>
  <c r="J107" i="12"/>
  <c r="J24" i="12"/>
  <c r="I24" i="12"/>
  <c r="F27" i="12"/>
  <c r="AD34" i="11"/>
  <c r="J21" i="11"/>
  <c r="J58" i="10"/>
  <c r="M58" i="10" s="1"/>
  <c r="E10" i="9"/>
  <c r="F10" i="9" s="1"/>
  <c r="F39" i="12"/>
  <c r="AD11" i="11"/>
  <c r="H259" i="12"/>
  <c r="D32" i="17"/>
  <c r="E32" i="17" s="1"/>
  <c r="U24" i="3"/>
  <c r="J701" i="10"/>
  <c r="M701" i="10" s="1"/>
  <c r="J146" i="11"/>
  <c r="J439" i="10"/>
  <c r="AB131" i="11"/>
  <c r="J395" i="10"/>
  <c r="AB71" i="11"/>
  <c r="J216" i="10"/>
  <c r="D47" i="9"/>
  <c r="I146" i="12"/>
  <c r="J146" i="12"/>
  <c r="C18" i="2"/>
  <c r="G18" i="2" s="1"/>
  <c r="G14" i="2"/>
  <c r="J157" i="12"/>
  <c r="I157" i="12"/>
  <c r="G64" i="12"/>
  <c r="X17" i="12"/>
  <c r="AA62" i="3"/>
  <c r="AB62" i="3" s="1"/>
  <c r="L84" i="3"/>
  <c r="E30" i="4"/>
  <c r="E31" i="4" s="1"/>
  <c r="E32" i="4" s="1"/>
  <c r="E26" i="4"/>
  <c r="J362" i="14"/>
  <c r="H376" i="14"/>
  <c r="M78" i="13"/>
  <c r="L78" i="13"/>
  <c r="AB232" i="11"/>
  <c r="J675" i="10"/>
  <c r="M675" i="10" s="1"/>
  <c r="J191" i="11"/>
  <c r="J574" i="10"/>
  <c r="I217" i="12"/>
  <c r="J217" i="12"/>
  <c r="AB27" i="11"/>
  <c r="J75" i="10"/>
  <c r="AB153" i="11"/>
  <c r="I455" i="10"/>
  <c r="J456" i="10"/>
  <c r="E31" i="9"/>
  <c r="K243" i="10"/>
  <c r="K6" i="16"/>
  <c r="AD43" i="11"/>
  <c r="J128" i="10"/>
  <c r="H11" i="1"/>
  <c r="F155" i="12"/>
  <c r="AD231" i="11"/>
  <c r="AD135" i="11"/>
  <c r="AD77" i="11"/>
  <c r="F87" i="12"/>
  <c r="AD139" i="11"/>
  <c r="F256" i="12"/>
  <c r="AD170" i="11"/>
  <c r="J514" i="10"/>
  <c r="M511" i="10"/>
  <c r="F276" i="12"/>
  <c r="N315" i="10"/>
  <c r="N316" i="10" s="1"/>
  <c r="AD99" i="11"/>
  <c r="J192" i="10"/>
  <c r="L61" i="11"/>
  <c r="J169" i="11"/>
  <c r="J496" i="10"/>
  <c r="H6" i="8"/>
  <c r="I102" i="3"/>
  <c r="H148" i="14"/>
  <c r="H247" i="14"/>
  <c r="J172" i="14"/>
  <c r="K121" i="14"/>
  <c r="J417" i="14"/>
  <c r="H523" i="14"/>
  <c r="K87" i="14"/>
  <c r="M343" i="13"/>
  <c r="L343" i="13"/>
  <c r="L360" i="13"/>
  <c r="M360" i="13"/>
  <c r="L440" i="13"/>
  <c r="M440" i="13"/>
  <c r="L354" i="13"/>
  <c r="M354" i="13"/>
  <c r="L365" i="13"/>
  <c r="M365" i="13"/>
  <c r="L359" i="13"/>
  <c r="M359" i="13"/>
  <c r="M402" i="13"/>
  <c r="L402" i="13"/>
  <c r="M188" i="13"/>
  <c r="L188" i="13"/>
  <c r="M389" i="13"/>
  <c r="L389" i="13"/>
  <c r="J221" i="11"/>
  <c r="J645" i="10"/>
  <c r="M645" i="10" s="1"/>
  <c r="L213" i="11"/>
  <c r="J625" i="10"/>
  <c r="M625" i="10" s="1"/>
  <c r="AB200" i="11"/>
  <c r="J596" i="10"/>
  <c r="M596" i="10" s="1"/>
  <c r="J190" i="11"/>
  <c r="J573" i="10"/>
  <c r="M573" i="10" s="1"/>
  <c r="J550" i="10"/>
  <c r="J182" i="11"/>
  <c r="AB222" i="11"/>
  <c r="J649" i="10"/>
  <c r="M649" i="10" s="1"/>
  <c r="J207" i="11"/>
  <c r="J611" i="10"/>
  <c r="M611" i="10" s="1"/>
  <c r="AB191" i="11"/>
  <c r="J579" i="10"/>
  <c r="M579" i="10" s="1"/>
  <c r="AB186" i="11"/>
  <c r="J560" i="10"/>
  <c r="M560" i="10" s="1"/>
  <c r="AB162" i="11"/>
  <c r="J481" i="10"/>
  <c r="J411" i="10"/>
  <c r="M411" i="10" s="1"/>
  <c r="J138" i="11"/>
  <c r="J124" i="11"/>
  <c r="J375" i="10"/>
  <c r="AB117" i="11"/>
  <c r="J357" i="10"/>
  <c r="M357" i="10" s="1"/>
  <c r="J315" i="10"/>
  <c r="J103" i="11"/>
  <c r="S87" i="11"/>
  <c r="J283" i="10"/>
  <c r="J72" i="11"/>
  <c r="J220" i="10"/>
  <c r="AB59" i="11"/>
  <c r="J187" i="10"/>
  <c r="M187" i="10" s="1"/>
  <c r="J55" i="11"/>
  <c r="J177" i="10"/>
  <c r="J97" i="10"/>
  <c r="AB35" i="11"/>
  <c r="J35" i="11"/>
  <c r="AB26" i="11"/>
  <c r="J74" i="10"/>
  <c r="AB22" i="11"/>
  <c r="J64" i="10"/>
  <c r="AB129" i="11"/>
  <c r="J393" i="10"/>
  <c r="J113" i="11"/>
  <c r="J342" i="10"/>
  <c r="AB98" i="11"/>
  <c r="J307" i="10"/>
  <c r="M307" i="10" s="1"/>
  <c r="AB86" i="11"/>
  <c r="J278" i="10"/>
  <c r="F265" i="12"/>
  <c r="AD82" i="11"/>
  <c r="I104" i="12"/>
  <c r="J104" i="12"/>
  <c r="J194" i="10"/>
  <c r="AB61" i="11"/>
  <c r="F10" i="12"/>
  <c r="AD38" i="11"/>
  <c r="J33" i="11"/>
  <c r="J89" i="10"/>
  <c r="M10" i="13"/>
  <c r="L10" i="13"/>
  <c r="L231" i="11"/>
  <c r="J672" i="10"/>
  <c r="D46" i="9"/>
  <c r="AB217" i="11"/>
  <c r="J631" i="10"/>
  <c r="M631" i="10" s="1"/>
  <c r="AB197" i="11"/>
  <c r="J585" i="10"/>
  <c r="M585" i="10" s="1"/>
  <c r="L129" i="11"/>
  <c r="S114" i="11"/>
  <c r="J348" i="10"/>
  <c r="F295" i="12"/>
  <c r="AD111" i="11"/>
  <c r="AB104" i="11"/>
  <c r="J325" i="10"/>
  <c r="F245" i="12"/>
  <c r="AD87" i="11"/>
  <c r="I90" i="12"/>
  <c r="J90" i="12"/>
  <c r="AB54" i="11"/>
  <c r="J182" i="10"/>
  <c r="M182" i="10" s="1"/>
  <c r="AB51" i="11"/>
  <c r="J171" i="10"/>
  <c r="M171" i="10" s="1"/>
  <c r="J42" i="11"/>
  <c r="J123" i="10"/>
  <c r="M123" i="10" s="1"/>
  <c r="AB30" i="11"/>
  <c r="J84" i="10"/>
  <c r="M84" i="10" s="1"/>
  <c r="AB19" i="11"/>
  <c r="J54" i="10"/>
  <c r="AB10" i="11"/>
  <c r="J27" i="10"/>
  <c r="M27" i="10" s="1"/>
  <c r="Z52" i="3"/>
  <c r="AA52" i="3" s="1"/>
  <c r="AB52" i="3" s="1"/>
  <c r="D36" i="17"/>
  <c r="E36" i="17" s="1"/>
  <c r="U27" i="3"/>
  <c r="AB216" i="11"/>
  <c r="J630" i="10"/>
  <c r="AB196" i="11"/>
  <c r="J584" i="10"/>
  <c r="M584" i="10" s="1"/>
  <c r="F229" i="12"/>
  <c r="AD121" i="11"/>
  <c r="N368" i="10"/>
  <c r="N369" i="10" s="1"/>
  <c r="AB103" i="11"/>
  <c r="J324" i="10"/>
  <c r="J196" i="10"/>
  <c r="AB63" i="11"/>
  <c r="N197" i="10"/>
  <c r="F184" i="12"/>
  <c r="AD227" i="11"/>
  <c r="F163" i="12"/>
  <c r="AD206" i="11"/>
  <c r="O615" i="10"/>
  <c r="F122" i="12"/>
  <c r="AD192" i="11"/>
  <c r="F131" i="12"/>
  <c r="AD176" i="11"/>
  <c r="AD181" i="11"/>
  <c r="J156" i="11"/>
  <c r="J461" i="10"/>
  <c r="AD151" i="11"/>
  <c r="F207" i="12"/>
  <c r="M454" i="10"/>
  <c r="J140" i="11"/>
  <c r="J423" i="10"/>
  <c r="H523" i="10"/>
  <c r="J417" i="10"/>
  <c r="AB137" i="11"/>
  <c r="U124" i="11"/>
  <c r="L120" i="11"/>
  <c r="J376" i="10"/>
  <c r="J108" i="11"/>
  <c r="J331" i="10"/>
  <c r="F249" i="12"/>
  <c r="AD91" i="11"/>
  <c r="AB72" i="11"/>
  <c r="J223" i="10"/>
  <c r="AB32" i="11"/>
  <c r="J86" i="10"/>
  <c r="P21" i="12"/>
  <c r="I4" i="16"/>
  <c r="J36" i="10"/>
  <c r="AB14" i="11"/>
  <c r="J34" i="10"/>
  <c r="H152" i="10"/>
  <c r="AB12" i="11"/>
  <c r="J18" i="4"/>
  <c r="H32" i="3"/>
  <c r="F8" i="1"/>
  <c r="I188" i="12"/>
  <c r="J188" i="12"/>
  <c r="U113" i="11"/>
  <c r="J75" i="11"/>
  <c r="J228" i="10"/>
  <c r="L24" i="11"/>
  <c r="K148" i="7"/>
  <c r="H104" i="3"/>
  <c r="I153" i="12"/>
  <c r="J153" i="12"/>
  <c r="F75" i="17"/>
  <c r="D31" i="1"/>
  <c r="D38" i="1"/>
  <c r="I64" i="3"/>
  <c r="Z97" i="3" l="1"/>
  <c r="AA86" i="3" s="1"/>
  <c r="AB86" i="3" s="1"/>
  <c r="J238" i="12"/>
  <c r="M409" i="10"/>
  <c r="J415" i="10"/>
  <c r="M415" i="10" s="1"/>
  <c r="AD47" i="11"/>
  <c r="M167" i="10"/>
  <c r="F9" i="12"/>
  <c r="M18" i="10"/>
  <c r="F14" i="1"/>
  <c r="F89" i="12"/>
  <c r="J89" i="12" s="1"/>
  <c r="J164" i="10"/>
  <c r="I19" i="12"/>
  <c r="N170" i="10"/>
  <c r="N171" i="10" s="1"/>
  <c r="J273" i="10"/>
  <c r="U79" i="11"/>
  <c r="J105" i="10"/>
  <c r="E715" i="10"/>
  <c r="E716" i="10" s="1"/>
  <c r="J391" i="10"/>
  <c r="F225" i="12"/>
  <c r="J225" i="12" s="1"/>
  <c r="J593" i="10"/>
  <c r="L200" i="11"/>
  <c r="J94" i="12"/>
  <c r="M464" i="10"/>
  <c r="J407" i="10"/>
  <c r="F205" i="12"/>
  <c r="I205" i="12" s="1"/>
  <c r="F86" i="12"/>
  <c r="J86" i="12" s="1"/>
  <c r="AD75" i="11"/>
  <c r="F106" i="12"/>
  <c r="J106" i="12" s="1"/>
  <c r="J218" i="10"/>
  <c r="J487" i="10"/>
  <c r="D70" i="9" s="1"/>
  <c r="L164" i="11"/>
  <c r="H14" i="1"/>
  <c r="H31" i="1" s="1"/>
  <c r="E77" i="17" s="1"/>
  <c r="E79" i="17" s="1"/>
  <c r="E80" i="17" s="1"/>
  <c r="E84" i="17" s="1"/>
  <c r="M520" i="10"/>
  <c r="J522" i="10"/>
  <c r="M523" i="10" s="1"/>
  <c r="L172" i="11"/>
  <c r="I285" i="12"/>
  <c r="O618" i="10"/>
  <c r="J666" i="10"/>
  <c r="M666" i="10" s="1"/>
  <c r="J643" i="10"/>
  <c r="M643" i="10" s="1"/>
  <c r="J262" i="10"/>
  <c r="F304" i="12"/>
  <c r="I304" i="12" s="1"/>
  <c r="I225" i="12"/>
  <c r="AD148" i="11"/>
  <c r="M420" i="10"/>
  <c r="AD124" i="11"/>
  <c r="I68" i="17"/>
  <c r="Q68" i="17" s="1"/>
  <c r="S68" i="17" s="1"/>
  <c r="U68" i="17" s="1"/>
  <c r="D16" i="9"/>
  <c r="AD7" i="11"/>
  <c r="I10" i="17"/>
  <c r="L36" i="11"/>
  <c r="H308" i="12"/>
  <c r="H319" i="12" s="1"/>
  <c r="H64" i="12"/>
  <c r="H309" i="12" s="1"/>
  <c r="G309" i="12"/>
  <c r="R139" i="6"/>
  <c r="M65" i="7"/>
  <c r="P140" i="6"/>
  <c r="I10" i="8" s="1"/>
  <c r="E33" i="2" s="1"/>
  <c r="I8" i="8"/>
  <c r="D33" i="2" s="1"/>
  <c r="O141" i="6"/>
  <c r="J677" i="10"/>
  <c r="M677" i="10" s="1"/>
  <c r="J121" i="10"/>
  <c r="M121" i="10" s="1"/>
  <c r="AD50" i="11"/>
  <c r="F96" i="12"/>
  <c r="S167" i="10"/>
  <c r="J498" i="10"/>
  <c r="L14" i="3"/>
  <c r="L100" i="3" s="1"/>
  <c r="AD114" i="11"/>
  <c r="F215" i="12"/>
  <c r="L89" i="11"/>
  <c r="AD81" i="11"/>
  <c r="F266" i="12"/>
  <c r="J266" i="12" s="1"/>
  <c r="J20" i="10"/>
  <c r="Q170" i="10"/>
  <c r="J446" i="10"/>
  <c r="E65" i="9" s="1"/>
  <c r="AD164" i="11"/>
  <c r="F253" i="12"/>
  <c r="F248" i="12"/>
  <c r="AD90" i="11"/>
  <c r="M522" i="10"/>
  <c r="AD174" i="11"/>
  <c r="F283" i="12"/>
  <c r="AA85" i="3"/>
  <c r="AB85" i="3" s="1"/>
  <c r="AA94" i="3"/>
  <c r="AB94" i="3" s="1"/>
  <c r="I31" i="3"/>
  <c r="U37" i="3"/>
  <c r="U39" i="3" s="1"/>
  <c r="J621" i="10"/>
  <c r="J373" i="10"/>
  <c r="M373" i="10" s="1"/>
  <c r="F237" i="12"/>
  <c r="AD125" i="11"/>
  <c r="J387" i="10"/>
  <c r="AD110" i="11"/>
  <c r="J338" i="10"/>
  <c r="Q167" i="10"/>
  <c r="AD80" i="11"/>
  <c r="F287" i="12"/>
  <c r="J268" i="10"/>
  <c r="J475" i="10"/>
  <c r="K475" i="10" s="1"/>
  <c r="M471" i="10"/>
  <c r="F284" i="12"/>
  <c r="AD158" i="11"/>
  <c r="J293" i="10"/>
  <c r="F286" i="12"/>
  <c r="AD160" i="11"/>
  <c r="M474" i="10"/>
  <c r="M442" i="10"/>
  <c r="E73" i="9"/>
  <c r="F288" i="12"/>
  <c r="AD79" i="11"/>
  <c r="AD101" i="11"/>
  <c r="F278" i="12"/>
  <c r="AD119" i="11"/>
  <c r="M477" i="10"/>
  <c r="J478" i="10"/>
  <c r="L161" i="11"/>
  <c r="L105" i="11"/>
  <c r="F302" i="12"/>
  <c r="I302" i="12" s="1"/>
  <c r="F31" i="9"/>
  <c r="AD78" i="11"/>
  <c r="U54" i="11"/>
  <c r="J236" i="10"/>
  <c r="AD6" i="11"/>
  <c r="F8" i="12"/>
  <c r="L19" i="11"/>
  <c r="J52" i="10"/>
  <c r="AD5" i="11"/>
  <c r="F7" i="12"/>
  <c r="L39" i="11"/>
  <c r="U3" i="11"/>
  <c r="AD37" i="11"/>
  <c r="AD44" i="11"/>
  <c r="F53" i="12"/>
  <c r="J135" i="10"/>
  <c r="N133" i="10"/>
  <c r="L38" i="11"/>
  <c r="J115" i="10"/>
  <c r="D24" i="9"/>
  <c r="Q164" i="10"/>
  <c r="AD32" i="11"/>
  <c r="F46" i="12"/>
  <c r="J523" i="10"/>
  <c r="M524" i="10" s="1"/>
  <c r="AD137" i="11"/>
  <c r="J421" i="10"/>
  <c r="I184" i="12"/>
  <c r="J184" i="12"/>
  <c r="F198" i="12"/>
  <c r="AD103" i="11"/>
  <c r="J329" i="10"/>
  <c r="F168" i="12"/>
  <c r="AD216" i="11"/>
  <c r="F220" i="12"/>
  <c r="V221" i="12" s="1"/>
  <c r="V222" i="12" s="1"/>
  <c r="N357" i="10"/>
  <c r="N358" i="10" s="1"/>
  <c r="N359" i="10" s="1"/>
  <c r="AD117" i="11"/>
  <c r="O357" i="10"/>
  <c r="P357" i="10" s="1"/>
  <c r="Q357" i="10"/>
  <c r="I62" i="17"/>
  <c r="D41" i="9"/>
  <c r="AD153" i="11"/>
  <c r="M456" i="10"/>
  <c r="F296" i="12"/>
  <c r="AD131" i="11"/>
  <c r="J233" i="12"/>
  <c r="I233" i="12"/>
  <c r="M466" i="10"/>
  <c r="E67" i="9"/>
  <c r="J141" i="12"/>
  <c r="I141" i="12"/>
  <c r="F242" i="12"/>
  <c r="AD169" i="11"/>
  <c r="M502" i="10"/>
  <c r="K40" i="17"/>
  <c r="L3" i="11"/>
  <c r="J12" i="10"/>
  <c r="M12" i="10" s="1"/>
  <c r="L60" i="17"/>
  <c r="L167" i="11"/>
  <c r="M494" i="10"/>
  <c r="F59" i="12"/>
  <c r="J77" i="10"/>
  <c r="AD24" i="11"/>
  <c r="J202" i="10"/>
  <c r="L65" i="11"/>
  <c r="I48" i="17"/>
  <c r="L180" i="11"/>
  <c r="F145" i="12"/>
  <c r="AD219" i="11"/>
  <c r="AD9" i="11"/>
  <c r="F37" i="12"/>
  <c r="J29" i="10"/>
  <c r="M29" i="10" s="1"/>
  <c r="I93" i="12"/>
  <c r="J93" i="12"/>
  <c r="F209" i="12"/>
  <c r="AD154" i="11"/>
  <c r="M457" i="10"/>
  <c r="AD214" i="11"/>
  <c r="F169" i="12"/>
  <c r="U103" i="11"/>
  <c r="E32" i="2"/>
  <c r="F43" i="12"/>
  <c r="AD29" i="11"/>
  <c r="J87" i="10"/>
  <c r="M87" i="10" s="1"/>
  <c r="I98" i="12"/>
  <c r="J98" i="12"/>
  <c r="F272" i="12"/>
  <c r="U272" i="12" s="1"/>
  <c r="V272" i="12" s="1"/>
  <c r="W272" i="12" s="1"/>
  <c r="AD97" i="11"/>
  <c r="I270" i="12"/>
  <c r="J270" i="12"/>
  <c r="F166" i="12"/>
  <c r="AD215" i="11"/>
  <c r="J60" i="12"/>
  <c r="I60" i="12"/>
  <c r="J211" i="12"/>
  <c r="I211" i="12"/>
  <c r="L187" i="11"/>
  <c r="J566" i="10"/>
  <c r="F222" i="12"/>
  <c r="AD161" i="11"/>
  <c r="J483" i="10"/>
  <c r="M480" i="10"/>
  <c r="L12" i="11"/>
  <c r="J32" i="10"/>
  <c r="M518" i="10"/>
  <c r="D73" i="9"/>
  <c r="F247" i="12"/>
  <c r="AD89" i="11"/>
  <c r="P148" i="7"/>
  <c r="J294" i="12"/>
  <c r="I294" i="12"/>
  <c r="F82" i="12"/>
  <c r="AD63" i="11"/>
  <c r="I229" i="12"/>
  <c r="J229" i="12"/>
  <c r="F44" i="12"/>
  <c r="AD30" i="11"/>
  <c r="I10" i="12"/>
  <c r="J10" i="12"/>
  <c r="F62" i="12"/>
  <c r="AD26" i="11"/>
  <c r="L75" i="11"/>
  <c r="J230" i="10"/>
  <c r="J27" i="4"/>
  <c r="J38" i="4" s="1"/>
  <c r="J40" i="4" s="1"/>
  <c r="H107" i="3" s="1"/>
  <c r="H108" i="3" s="1"/>
  <c r="E21" i="2"/>
  <c r="F41" i="12"/>
  <c r="J152" i="10"/>
  <c r="AD12" i="11"/>
  <c r="J38" i="10"/>
  <c r="J249" i="12"/>
  <c r="I249" i="12"/>
  <c r="I66" i="17"/>
  <c r="D58" i="9"/>
  <c r="L140" i="11"/>
  <c r="M423" i="10"/>
  <c r="K429" i="10"/>
  <c r="J424" i="10"/>
  <c r="F123" i="12"/>
  <c r="AD196" i="11"/>
  <c r="F201" i="12"/>
  <c r="AD104" i="11"/>
  <c r="I295" i="12"/>
  <c r="J295" i="12"/>
  <c r="F183" i="12"/>
  <c r="AD217" i="11"/>
  <c r="J265" i="12"/>
  <c r="I265" i="12"/>
  <c r="L55" i="11"/>
  <c r="L72" i="11"/>
  <c r="J221" i="10"/>
  <c r="J379" i="10"/>
  <c r="L124" i="11"/>
  <c r="F223" i="12"/>
  <c r="AD162" i="11"/>
  <c r="M481" i="10"/>
  <c r="F118" i="12"/>
  <c r="AD191" i="11"/>
  <c r="L182" i="11"/>
  <c r="J551" i="10"/>
  <c r="L221" i="11"/>
  <c r="J646" i="10"/>
  <c r="M646" i="10" s="1"/>
  <c r="AB64" i="3"/>
  <c r="L169" i="11"/>
  <c r="M496" i="10"/>
  <c r="K52" i="17"/>
  <c r="D26" i="9"/>
  <c r="J276" i="12"/>
  <c r="I276" i="12"/>
  <c r="J256" i="12"/>
  <c r="I256" i="12"/>
  <c r="E18" i="9"/>
  <c r="L146" i="11"/>
  <c r="M439" i="10"/>
  <c r="J440" i="10"/>
  <c r="J39" i="12"/>
  <c r="I39" i="12"/>
  <c r="F200" i="12"/>
  <c r="AD106" i="11"/>
  <c r="M429" i="10"/>
  <c r="E63" i="9"/>
  <c r="I210" i="12"/>
  <c r="J210" i="12"/>
  <c r="I161" i="12"/>
  <c r="J161" i="12"/>
  <c r="F40" i="12"/>
  <c r="AD15" i="11"/>
  <c r="F167" i="12"/>
  <c r="AD213" i="11"/>
  <c r="J632" i="10"/>
  <c r="M632" i="10" s="1"/>
  <c r="J251" i="12"/>
  <c r="I251" i="12"/>
  <c r="F124" i="12"/>
  <c r="AD198" i="11"/>
  <c r="I187" i="12"/>
  <c r="J187" i="12"/>
  <c r="F76" i="12"/>
  <c r="AD57" i="11"/>
  <c r="L94" i="11"/>
  <c r="J296" i="10"/>
  <c r="AD205" i="11"/>
  <c r="F142" i="12"/>
  <c r="L224" i="11"/>
  <c r="J654" i="10"/>
  <c r="F174" i="12"/>
  <c r="AD188" i="11"/>
  <c r="L203" i="11"/>
  <c r="J603" i="10"/>
  <c r="Q141" i="6"/>
  <c r="F299" i="12"/>
  <c r="AD130" i="11"/>
  <c r="L168" i="11"/>
  <c r="M495" i="10"/>
  <c r="K14" i="17"/>
  <c r="D68" i="9"/>
  <c r="M469" i="10"/>
  <c r="F15" i="12"/>
  <c r="AD56" i="11"/>
  <c r="L130" i="11"/>
  <c r="F164" i="12"/>
  <c r="AD207" i="11"/>
  <c r="O616" i="10"/>
  <c r="F144" i="12"/>
  <c r="AD218" i="11"/>
  <c r="L4" i="11"/>
  <c r="L218" i="11"/>
  <c r="J637" i="10"/>
  <c r="M637" i="10" s="1"/>
  <c r="L9" i="11"/>
  <c r="J24" i="10"/>
  <c r="I33" i="12"/>
  <c r="J33" i="12"/>
  <c r="F261" i="12"/>
  <c r="AD83" i="11"/>
  <c r="J279" i="10"/>
  <c r="I257" i="12"/>
  <c r="J257" i="12"/>
  <c r="J72" i="17"/>
  <c r="D38" i="9"/>
  <c r="F85" i="12"/>
  <c r="AD64" i="11"/>
  <c r="J204" i="12"/>
  <c r="I204" i="12"/>
  <c r="F271" i="12"/>
  <c r="AD94" i="11"/>
  <c r="J302" i="10"/>
  <c r="F20" i="12"/>
  <c r="AD48" i="11"/>
  <c r="J246" i="10"/>
  <c r="M246" i="10" s="1"/>
  <c r="J147" i="10"/>
  <c r="M147" i="10" s="1"/>
  <c r="Q168" i="10"/>
  <c r="J38" i="14"/>
  <c r="J152" i="14"/>
  <c r="J153" i="14" s="1"/>
  <c r="K18" i="13"/>
  <c r="AA15" i="3"/>
  <c r="F70" i="12"/>
  <c r="AD65" i="11"/>
  <c r="J207" i="10"/>
  <c r="L134" i="11"/>
  <c r="P405" i="10"/>
  <c r="L227" i="11"/>
  <c r="J663" i="10"/>
  <c r="M663" i="10" s="1"/>
  <c r="F134" i="12"/>
  <c r="AD202" i="11"/>
  <c r="K4" i="16"/>
  <c r="F42" i="12"/>
  <c r="AD14" i="11"/>
  <c r="F102" i="12"/>
  <c r="AD72" i="11"/>
  <c r="J226" i="10"/>
  <c r="I131" i="12"/>
  <c r="J131" i="12"/>
  <c r="I163" i="12"/>
  <c r="J163" i="12"/>
  <c r="I245" i="12"/>
  <c r="J245" i="12"/>
  <c r="F121" i="12"/>
  <c r="AD197" i="11"/>
  <c r="P586" i="10"/>
  <c r="U87" i="11"/>
  <c r="F139" i="12"/>
  <c r="AD186" i="11"/>
  <c r="J247" i="14"/>
  <c r="J248" i="14" s="1"/>
  <c r="J249" i="14" s="1"/>
  <c r="J148" i="14"/>
  <c r="J174" i="14"/>
  <c r="M515" i="10"/>
  <c r="E72" i="9"/>
  <c r="I106" i="12"/>
  <c r="U112" i="11"/>
  <c r="J349" i="10"/>
  <c r="J268" i="12"/>
  <c r="I268" i="12"/>
  <c r="F255" i="12"/>
  <c r="M491" i="10"/>
  <c r="AD166" i="11"/>
  <c r="I133" i="12"/>
  <c r="J133" i="12"/>
  <c r="I108" i="12"/>
  <c r="J108" i="12"/>
  <c r="F232" i="12"/>
  <c r="AD122" i="11"/>
  <c r="F126" i="12"/>
  <c r="AD224" i="11"/>
  <c r="J659" i="10"/>
  <c r="E47" i="9"/>
  <c r="F47" i="9" s="1"/>
  <c r="I52" i="17"/>
  <c r="L47" i="11"/>
  <c r="Q163" i="10"/>
  <c r="K66" i="17"/>
  <c r="F218" i="12"/>
  <c r="AD112" i="11"/>
  <c r="J360" i="10"/>
  <c r="M360" i="10" s="1"/>
  <c r="F160" i="12"/>
  <c r="AD211" i="11"/>
  <c r="O620" i="10"/>
  <c r="U190" i="11"/>
  <c r="F125" i="12"/>
  <c r="AD225" i="11"/>
  <c r="I44" i="17"/>
  <c r="D13" i="9"/>
  <c r="L108" i="11"/>
  <c r="J332" i="10"/>
  <c r="I207" i="12"/>
  <c r="J207" i="12"/>
  <c r="F38" i="12"/>
  <c r="AD10" i="11"/>
  <c r="F97" i="12"/>
  <c r="AD51" i="11"/>
  <c r="Q171" i="10"/>
  <c r="K26" i="17"/>
  <c r="J47" i="12"/>
  <c r="I47" i="12"/>
  <c r="F84" i="12"/>
  <c r="J198" i="10"/>
  <c r="AD61" i="11"/>
  <c r="AD98" i="11"/>
  <c r="F277" i="12"/>
  <c r="J313" i="10"/>
  <c r="M313" i="10" s="1"/>
  <c r="M461" i="10"/>
  <c r="L156" i="11"/>
  <c r="J462" i="10"/>
  <c r="I122" i="12"/>
  <c r="J122" i="12"/>
  <c r="F61" i="12"/>
  <c r="AD19" i="11"/>
  <c r="J56" i="10"/>
  <c r="K10" i="17"/>
  <c r="J125" i="10"/>
  <c r="M125" i="10" s="1"/>
  <c r="L42" i="11"/>
  <c r="K128" i="10"/>
  <c r="F73" i="12"/>
  <c r="J189" i="10"/>
  <c r="M189" i="10" s="1"/>
  <c r="AD54" i="11"/>
  <c r="U114" i="11"/>
  <c r="I32" i="17"/>
  <c r="D60" i="9"/>
  <c r="L40" i="17"/>
  <c r="J492" i="10"/>
  <c r="L33" i="11"/>
  <c r="J90" i="10"/>
  <c r="F263" i="12"/>
  <c r="AD86" i="11"/>
  <c r="L113" i="11"/>
  <c r="F29" i="12"/>
  <c r="AD22" i="11"/>
  <c r="L103" i="11"/>
  <c r="F180" i="12"/>
  <c r="AD222" i="11"/>
  <c r="J54" i="17"/>
  <c r="L190" i="11"/>
  <c r="J576" i="10"/>
  <c r="M576" i="10" s="1"/>
  <c r="L6" i="8"/>
  <c r="C32" i="2"/>
  <c r="H14" i="8"/>
  <c r="N6" i="8"/>
  <c r="J9" i="12"/>
  <c r="I9" i="12"/>
  <c r="J239" i="12"/>
  <c r="I239" i="12"/>
  <c r="J205" i="12"/>
  <c r="I155" i="12"/>
  <c r="J155" i="12"/>
  <c r="F156" i="12"/>
  <c r="F158" i="12" s="1"/>
  <c r="AD232" i="11"/>
  <c r="J365" i="14"/>
  <c r="K373" i="14" s="1"/>
  <c r="J376" i="14"/>
  <c r="J379" i="14" s="1"/>
  <c r="K387" i="14" s="1"/>
  <c r="D32" i="2"/>
  <c r="K688" i="10"/>
  <c r="AD71" i="11"/>
  <c r="F79" i="12"/>
  <c r="J88" i="12"/>
  <c r="I88" i="12"/>
  <c r="F127" i="12"/>
  <c r="AD226" i="11"/>
  <c r="I186" i="12"/>
  <c r="J186" i="12"/>
  <c r="I293" i="12"/>
  <c r="J293" i="12"/>
  <c r="F45" i="12"/>
  <c r="AD31" i="11"/>
  <c r="F71" i="12"/>
  <c r="AD66" i="11"/>
  <c r="L98" i="11"/>
  <c r="J305" i="10"/>
  <c r="F202" i="12"/>
  <c r="AD105" i="11"/>
  <c r="I36" i="17"/>
  <c r="Q36" i="17" s="1"/>
  <c r="S36" i="17" s="1"/>
  <c r="U36" i="17" s="1"/>
  <c r="M451" i="10"/>
  <c r="D66" i="9"/>
  <c r="J81" i="10"/>
  <c r="L29" i="11"/>
  <c r="K8" i="16"/>
  <c r="F219" i="12"/>
  <c r="AD116" i="11"/>
  <c r="L137" i="11"/>
  <c r="L175" i="11"/>
  <c r="L417" i="13"/>
  <c r="M417" i="13"/>
  <c r="C33" i="2"/>
  <c r="J174" i="10"/>
  <c r="M174" i="10" s="1"/>
  <c r="J72" i="12"/>
  <c r="I72" i="12"/>
  <c r="F262" i="12"/>
  <c r="AD84" i="11"/>
  <c r="F250" i="12"/>
  <c r="AD92" i="11"/>
  <c r="AD145" i="11"/>
  <c r="F301" i="12"/>
  <c r="M436" i="10"/>
  <c r="F30" i="12"/>
  <c r="AD23" i="11"/>
  <c r="F11" i="12"/>
  <c r="AD39" i="11"/>
  <c r="F241" i="12"/>
  <c r="AD168" i="11"/>
  <c r="M501" i="10"/>
  <c r="J503" i="10"/>
  <c r="M446" i="10"/>
  <c r="K546" i="10"/>
  <c r="D34" i="9"/>
  <c r="I24" i="17"/>
  <c r="Q24" i="17" s="1"/>
  <c r="S24" i="17" s="1"/>
  <c r="U24" i="17" s="1"/>
  <c r="D50" i="9"/>
  <c r="L133" i="11"/>
  <c r="J401" i="10"/>
  <c r="P406" i="10"/>
  <c r="F252" i="12"/>
  <c r="AD96" i="11"/>
  <c r="J254" i="12"/>
  <c r="I254" i="12"/>
  <c r="F31" i="12"/>
  <c r="AD21" i="11"/>
  <c r="J66" i="10"/>
  <c r="F74" i="12"/>
  <c r="AD58" i="11"/>
  <c r="L84" i="11"/>
  <c r="F234" i="12"/>
  <c r="AD126" i="11"/>
  <c r="F119" i="12"/>
  <c r="AD190" i="11"/>
  <c r="O579" i="10"/>
  <c r="J588" i="10"/>
  <c r="M588" i="10" s="1"/>
  <c r="F175" i="12"/>
  <c r="AD189" i="11"/>
  <c r="F165" i="12"/>
  <c r="AD208" i="11"/>
  <c r="O617" i="10"/>
  <c r="J95" i="12"/>
  <c r="I95" i="12"/>
  <c r="J344" i="10"/>
  <c r="N342" i="10"/>
  <c r="L112" i="11"/>
  <c r="I231" i="12"/>
  <c r="J231" i="12"/>
  <c r="F116" i="12"/>
  <c r="AD194" i="11"/>
  <c r="F49" i="12"/>
  <c r="AD36" i="11"/>
  <c r="J110" i="10"/>
  <c r="F140" i="12"/>
  <c r="AD203" i="11"/>
  <c r="J608" i="10"/>
  <c r="M608" i="10" s="1"/>
  <c r="M28" i="17"/>
  <c r="K515" i="10"/>
  <c r="D72" i="9"/>
  <c r="M509" i="10"/>
  <c r="F38" i="1"/>
  <c r="F31" i="1"/>
  <c r="L16" i="17"/>
  <c r="AD59" i="11"/>
  <c r="F77" i="12"/>
  <c r="F300" i="12"/>
  <c r="AD144" i="11"/>
  <c r="M435" i="10"/>
  <c r="J305" i="12"/>
  <c r="I305" i="12"/>
  <c r="J146" i="10"/>
  <c r="M146" i="10" s="1"/>
  <c r="F224" i="12"/>
  <c r="AD163" i="11"/>
  <c r="M482" i="10"/>
  <c r="F176" i="12"/>
  <c r="AD187" i="11"/>
  <c r="J571" i="10"/>
  <c r="F101" i="12"/>
  <c r="AD74" i="11"/>
  <c r="F264" i="12"/>
  <c r="AD85" i="11"/>
  <c r="I298" i="12"/>
  <c r="J298" i="12"/>
  <c r="I12" i="8"/>
  <c r="F33" i="2" s="1"/>
  <c r="Q148" i="6"/>
  <c r="F246" i="12"/>
  <c r="AD88" i="11"/>
  <c r="N289" i="10"/>
  <c r="I303" i="12"/>
  <c r="J303" i="12"/>
  <c r="L30" i="11"/>
  <c r="F182" i="12"/>
  <c r="AD221" i="11"/>
  <c r="J651" i="10"/>
  <c r="M651" i="10" s="1"/>
  <c r="F297" i="12"/>
  <c r="AD129" i="11"/>
  <c r="J397" i="10"/>
  <c r="L35" i="11"/>
  <c r="J98" i="10"/>
  <c r="K102" i="10"/>
  <c r="AD35" i="11"/>
  <c r="L138" i="11"/>
  <c r="L207" i="11"/>
  <c r="O612" i="10"/>
  <c r="F177" i="12"/>
  <c r="AD200" i="11"/>
  <c r="J523" i="14"/>
  <c r="J420" i="14"/>
  <c r="J87" i="12"/>
  <c r="I87" i="12"/>
  <c r="AC152" i="11"/>
  <c r="J455" i="10"/>
  <c r="F57" i="12"/>
  <c r="AD27" i="11"/>
  <c r="I56" i="17"/>
  <c r="Q56" i="17" s="1"/>
  <c r="S56" i="17" s="1"/>
  <c r="U56" i="17" s="1"/>
  <c r="L191" i="11"/>
  <c r="Z19" i="3"/>
  <c r="AA19" i="3" s="1"/>
  <c r="AB19" i="3" s="1"/>
  <c r="L21" i="11"/>
  <c r="M61" i="10"/>
  <c r="J27" i="12"/>
  <c r="I27" i="12"/>
  <c r="F289" i="12"/>
  <c r="M434" i="10"/>
  <c r="J437" i="10"/>
  <c r="AD143" i="11"/>
  <c r="F117" i="12"/>
  <c r="AD195" i="11"/>
  <c r="I28" i="17"/>
  <c r="L87" i="11"/>
  <c r="I115" i="12"/>
  <c r="J115" i="12"/>
  <c r="F199" i="12"/>
  <c r="AD107" i="11"/>
  <c r="F6" i="12"/>
  <c r="AD4" i="11"/>
  <c r="F28" i="12"/>
  <c r="AD33" i="11"/>
  <c r="J94" i="10"/>
  <c r="L88" i="11"/>
  <c r="J285" i="10"/>
  <c r="F216" i="12"/>
  <c r="AD115" i="11"/>
  <c r="F258" i="12"/>
  <c r="AD136" i="11"/>
  <c r="J32" i="12"/>
  <c r="I32" i="12"/>
  <c r="F230" i="12"/>
  <c r="AD123" i="11"/>
  <c r="L143" i="11"/>
  <c r="J432" i="10"/>
  <c r="M431" i="10"/>
  <c r="F32" i="2"/>
  <c r="P22" i="12"/>
  <c r="I292" i="12"/>
  <c r="J292" i="12"/>
  <c r="L76" i="11"/>
  <c r="J26" i="17"/>
  <c r="D51" i="9"/>
  <c r="AD185" i="11"/>
  <c r="F138" i="12"/>
  <c r="AD179" i="11"/>
  <c r="H105" i="3"/>
  <c r="H33" i="3"/>
  <c r="AA35" i="3"/>
  <c r="AB35" i="3" s="1"/>
  <c r="J562" i="10"/>
  <c r="M562" i="10" s="1"/>
  <c r="I130" i="12"/>
  <c r="J130" i="12"/>
  <c r="F83" i="12"/>
  <c r="AD62" i="11"/>
  <c r="I89" i="12"/>
  <c r="I203" i="12"/>
  <c r="J203" i="12"/>
  <c r="I5" i="12"/>
  <c r="J5" i="12"/>
  <c r="I103" i="12"/>
  <c r="J103" i="12"/>
  <c r="F13" i="12"/>
  <c r="AD41" i="11"/>
  <c r="P19" i="12"/>
  <c r="F267" i="12"/>
  <c r="AD95" i="11"/>
  <c r="J269" i="12"/>
  <c r="I269" i="12"/>
  <c r="J206" i="12"/>
  <c r="I206" i="12"/>
  <c r="F132" i="12"/>
  <c r="AD184" i="11"/>
  <c r="AD178" i="11"/>
  <c r="F12" i="12"/>
  <c r="AD40" i="11"/>
  <c r="F306" i="12"/>
  <c r="AD155" i="11"/>
  <c r="M458" i="10"/>
  <c r="F75" i="12"/>
  <c r="AD55" i="11"/>
  <c r="F58" i="12"/>
  <c r="AD25" i="11"/>
  <c r="L54" i="11"/>
  <c r="J181" i="10"/>
  <c r="L66" i="11"/>
  <c r="F275" i="12"/>
  <c r="AD100" i="11"/>
  <c r="U137" i="11"/>
  <c r="L176" i="11"/>
  <c r="L206" i="11"/>
  <c r="O611" i="10"/>
  <c r="J612" i="10"/>
  <c r="M612" i="10" s="1"/>
  <c r="I46" i="17"/>
  <c r="Q46" i="17" s="1"/>
  <c r="S46" i="17" s="1"/>
  <c r="U46" i="17" s="1"/>
  <c r="L181" i="11"/>
  <c r="AD199" i="11"/>
  <c r="F179" i="12"/>
  <c r="J599" i="10"/>
  <c r="M599" i="10" s="1"/>
  <c r="F143" i="12"/>
  <c r="AD220" i="11"/>
  <c r="F162" i="12"/>
  <c r="AD210" i="11"/>
  <c r="O619" i="10"/>
  <c r="F78" i="12"/>
  <c r="AD60" i="11"/>
  <c r="F221" i="12"/>
  <c r="AD118" i="11"/>
  <c r="F181" i="12"/>
  <c r="AD223" i="11"/>
  <c r="AA89" i="3" l="1"/>
  <c r="AB89" i="3" s="1"/>
  <c r="P9" i="3" s="1"/>
  <c r="Q9" i="3" s="1"/>
  <c r="D12" i="8" s="1"/>
  <c r="E312" i="12"/>
  <c r="E328" i="12" s="1"/>
  <c r="I86" i="12"/>
  <c r="E52" i="9"/>
  <c r="M293" i="10"/>
  <c r="E7" i="9"/>
  <c r="M20" i="10"/>
  <c r="E17" i="9"/>
  <c r="AB18" i="3"/>
  <c r="P5" i="3" s="1"/>
  <c r="Q5" i="3" s="1"/>
  <c r="D8" i="8" s="1"/>
  <c r="K174" i="10"/>
  <c r="K279" i="10"/>
  <c r="K218" i="10"/>
  <c r="E28" i="9"/>
  <c r="F28" i="9" s="1"/>
  <c r="K226" i="10"/>
  <c r="E82" i="17"/>
  <c r="K38" i="10"/>
  <c r="E58" i="9"/>
  <c r="F58" i="9" s="1"/>
  <c r="J248" i="10"/>
  <c r="M248" i="10" s="1"/>
  <c r="E61" i="9"/>
  <c r="M487" i="10"/>
  <c r="L28" i="17"/>
  <c r="K678" i="10"/>
  <c r="D33" i="1"/>
  <c r="K523" i="10"/>
  <c r="J669" i="10"/>
  <c r="F185" i="12"/>
  <c r="F191" i="12" s="1"/>
  <c r="AD228" i="11"/>
  <c r="J552" i="10"/>
  <c r="I266" i="12"/>
  <c r="J304" i="12"/>
  <c r="D55" i="9"/>
  <c r="E56" i="9"/>
  <c r="L10" i="8"/>
  <c r="E54" i="2" s="1"/>
  <c r="R140" i="6"/>
  <c r="R141" i="6" s="1"/>
  <c r="N10" i="8"/>
  <c r="L8" i="8"/>
  <c r="D54" i="2" s="1"/>
  <c r="E34" i="2"/>
  <c r="E49" i="2" s="1"/>
  <c r="P141" i="6"/>
  <c r="T139" i="6"/>
  <c r="R144" i="6"/>
  <c r="L12" i="8"/>
  <c r="F54" i="2" s="1"/>
  <c r="N8" i="8"/>
  <c r="I14" i="8"/>
  <c r="D25" i="15" s="1"/>
  <c r="D27" i="15" s="1"/>
  <c r="N12" i="8"/>
  <c r="D34" i="2"/>
  <c r="D49" i="2" s="1"/>
  <c r="E46" i="9"/>
  <c r="F46" i="9" s="1"/>
  <c r="K121" i="10"/>
  <c r="J96" i="12"/>
  <c r="I96" i="12"/>
  <c r="K373" i="10"/>
  <c r="J215" i="12"/>
  <c r="I215" i="12"/>
  <c r="E30" i="9"/>
  <c r="F73" i="9"/>
  <c r="J253" i="12"/>
  <c r="I253" i="12"/>
  <c r="E40" i="9"/>
  <c r="I248" i="12"/>
  <c r="J248" i="12"/>
  <c r="O622" i="10"/>
  <c r="I283" i="12"/>
  <c r="J283" i="12"/>
  <c r="P7" i="3"/>
  <c r="Q7" i="3" s="1"/>
  <c r="D10" i="8" s="1"/>
  <c r="F72" i="9"/>
  <c r="F128" i="12"/>
  <c r="E59" i="9"/>
  <c r="I237" i="12"/>
  <c r="J237" i="12"/>
  <c r="J302" i="12"/>
  <c r="J286" i="12"/>
  <c r="I286" i="12"/>
  <c r="E50" i="9"/>
  <c r="F50" i="9" s="1"/>
  <c r="J284" i="12"/>
  <c r="I284" i="12"/>
  <c r="K268" i="10"/>
  <c r="F259" i="12"/>
  <c r="I288" i="12"/>
  <c r="J288" i="12"/>
  <c r="J287" i="12"/>
  <c r="I287" i="12"/>
  <c r="I60" i="17"/>
  <c r="M478" i="10"/>
  <c r="D69" i="9"/>
  <c r="I278" i="12"/>
  <c r="J278" i="12"/>
  <c r="H109" i="3"/>
  <c r="H110" i="3" s="1"/>
  <c r="L102" i="3" s="1"/>
  <c r="E68" i="9"/>
  <c r="F68" i="9" s="1"/>
  <c r="M475" i="10"/>
  <c r="J149" i="10"/>
  <c r="M149" i="10" s="1"/>
  <c r="D17" i="9"/>
  <c r="F17" i="9" s="1"/>
  <c r="J18" i="17"/>
  <c r="K135" i="10"/>
  <c r="E19" i="9"/>
  <c r="F19" i="9" s="1"/>
  <c r="I8" i="12"/>
  <c r="X8" i="12"/>
  <c r="J8" i="12"/>
  <c r="J53" i="12"/>
  <c r="I53" i="12"/>
  <c r="J7" i="12"/>
  <c r="I7" i="12"/>
  <c r="D11" i="9"/>
  <c r="J44" i="17"/>
  <c r="Q44" i="17" s="1"/>
  <c r="S44" i="17" s="1"/>
  <c r="U44" i="17" s="1"/>
  <c r="T31" i="1"/>
  <c r="U31" i="1" s="1"/>
  <c r="I132" i="12"/>
  <c r="J132" i="12"/>
  <c r="D52" i="9"/>
  <c r="F52" i="9" s="1"/>
  <c r="K293" i="10"/>
  <c r="I74" i="12"/>
  <c r="J74" i="12"/>
  <c r="I202" i="12"/>
  <c r="J202" i="12"/>
  <c r="I84" i="12"/>
  <c r="J84" i="12"/>
  <c r="J97" i="12"/>
  <c r="I97" i="12"/>
  <c r="K401" i="13"/>
  <c r="J149" i="14"/>
  <c r="J154" i="14" s="1"/>
  <c r="AA37" i="3"/>
  <c r="K70" i="17"/>
  <c r="K644" i="10"/>
  <c r="D42" i="9"/>
  <c r="K32" i="17"/>
  <c r="M440" i="10"/>
  <c r="D65" i="9"/>
  <c r="F65" i="9" s="1"/>
  <c r="K446" i="10"/>
  <c r="I183" i="12"/>
  <c r="J183" i="12"/>
  <c r="E25" i="2"/>
  <c r="G25" i="2" s="1"/>
  <c r="G21" i="2"/>
  <c r="J62" i="12"/>
  <c r="I62" i="12"/>
  <c r="J272" i="12"/>
  <c r="I272" i="12"/>
  <c r="E38" i="9"/>
  <c r="F38" i="9" s="1"/>
  <c r="F136" i="12"/>
  <c r="J6" i="12"/>
  <c r="I6" i="12"/>
  <c r="E60" i="9"/>
  <c r="F60" i="9" s="1"/>
  <c r="I246" i="12"/>
  <c r="J246" i="12"/>
  <c r="J224" i="12"/>
  <c r="I224" i="12"/>
  <c r="J140" i="12"/>
  <c r="I140" i="12"/>
  <c r="E37" i="9"/>
  <c r="I241" i="12"/>
  <c r="J241" i="12"/>
  <c r="J219" i="12"/>
  <c r="I219" i="12"/>
  <c r="J78" i="12"/>
  <c r="I78" i="12"/>
  <c r="J275" i="12"/>
  <c r="F290" i="12"/>
  <c r="I275" i="12"/>
  <c r="K189" i="10"/>
  <c r="D25" i="9"/>
  <c r="I58" i="12"/>
  <c r="J58" i="12"/>
  <c r="J75" i="12"/>
  <c r="I75" i="12"/>
  <c r="F147" i="12"/>
  <c r="J138" i="12"/>
  <c r="I138" i="12"/>
  <c r="F34" i="2"/>
  <c r="J28" i="12"/>
  <c r="I28" i="12"/>
  <c r="I40" i="17"/>
  <c r="Q40" i="17" s="1"/>
  <c r="S40" i="17" s="1"/>
  <c r="U40" i="17" s="1"/>
  <c r="K66" i="10"/>
  <c r="D12" i="9"/>
  <c r="F208" i="12"/>
  <c r="F212" i="12" s="1"/>
  <c r="AD152" i="11"/>
  <c r="M455" i="10"/>
  <c r="J459" i="10"/>
  <c r="J526" i="10" s="1"/>
  <c r="M527" i="10" s="1"/>
  <c r="K420" i="14"/>
  <c r="J526" i="14"/>
  <c r="I177" i="12"/>
  <c r="J177" i="12"/>
  <c r="J182" i="12"/>
  <c r="I182" i="12"/>
  <c r="J176" i="12"/>
  <c r="I176" i="12"/>
  <c r="E12" i="9"/>
  <c r="J252" i="12"/>
  <c r="I252" i="12"/>
  <c r="J70" i="17"/>
  <c r="K407" i="10"/>
  <c r="D61" i="9"/>
  <c r="F61" i="9" s="1"/>
  <c r="M504" i="10"/>
  <c r="E71" i="9"/>
  <c r="J30" i="12"/>
  <c r="I30" i="12"/>
  <c r="Q174" i="10"/>
  <c r="E24" i="9"/>
  <c r="J71" i="12"/>
  <c r="I71" i="12"/>
  <c r="K589" i="10"/>
  <c r="D37" i="9"/>
  <c r="I29" i="12"/>
  <c r="J29" i="12"/>
  <c r="E11" i="9"/>
  <c r="K56" i="10"/>
  <c r="I126" i="12"/>
  <c r="J126" i="12"/>
  <c r="J271" i="12"/>
  <c r="I271" i="12"/>
  <c r="E51" i="9"/>
  <c r="E42" i="9"/>
  <c r="I15" i="12"/>
  <c r="J15" i="12"/>
  <c r="I174" i="12"/>
  <c r="J174" i="12"/>
  <c r="J28" i="17"/>
  <c r="K302" i="10"/>
  <c r="D53" i="9"/>
  <c r="J76" i="12"/>
  <c r="I76" i="12"/>
  <c r="J167" i="12"/>
  <c r="I167" i="12"/>
  <c r="J62" i="17"/>
  <c r="Q62" i="17" s="1"/>
  <c r="S62" i="17" s="1"/>
  <c r="U62" i="17" s="1"/>
  <c r="K652" i="10"/>
  <c r="D43" i="9"/>
  <c r="J118" i="12"/>
  <c r="I118" i="12"/>
  <c r="J12" i="17"/>
  <c r="D29" i="9"/>
  <c r="J153" i="10"/>
  <c r="J52" i="17"/>
  <c r="Q52" i="17" s="1"/>
  <c r="S52" i="17" s="1"/>
  <c r="U52" i="17" s="1"/>
  <c r="K236" i="10"/>
  <c r="D30" i="9"/>
  <c r="J82" i="12"/>
  <c r="I82" i="12"/>
  <c r="F91" i="12"/>
  <c r="G38" i="1"/>
  <c r="I43" i="12"/>
  <c r="J43" i="12"/>
  <c r="E8" i="9"/>
  <c r="I145" i="12"/>
  <c r="J145" i="12"/>
  <c r="I220" i="12"/>
  <c r="N220" i="12"/>
  <c r="U220" i="12"/>
  <c r="J220" i="12"/>
  <c r="E55" i="9"/>
  <c r="K329" i="10"/>
  <c r="I143" i="12"/>
  <c r="J143" i="12"/>
  <c r="I258" i="12"/>
  <c r="J258" i="12"/>
  <c r="I297" i="12"/>
  <c r="J297" i="12"/>
  <c r="E43" i="9"/>
  <c r="J165" i="12"/>
  <c r="I165" i="12"/>
  <c r="I31" i="12"/>
  <c r="J31" i="12"/>
  <c r="J301" i="12"/>
  <c r="I301" i="12"/>
  <c r="I156" i="12"/>
  <c r="I158" i="12" s="1"/>
  <c r="J156" i="12"/>
  <c r="I180" i="12"/>
  <c r="J180" i="12"/>
  <c r="I73" i="12"/>
  <c r="J73" i="12"/>
  <c r="I139" i="12"/>
  <c r="J139" i="12"/>
  <c r="I102" i="12"/>
  <c r="J102" i="12"/>
  <c r="I72" i="17"/>
  <c r="Q72" i="17" s="1"/>
  <c r="S72" i="17" s="1"/>
  <c r="U72" i="17" s="1"/>
  <c r="D45" i="9"/>
  <c r="E27" i="9"/>
  <c r="V68" i="12"/>
  <c r="J200" i="12"/>
  <c r="I200" i="12"/>
  <c r="J66" i="17"/>
  <c r="Q66" i="17" s="1"/>
  <c r="S66" i="17" s="1"/>
  <c r="U66" i="17" s="1"/>
  <c r="K387" i="10"/>
  <c r="D59" i="9"/>
  <c r="J123" i="12"/>
  <c r="I123" i="12"/>
  <c r="I247" i="12"/>
  <c r="J247" i="12"/>
  <c r="E13" i="9"/>
  <c r="F13" i="9" s="1"/>
  <c r="J242" i="12"/>
  <c r="I242" i="12"/>
  <c r="J162" i="12"/>
  <c r="I162" i="12"/>
  <c r="I13" i="12"/>
  <c r="J13" i="12"/>
  <c r="I117" i="12"/>
  <c r="J117" i="12"/>
  <c r="J289" i="12"/>
  <c r="I289" i="12"/>
  <c r="J57" i="12"/>
  <c r="I57" i="12"/>
  <c r="F63" i="12"/>
  <c r="I221" i="12"/>
  <c r="J221" i="12"/>
  <c r="J179" i="12"/>
  <c r="I179" i="12"/>
  <c r="J267" i="12"/>
  <c r="I267" i="12"/>
  <c r="F17" i="12"/>
  <c r="J83" i="12"/>
  <c r="I83" i="12"/>
  <c r="U82" i="12"/>
  <c r="U83" i="12" s="1"/>
  <c r="E35" i="9"/>
  <c r="F307" i="12"/>
  <c r="I26" i="17"/>
  <c r="Q26" i="17" s="1"/>
  <c r="S26" i="17" s="1"/>
  <c r="U26" i="17" s="1"/>
  <c r="K437" i="10"/>
  <c r="D64" i="9"/>
  <c r="M432" i="10"/>
  <c r="J230" i="12"/>
  <c r="I230" i="12"/>
  <c r="I216" i="12"/>
  <c r="J216" i="12"/>
  <c r="F227" i="12"/>
  <c r="E21" i="9"/>
  <c r="M437" i="10"/>
  <c r="E64" i="9"/>
  <c r="F35" i="12"/>
  <c r="AB97" i="3"/>
  <c r="J10" i="17"/>
  <c r="F109" i="12"/>
  <c r="I101" i="12"/>
  <c r="J101" i="12"/>
  <c r="E36" i="9"/>
  <c r="J77" i="12"/>
  <c r="I77" i="12"/>
  <c r="E39" i="9"/>
  <c r="E16" i="9"/>
  <c r="F16" i="9" s="1"/>
  <c r="K110" i="10"/>
  <c r="I175" i="12"/>
  <c r="J175" i="12"/>
  <c r="I234" i="12"/>
  <c r="J234" i="12"/>
  <c r="J262" i="12"/>
  <c r="I262" i="12"/>
  <c r="G33" i="2"/>
  <c r="J127" i="12"/>
  <c r="I127" i="12"/>
  <c r="D11" i="15"/>
  <c r="J263" i="12"/>
  <c r="I263" i="12"/>
  <c r="M492" i="10"/>
  <c r="E70" i="9"/>
  <c r="F70" i="9" s="1"/>
  <c r="K492" i="10"/>
  <c r="I12" i="17"/>
  <c r="E25" i="9"/>
  <c r="E26" i="9"/>
  <c r="F26" i="9" s="1"/>
  <c r="J38" i="12"/>
  <c r="I38" i="12"/>
  <c r="J32" i="17"/>
  <c r="D56" i="9"/>
  <c r="K338" i="10"/>
  <c r="K77" i="10"/>
  <c r="J125" i="12"/>
  <c r="I125" i="12"/>
  <c r="E57" i="9"/>
  <c r="E44" i="9"/>
  <c r="J250" i="14"/>
  <c r="K174" i="14"/>
  <c r="J121" i="12"/>
  <c r="I121" i="12"/>
  <c r="I42" i="12"/>
  <c r="J42" i="12"/>
  <c r="I134" i="12"/>
  <c r="J134" i="12"/>
  <c r="F80" i="12"/>
  <c r="J70" i="12"/>
  <c r="I70" i="12"/>
  <c r="K38" i="14"/>
  <c r="J155" i="14"/>
  <c r="E53" i="9"/>
  <c r="I85" i="12"/>
  <c r="J85" i="12"/>
  <c r="J299" i="12"/>
  <c r="I299" i="12"/>
  <c r="J142" i="12"/>
  <c r="I142" i="12"/>
  <c r="E41" i="9"/>
  <c r="F41" i="9" s="1"/>
  <c r="J40" i="12"/>
  <c r="I40" i="12"/>
  <c r="K198" i="10"/>
  <c r="E9" i="9"/>
  <c r="I41" i="12"/>
  <c r="J41" i="12"/>
  <c r="J222" i="12"/>
  <c r="I222" i="12"/>
  <c r="I166" i="12"/>
  <c r="J166" i="12"/>
  <c r="E14" i="9"/>
  <c r="I169" i="12"/>
  <c r="J169" i="12"/>
  <c r="I209" i="12"/>
  <c r="J209" i="12"/>
  <c r="F99" i="12"/>
  <c r="J37" i="12"/>
  <c r="I37" i="12"/>
  <c r="F55" i="12"/>
  <c r="K504" i="10"/>
  <c r="M498" i="10"/>
  <c r="D71" i="9"/>
  <c r="F71" i="9" s="1"/>
  <c r="I18" i="17"/>
  <c r="D7" i="9"/>
  <c r="K20" i="10"/>
  <c r="J296" i="12"/>
  <c r="I296" i="12"/>
  <c r="K633" i="10"/>
  <c r="M421" i="10"/>
  <c r="E62" i="9"/>
  <c r="I46" i="12"/>
  <c r="J46" i="12"/>
  <c r="I181" i="12"/>
  <c r="J181" i="12"/>
  <c r="J12" i="12"/>
  <c r="I12" i="12"/>
  <c r="J199" i="12"/>
  <c r="I199" i="12"/>
  <c r="J116" i="12"/>
  <c r="I116" i="12"/>
  <c r="I119" i="12"/>
  <c r="J119" i="12"/>
  <c r="F34" i="9"/>
  <c r="I11" i="12"/>
  <c r="J11" i="12"/>
  <c r="J250" i="12"/>
  <c r="I250" i="12"/>
  <c r="G32" i="2"/>
  <c r="C34" i="2"/>
  <c r="C49" i="2" s="1"/>
  <c r="I20" i="17"/>
  <c r="Q20" i="17" s="1"/>
  <c r="S20" i="17" s="1"/>
  <c r="U20" i="17" s="1"/>
  <c r="K94" i="10"/>
  <c r="D21" i="9"/>
  <c r="D18" i="9"/>
  <c r="F18" i="9" s="1"/>
  <c r="F312" i="12"/>
  <c r="F328" i="12" s="1"/>
  <c r="H310" i="12"/>
  <c r="I54" i="17"/>
  <c r="Q54" i="17" s="1"/>
  <c r="S54" i="17" s="1"/>
  <c r="U54" i="17" s="1"/>
  <c r="K660" i="10"/>
  <c r="D44" i="9"/>
  <c r="I58" i="17"/>
  <c r="Q58" i="17" s="1"/>
  <c r="S58" i="17" s="1"/>
  <c r="U58" i="17" s="1"/>
  <c r="K622" i="10"/>
  <c r="O613" i="10"/>
  <c r="D40" i="9"/>
  <c r="I306" i="12"/>
  <c r="J306" i="12"/>
  <c r="I300" i="12"/>
  <c r="J300" i="12"/>
  <c r="J49" i="12"/>
  <c r="I49" i="12"/>
  <c r="J350" i="10"/>
  <c r="J525" i="10" s="1"/>
  <c r="K60" i="17"/>
  <c r="K421" i="10"/>
  <c r="D62" i="9"/>
  <c r="I14" i="17"/>
  <c r="K87" i="10"/>
  <c r="D14" i="9"/>
  <c r="K313" i="10"/>
  <c r="D54" i="9"/>
  <c r="J45" i="12"/>
  <c r="I45" i="12"/>
  <c r="J79" i="12"/>
  <c r="I79" i="12"/>
  <c r="C54" i="2"/>
  <c r="K397" i="10"/>
  <c r="I61" i="12"/>
  <c r="J61" i="12"/>
  <c r="I70" i="17"/>
  <c r="M462" i="10"/>
  <c r="K466" i="10"/>
  <c r="D67" i="9"/>
  <c r="F67" i="9" s="1"/>
  <c r="E54" i="9"/>
  <c r="I160" i="12"/>
  <c r="J160" i="12"/>
  <c r="J218" i="12"/>
  <c r="I218" i="12"/>
  <c r="I232" i="12"/>
  <c r="J232" i="12"/>
  <c r="J255" i="12"/>
  <c r="I255" i="12"/>
  <c r="K250" i="14"/>
  <c r="E29" i="9"/>
  <c r="L18" i="13"/>
  <c r="M18" i="13"/>
  <c r="J20" i="12"/>
  <c r="I20" i="12"/>
  <c r="I25" i="12" s="1"/>
  <c r="F25" i="12"/>
  <c r="K600" i="10"/>
  <c r="F243" i="12"/>
  <c r="J261" i="12"/>
  <c r="I261" i="12"/>
  <c r="F273" i="12"/>
  <c r="J14" i="17"/>
  <c r="K29" i="10"/>
  <c r="D8" i="9"/>
  <c r="I144" i="12"/>
  <c r="J144" i="12"/>
  <c r="J164" i="12"/>
  <c r="J172" i="12" s="1"/>
  <c r="I164" i="12"/>
  <c r="I172" i="12" s="1"/>
  <c r="L70" i="17"/>
  <c r="K609" i="10"/>
  <c r="D39" i="9"/>
  <c r="U182" i="11"/>
  <c r="I223" i="12"/>
  <c r="J223" i="12"/>
  <c r="I201" i="12"/>
  <c r="J201" i="12"/>
  <c r="K28" i="17"/>
  <c r="M424" i="10"/>
  <c r="D63" i="9"/>
  <c r="F63" i="9" s="1"/>
  <c r="AB15" i="3"/>
  <c r="J44" i="12"/>
  <c r="I44" i="12"/>
  <c r="L159" i="7"/>
  <c r="M140" i="6"/>
  <c r="M141" i="6" s="1"/>
  <c r="L10" i="17"/>
  <c r="D9" i="9"/>
  <c r="M483" i="10"/>
  <c r="E69" i="9"/>
  <c r="K483" i="10"/>
  <c r="J48" i="17"/>
  <c r="Q48" i="17" s="1"/>
  <c r="S48" i="17" s="1"/>
  <c r="U48" i="17" s="1"/>
  <c r="D36" i="9"/>
  <c r="K572" i="10"/>
  <c r="I16" i="17"/>
  <c r="Q16" i="17" s="1"/>
  <c r="S16" i="17" s="1"/>
  <c r="U16" i="17" s="1"/>
  <c r="K207" i="10"/>
  <c r="D27" i="9"/>
  <c r="I59" i="12"/>
  <c r="J59" i="12"/>
  <c r="I168" i="12"/>
  <c r="J168" i="12"/>
  <c r="I198" i="12"/>
  <c r="J198" i="12"/>
  <c r="AA97" i="3" l="1"/>
  <c r="Q28" i="17"/>
  <c r="S28" i="17" s="1"/>
  <c r="U28" i="17" s="1"/>
  <c r="F42" i="9"/>
  <c r="K670" i="10"/>
  <c r="M669" i="10"/>
  <c r="D35" i="9"/>
  <c r="M552" i="10"/>
  <c r="J249" i="10"/>
  <c r="M249" i="10" s="1"/>
  <c r="J250" i="10"/>
  <c r="M250" i="10" s="1"/>
  <c r="F55" i="9"/>
  <c r="I99" i="12"/>
  <c r="J99" i="12"/>
  <c r="J703" i="10"/>
  <c r="M703" i="10" s="1"/>
  <c r="F59" i="9"/>
  <c r="F9" i="9"/>
  <c r="J702" i="10"/>
  <c r="M702" i="10" s="1"/>
  <c r="J185" i="12"/>
  <c r="J191" i="12" s="1"/>
  <c r="I185" i="12"/>
  <c r="I191" i="12" s="1"/>
  <c r="J136" i="12"/>
  <c r="K563" i="10"/>
  <c r="E45" i="9"/>
  <c r="F45" i="9" s="1"/>
  <c r="F62" i="9"/>
  <c r="F56" i="9"/>
  <c r="J525" i="23"/>
  <c r="F27" i="9"/>
  <c r="S146" i="6"/>
  <c r="L14" i="8"/>
  <c r="G54" i="2"/>
  <c r="N14" i="8"/>
  <c r="F37" i="9"/>
  <c r="F39" i="9"/>
  <c r="F14" i="9"/>
  <c r="F11" i="9"/>
  <c r="F30" i="9"/>
  <c r="Q12" i="17"/>
  <c r="S12" i="17" s="1"/>
  <c r="U12" i="17" s="1"/>
  <c r="F40" i="9"/>
  <c r="T32" i="1"/>
  <c r="W32" i="1"/>
  <c r="F36" i="9"/>
  <c r="F69" i="9"/>
  <c r="F21" i="9"/>
  <c r="F54" i="9"/>
  <c r="F43" i="9"/>
  <c r="F192" i="12"/>
  <c r="J525" i="14"/>
  <c r="K526" i="14" s="1"/>
  <c r="I307" i="12"/>
  <c r="Q32" i="17"/>
  <c r="S32" i="17" s="1"/>
  <c r="U32" i="17" s="1"/>
  <c r="I17" i="12"/>
  <c r="F110" i="12"/>
  <c r="I91" i="12"/>
  <c r="Q18" i="17"/>
  <c r="S18" i="17" s="1"/>
  <c r="U18" i="17" s="1"/>
  <c r="E22" i="9"/>
  <c r="F12" i="9"/>
  <c r="I35" i="12"/>
  <c r="W37" i="1"/>
  <c r="J259" i="12"/>
  <c r="I128" i="12"/>
  <c r="I259" i="12"/>
  <c r="I243" i="12"/>
  <c r="F308" i="12"/>
  <c r="J17" i="12"/>
  <c r="K527" i="10"/>
  <c r="F10" i="8"/>
  <c r="M526" i="10"/>
  <c r="AB37" i="3"/>
  <c r="P4" i="3"/>
  <c r="Q4" i="3" s="1"/>
  <c r="J147" i="12"/>
  <c r="J154" i="10"/>
  <c r="M154" i="10" s="1"/>
  <c r="J109" i="12"/>
  <c r="Q10" i="17"/>
  <c r="S10" i="17" s="1"/>
  <c r="U10" i="17" s="1"/>
  <c r="F64" i="12"/>
  <c r="I63" i="12"/>
  <c r="D32" i="9"/>
  <c r="U221" i="12"/>
  <c r="V220" i="12"/>
  <c r="J91" i="12"/>
  <c r="E32" i="9"/>
  <c r="M459" i="10"/>
  <c r="E66" i="9"/>
  <c r="F66" i="9" s="1"/>
  <c r="K459" i="10"/>
  <c r="M401" i="13"/>
  <c r="L401" i="13"/>
  <c r="P20" i="12"/>
  <c r="R23" i="12" s="1"/>
  <c r="J25" i="12"/>
  <c r="J55" i="12"/>
  <c r="J208" i="12"/>
  <c r="J212" i="12" s="1"/>
  <c r="I208" i="12"/>
  <c r="I212" i="12" s="1"/>
  <c r="J290" i="12"/>
  <c r="F8" i="9"/>
  <c r="F8" i="8"/>
  <c r="I273" i="12"/>
  <c r="Q70" i="17"/>
  <c r="S70" i="17" s="1"/>
  <c r="U70" i="17" s="1"/>
  <c r="J60" i="17"/>
  <c r="Q60" i="17" s="1"/>
  <c r="S60" i="17" s="1"/>
  <c r="U60" i="17" s="1"/>
  <c r="D57" i="9"/>
  <c r="F57" i="9" s="1"/>
  <c r="K360" i="10"/>
  <c r="J155" i="10"/>
  <c r="M155" i="10" s="1"/>
  <c r="I80" i="12"/>
  <c r="I109" i="12"/>
  <c r="J227" i="12"/>
  <c r="J63" i="12"/>
  <c r="F24" i="9"/>
  <c r="I39" i="1"/>
  <c r="G39" i="1"/>
  <c r="J243" i="12"/>
  <c r="F53" i="9"/>
  <c r="F49" i="2"/>
  <c r="G34" i="2"/>
  <c r="G49" i="2" s="1"/>
  <c r="I290" i="12"/>
  <c r="F35" i="9"/>
  <c r="J158" i="12"/>
  <c r="K155" i="14"/>
  <c r="J273" i="12"/>
  <c r="Q14" i="17"/>
  <c r="S14" i="17" s="1"/>
  <c r="U14" i="17" s="1"/>
  <c r="F44" i="9"/>
  <c r="D48" i="9"/>
  <c r="J307" i="12"/>
  <c r="D22" i="9"/>
  <c r="F7" i="9"/>
  <c r="I55" i="12"/>
  <c r="J80" i="12"/>
  <c r="I227" i="12"/>
  <c r="F64" i="9"/>
  <c r="J35" i="12"/>
  <c r="F29" i="9"/>
  <c r="V15" i="12"/>
  <c r="W15" i="12" s="1"/>
  <c r="J128" i="12"/>
  <c r="I147" i="12"/>
  <c r="F25" i="9"/>
  <c r="F51" i="9"/>
  <c r="K250" i="10" l="1"/>
  <c r="E48" i="9"/>
  <c r="F48" i="9" s="1"/>
  <c r="K703" i="10"/>
  <c r="F12" i="8"/>
  <c r="M526" i="23"/>
  <c r="K527" i="23"/>
  <c r="J703" i="23"/>
  <c r="W33" i="1"/>
  <c r="C19" i="8"/>
  <c r="S141" i="6"/>
  <c r="I272" i="5"/>
  <c r="R142" i="6"/>
  <c r="U32" i="1"/>
  <c r="T44" i="1"/>
  <c r="D312" i="12"/>
  <c r="H312" i="12" s="1"/>
  <c r="T38" i="1"/>
  <c r="W40" i="1"/>
  <c r="V35" i="1"/>
  <c r="T49" i="1"/>
  <c r="T40" i="1"/>
  <c r="I110" i="12"/>
  <c r="E74" i="9"/>
  <c r="F32" i="9"/>
  <c r="J192" i="12"/>
  <c r="I64" i="12"/>
  <c r="I192" i="12"/>
  <c r="I308" i="12"/>
  <c r="J308" i="12"/>
  <c r="F309" i="12"/>
  <c r="J710" i="23" s="1"/>
  <c r="J64" i="12"/>
  <c r="J110" i="12"/>
  <c r="D74" i="9"/>
  <c r="J704" i="10"/>
  <c r="M704" i="10" s="1"/>
  <c r="K155" i="10"/>
  <c r="F6" i="8"/>
  <c r="F22" i="9"/>
  <c r="J705" i="10"/>
  <c r="M705" i="10" s="1"/>
  <c r="D6" i="8"/>
  <c r="D14" i="8" s="1"/>
  <c r="Q10" i="3"/>
  <c r="E75" i="9" l="1"/>
  <c r="F14" i="8"/>
  <c r="D12" i="15" s="1"/>
  <c r="D20" i="15" s="1"/>
  <c r="D24" i="15" s="1"/>
  <c r="D28" i="15" s="1"/>
  <c r="D29" i="15" s="1"/>
  <c r="J706" i="23"/>
  <c r="J707" i="23" s="1"/>
  <c r="J709" i="23"/>
  <c r="D328" i="12"/>
  <c r="F74" i="9"/>
  <c r="F310" i="12"/>
  <c r="I310" i="12" s="1"/>
  <c r="D75" i="9"/>
  <c r="I309" i="12"/>
  <c r="J309" i="12"/>
  <c r="J312" i="12" s="1"/>
  <c r="I316" i="12" s="1"/>
  <c r="J711" i="10"/>
  <c r="H328" i="12"/>
  <c r="E86" i="17"/>
  <c r="E87" i="17" s="1"/>
  <c r="J710" i="10"/>
  <c r="J707" i="10"/>
  <c r="J708" i="10" s="1"/>
  <c r="E77" i="9" l="1"/>
  <c r="F75" i="9"/>
  <c r="J310" i="12"/>
  <c r="J328" i="12"/>
  <c r="J313" i="12"/>
  <c r="J315" i="12" s="1"/>
  <c r="K4" i="12" l="1"/>
  <c r="K310" i="12" l="1"/>
  <c r="M310" i="12" s="1"/>
  <c r="K171" i="12"/>
  <c r="K224" i="12"/>
  <c r="P224" i="12" s="1"/>
  <c r="K209" i="12"/>
  <c r="T209" i="12" s="1"/>
  <c r="K175" i="12"/>
  <c r="K263" i="12"/>
  <c r="N263" i="12" s="1"/>
  <c r="K61" i="12"/>
  <c r="M61" i="12" s="1"/>
  <c r="K12" i="12"/>
  <c r="T12" i="12" s="1"/>
  <c r="U12" i="12" s="1"/>
  <c r="K126" i="12"/>
  <c r="K139" i="12"/>
  <c r="K207" i="12"/>
  <c r="T207" i="12" s="1"/>
  <c r="K125" i="12"/>
  <c r="K168" i="12"/>
  <c r="K20" i="12"/>
  <c r="M20" i="12" s="1"/>
  <c r="K45" i="12"/>
  <c r="T45" i="12" s="1"/>
  <c r="K144" i="12"/>
  <c r="K76" i="12"/>
  <c r="T76" i="12" s="1"/>
  <c r="K255" i="12"/>
  <c r="M255" i="12" s="1"/>
  <c r="K155" i="12"/>
  <c r="T155" i="12" s="1"/>
  <c r="K245" i="12"/>
  <c r="M245" i="12" s="1"/>
  <c r="K44" i="12"/>
  <c r="P44" i="12" s="1"/>
  <c r="K78" i="12"/>
  <c r="P78" i="12" s="1"/>
  <c r="K62" i="12"/>
  <c r="T62" i="12" s="1"/>
  <c r="K143" i="12"/>
  <c r="K199" i="12"/>
  <c r="M199" i="12" s="1"/>
  <c r="K300" i="12"/>
  <c r="T300" i="12" s="1"/>
  <c r="K43" i="12"/>
  <c r="T43" i="12" s="1"/>
  <c r="K302" i="12"/>
  <c r="M302" i="12" s="1"/>
  <c r="K33" i="12"/>
  <c r="T33" i="12" s="1"/>
  <c r="K234" i="12"/>
  <c r="R234" i="12" s="1"/>
  <c r="K181" i="12"/>
  <c r="K176" i="12"/>
  <c r="K230" i="12"/>
  <c r="T230" i="12" s="1"/>
  <c r="K132" i="12"/>
  <c r="K221" i="12"/>
  <c r="R221" i="12" s="1"/>
  <c r="K174" i="12"/>
  <c r="K201" i="12"/>
  <c r="M201" i="12" s="1"/>
  <c r="K269" i="12"/>
  <c r="P269" i="12" s="1"/>
  <c r="K146" i="12"/>
  <c r="T146" i="12" s="1"/>
  <c r="K24" i="12"/>
  <c r="T24" i="12" s="1"/>
  <c r="K177" i="12"/>
  <c r="K134" i="12"/>
  <c r="K296" i="12"/>
  <c r="T296" i="12" s="1"/>
  <c r="K261" i="12"/>
  <c r="M261" i="12" s="1"/>
  <c r="K166" i="12"/>
  <c r="K123" i="12"/>
  <c r="K218" i="12"/>
  <c r="R218" i="12" s="1"/>
  <c r="K247" i="12"/>
  <c r="T247" i="12" s="1"/>
  <c r="K164" i="12"/>
  <c r="K232" i="12"/>
  <c r="R232" i="12" s="1"/>
  <c r="K265" i="12"/>
  <c r="P265" i="12" s="1"/>
  <c r="K108" i="12"/>
  <c r="K88" i="12"/>
  <c r="R88" i="12" s="1"/>
  <c r="K287" i="12"/>
  <c r="T287" i="12" s="1"/>
  <c r="K79" i="12"/>
  <c r="R79" i="12" s="1"/>
  <c r="K38" i="12"/>
  <c r="T38" i="12" s="1"/>
  <c r="K85" i="12"/>
  <c r="R85" i="12" s="1"/>
  <c r="K297" i="12"/>
  <c r="M297" i="12" s="1"/>
  <c r="K82" i="12"/>
  <c r="R82" i="12" s="1"/>
  <c r="K40" i="12"/>
  <c r="P40" i="12" s="1"/>
  <c r="K160" i="12"/>
  <c r="K71" i="12"/>
  <c r="P71" i="12" s="1"/>
  <c r="K145" i="12"/>
  <c r="K246" i="12"/>
  <c r="M246" i="12" s="1"/>
  <c r="K222" i="12"/>
  <c r="P222" i="12" s="1"/>
  <c r="K116" i="12"/>
  <c r="K84" i="12"/>
  <c r="R84" i="12" s="1"/>
  <c r="K276" i="12"/>
  <c r="T276" i="12" s="1"/>
  <c r="K293" i="12"/>
  <c r="T293" i="12" s="1"/>
  <c r="K304" i="12"/>
  <c r="M304" i="12" s="1"/>
  <c r="K298" i="12"/>
  <c r="T298" i="12" s="1"/>
  <c r="K217" i="12"/>
  <c r="P217" i="12" s="1"/>
  <c r="K16" i="12"/>
  <c r="T16" i="12" s="1"/>
  <c r="U16" i="12" s="1"/>
  <c r="V16" i="12" s="1"/>
  <c r="K51" i="12"/>
  <c r="P51" i="12" s="1"/>
  <c r="K208" i="12"/>
  <c r="M208" i="12" s="1"/>
  <c r="K183" i="12"/>
  <c r="K97" i="12"/>
  <c r="R97" i="12" s="1"/>
  <c r="K6" i="12"/>
  <c r="T6" i="12" s="1"/>
  <c r="U6" i="12" s="1"/>
  <c r="K57" i="12"/>
  <c r="T57" i="12" s="1"/>
  <c r="K74" i="12"/>
  <c r="R74" i="12" s="1"/>
  <c r="K258" i="12"/>
  <c r="M258" i="12" s="1"/>
  <c r="K138" i="12"/>
  <c r="K42" i="12"/>
  <c r="M42" i="12" s="1"/>
  <c r="K49" i="12"/>
  <c r="P49" i="12" s="1"/>
  <c r="K70" i="12"/>
  <c r="R70" i="12" s="1"/>
  <c r="K272" i="12"/>
  <c r="T272" i="12" s="1"/>
  <c r="K59" i="12"/>
  <c r="M59" i="12" s="1"/>
  <c r="K142" i="12"/>
  <c r="K241" i="12"/>
  <c r="M241" i="12" s="1"/>
  <c r="K15" i="12"/>
  <c r="P15" i="12" s="1"/>
  <c r="K140" i="12"/>
  <c r="K219" i="12"/>
  <c r="R219" i="12" s="1"/>
  <c r="K294" i="12"/>
  <c r="T294" i="12" s="1"/>
  <c r="K292" i="12"/>
  <c r="T292" i="12" s="1"/>
  <c r="K233" i="12"/>
  <c r="N233" i="12" s="1"/>
  <c r="K266" i="12"/>
  <c r="T266" i="12" s="1"/>
  <c r="K253" i="12"/>
  <c r="P253" i="12" s="1"/>
  <c r="K288" i="12"/>
  <c r="N266" i="12" s="1"/>
  <c r="K240" i="12"/>
  <c r="M240" i="12" s="1"/>
  <c r="K180" i="12"/>
  <c r="K37" i="12"/>
  <c r="P37" i="12" s="1"/>
  <c r="K28" i="12"/>
  <c r="M28" i="12" s="1"/>
  <c r="K117" i="12"/>
  <c r="K46" i="12"/>
  <c r="M46" i="12" s="1"/>
  <c r="K202" i="12"/>
  <c r="M202" i="12" s="1"/>
  <c r="K223" i="12"/>
  <c r="T223" i="12" s="1"/>
  <c r="K267" i="12"/>
  <c r="M267" i="12" s="1"/>
  <c r="K118" i="12"/>
  <c r="K156" i="12"/>
  <c r="K200" i="12"/>
  <c r="M200" i="12" s="1"/>
  <c r="K275" i="12"/>
  <c r="T275" i="12" s="1"/>
  <c r="K262" i="12"/>
  <c r="T262" i="12" s="1"/>
  <c r="K13" i="12"/>
  <c r="T13" i="12" s="1"/>
  <c r="U13" i="12" s="1"/>
  <c r="K31" i="12"/>
  <c r="M31" i="12" s="1"/>
  <c r="K299" i="12"/>
  <c r="M299" i="12" s="1"/>
  <c r="K11" i="12"/>
  <c r="R11" i="12" s="1"/>
  <c r="K75" i="12"/>
  <c r="R75" i="12" s="1"/>
  <c r="K101" i="12"/>
  <c r="K39" i="12"/>
  <c r="M39" i="12" s="1"/>
  <c r="K163" i="12"/>
  <c r="K206" i="12"/>
  <c r="M206" i="12" s="1"/>
  <c r="K98" i="12"/>
  <c r="T98" i="12" s="1"/>
  <c r="K93" i="12"/>
  <c r="M93" i="12" s="1"/>
  <c r="K236" i="12"/>
  <c r="R236" i="12" s="1"/>
  <c r="K107" i="12"/>
  <c r="K283" i="12"/>
  <c r="T283" i="12" s="1"/>
  <c r="K226" i="12"/>
  <c r="P226" i="12" s="1"/>
  <c r="K41" i="12"/>
  <c r="P41" i="12" s="1"/>
  <c r="K231" i="12"/>
  <c r="T231" i="12" s="1"/>
  <c r="K9" i="12"/>
  <c r="T9" i="12" s="1"/>
  <c r="U9" i="12" s="1"/>
  <c r="K186" i="12"/>
  <c r="K87" i="12"/>
  <c r="R87" i="12" s="1"/>
  <c r="K305" i="12"/>
  <c r="T305" i="12" s="1"/>
  <c r="K122" i="12"/>
  <c r="K47" i="12"/>
  <c r="T47" i="12" s="1"/>
  <c r="K53" i="12"/>
  <c r="P53" i="12" s="1"/>
  <c r="K238" i="12"/>
  <c r="M238" i="12" s="1"/>
  <c r="K285" i="12"/>
  <c r="T285" i="12" s="1"/>
  <c r="K149" i="12"/>
  <c r="K189" i="12"/>
  <c r="T189" i="12" s="1"/>
  <c r="K203" i="12"/>
  <c r="M203" i="12" s="1"/>
  <c r="K256" i="12"/>
  <c r="M256" i="12" s="1"/>
  <c r="K210" i="12"/>
  <c r="T210" i="12" s="1"/>
  <c r="K72" i="12"/>
  <c r="T72" i="12" s="1"/>
  <c r="K204" i="12"/>
  <c r="T204" i="12" s="1"/>
  <c r="K268" i="12"/>
  <c r="T268" i="12" s="1"/>
  <c r="K229" i="12"/>
  <c r="P229" i="12" s="1"/>
  <c r="Q229" i="12" s="1"/>
  <c r="K303" i="12"/>
  <c r="M303" i="12" s="1"/>
  <c r="K54" i="12"/>
  <c r="T54" i="12" s="1"/>
  <c r="K150" i="12"/>
  <c r="K178" i="12"/>
  <c r="T178" i="12" s="1"/>
  <c r="K286" i="12"/>
  <c r="T286" i="12" s="1"/>
  <c r="K188" i="12"/>
  <c r="T188" i="12" s="1"/>
  <c r="K135" i="12"/>
  <c r="T135" i="12" s="1"/>
  <c r="K220" i="12"/>
  <c r="R220" i="12" s="1"/>
  <c r="K58" i="12"/>
  <c r="K250" i="12"/>
  <c r="M250" i="12" s="1"/>
  <c r="K73" i="12"/>
  <c r="P73" i="12" s="1"/>
  <c r="K29" i="12"/>
  <c r="T29" i="12" s="1"/>
  <c r="K30" i="12"/>
  <c r="M30" i="12" s="1"/>
  <c r="K77" i="12"/>
  <c r="M77" i="12" s="1"/>
  <c r="K182" i="12"/>
  <c r="K165" i="12"/>
  <c r="T165" i="12" s="1"/>
  <c r="K169" i="12"/>
  <c r="K83" i="12"/>
  <c r="T83" i="12" s="1"/>
  <c r="K216" i="12"/>
  <c r="M216" i="12" s="1"/>
  <c r="K121" i="12"/>
  <c r="K198" i="12"/>
  <c r="M198" i="12" s="1"/>
  <c r="K271" i="12"/>
  <c r="T271" i="12" s="1"/>
  <c r="K119" i="12"/>
  <c r="T119" i="12" s="1"/>
  <c r="K179" i="12"/>
  <c r="K252" i="12"/>
  <c r="T252" i="12" s="1"/>
  <c r="K103" i="12"/>
  <c r="K32" i="12"/>
  <c r="T32" i="12" s="1"/>
  <c r="K10" i="12"/>
  <c r="R10" i="12" s="1"/>
  <c r="K239" i="12"/>
  <c r="T239" i="12" s="1"/>
  <c r="K249" i="12"/>
  <c r="P249" i="12" s="1"/>
  <c r="K205" i="12"/>
  <c r="M205" i="12" s="1"/>
  <c r="K86" i="12"/>
  <c r="M86" i="12" s="1"/>
  <c r="K141" i="12"/>
  <c r="T141" i="12" s="1"/>
  <c r="K60" i="12"/>
  <c r="M60" i="12" s="1"/>
  <c r="K130" i="12"/>
  <c r="T130" i="12" s="1"/>
  <c r="K257" i="12"/>
  <c r="M257" i="12" s="1"/>
  <c r="K270" i="12"/>
  <c r="Q270" i="12" s="1"/>
  <c r="K8" i="12"/>
  <c r="P8" i="12" s="1"/>
  <c r="K282" i="12"/>
  <c r="T282" i="12" s="1"/>
  <c r="K284" i="12"/>
  <c r="T284" i="12" s="1"/>
  <c r="K279" i="12"/>
  <c r="T279" i="12" s="1"/>
  <c r="K153" i="12"/>
  <c r="T153" i="12" s="1"/>
  <c r="K96" i="12"/>
  <c r="M96" i="12" s="1"/>
  <c r="K170" i="12"/>
  <c r="T170" i="12" s="1"/>
  <c r="K48" i="12"/>
  <c r="T48" i="12" s="1"/>
  <c r="K19" i="12"/>
  <c r="T19" i="12" s="1"/>
  <c r="K22" i="12"/>
  <c r="T22" i="12" s="1"/>
  <c r="K34" i="12"/>
  <c r="T34" i="12" s="1"/>
  <c r="K237" i="12"/>
  <c r="T237" i="12" s="1"/>
  <c r="K90" i="12"/>
  <c r="R90" i="12" s="1"/>
  <c r="K152" i="12"/>
  <c r="K105" i="12"/>
  <c r="K157" i="12"/>
  <c r="T157" i="12" s="1"/>
  <c r="K248" i="12"/>
  <c r="R248" i="12" s="1"/>
  <c r="K154" i="12"/>
  <c r="K52" i="12"/>
  <c r="P52" i="12" s="1"/>
  <c r="K23" i="12"/>
  <c r="M23" i="12" s="1"/>
  <c r="K264" i="12"/>
  <c r="Q264" i="12" s="1"/>
  <c r="K102" i="12"/>
  <c r="K306" i="12"/>
  <c r="T306" i="12" s="1"/>
  <c r="K242" i="12"/>
  <c r="M242" i="12" s="1"/>
  <c r="K162" i="12"/>
  <c r="T162" i="12" s="1"/>
  <c r="K289" i="12"/>
  <c r="T289" i="12" s="1"/>
  <c r="K167" i="12"/>
  <c r="T167" i="12" s="1"/>
  <c r="K127" i="12"/>
  <c r="K301" i="12"/>
  <c r="M301" i="12" s="1"/>
  <c r="K131" i="12"/>
  <c r="K254" i="12"/>
  <c r="T254" i="12" s="1"/>
  <c r="K184" i="12"/>
  <c r="K295" i="12"/>
  <c r="T295" i="12" s="1"/>
  <c r="K106" i="12"/>
  <c r="K27" i="12"/>
  <c r="M27" i="12" s="1"/>
  <c r="K115" i="12"/>
  <c r="K133" i="12"/>
  <c r="K211" i="12"/>
  <c r="K89" i="12"/>
  <c r="R89" i="12" s="1"/>
  <c r="K185" i="12"/>
  <c r="K187" i="12"/>
  <c r="T187" i="12" s="1"/>
  <c r="K95" i="12"/>
  <c r="T95" i="12" s="1"/>
  <c r="K251" i="12"/>
  <c r="R251" i="12" s="1"/>
  <c r="K5" i="12"/>
  <c r="P5" i="12" s="1"/>
  <c r="K161" i="12"/>
  <c r="K151" i="12"/>
  <c r="T151" i="12" s="1"/>
  <c r="K235" i="12"/>
  <c r="T235" i="12" s="1"/>
  <c r="K7" i="12"/>
  <c r="M7" i="12" s="1"/>
  <c r="K278" i="12"/>
  <c r="T278" i="12" s="1"/>
  <c r="K94" i="12"/>
  <c r="M94" i="12" s="1"/>
  <c r="K190" i="12"/>
  <c r="T190" i="12" s="1"/>
  <c r="K225" i="12"/>
  <c r="P225" i="12" s="1"/>
  <c r="K14" i="12"/>
  <c r="K120" i="12"/>
  <c r="K215" i="12"/>
  <c r="P215" i="12" s="1"/>
  <c r="K104" i="12"/>
  <c r="K21" i="12"/>
  <c r="M21" i="12" s="1"/>
  <c r="K280" i="12"/>
  <c r="T280" i="12" s="1"/>
  <c r="K50" i="12"/>
  <c r="P50" i="12" s="1"/>
  <c r="K281" i="12"/>
  <c r="T281" i="12" s="1"/>
  <c r="N168" i="12"/>
  <c r="T160" i="12" l="1"/>
  <c r="K172" i="12"/>
  <c r="U115" i="12"/>
  <c r="T115" i="12"/>
  <c r="U127" i="12"/>
  <c r="T127" i="12"/>
  <c r="N163" i="12"/>
  <c r="T163" i="12"/>
  <c r="N142" i="12"/>
  <c r="T142" i="12"/>
  <c r="M183" i="12"/>
  <c r="T183" i="12"/>
  <c r="N174" i="12"/>
  <c r="T174" i="12"/>
  <c r="M176" i="12"/>
  <c r="T176" i="12"/>
  <c r="N144" i="12"/>
  <c r="T144" i="12"/>
  <c r="M125" i="12"/>
  <c r="T125" i="12"/>
  <c r="M121" i="12"/>
  <c r="T121" i="12"/>
  <c r="N149" i="12"/>
  <c r="T149" i="12"/>
  <c r="Q140" i="12"/>
  <c r="T140" i="12"/>
  <c r="N181" i="12"/>
  <c r="T181" i="12"/>
  <c r="Q120" i="12"/>
  <c r="T120" i="12"/>
  <c r="M131" i="12"/>
  <c r="T131" i="12"/>
  <c r="M154" i="12"/>
  <c r="T154" i="12"/>
  <c r="N152" i="12"/>
  <c r="T152" i="12"/>
  <c r="M182" i="12"/>
  <c r="T182" i="12"/>
  <c r="N150" i="12"/>
  <c r="T150" i="12"/>
  <c r="U122" i="12"/>
  <c r="T122" i="12"/>
  <c r="N138" i="12"/>
  <c r="T138" i="12"/>
  <c r="Q116" i="12"/>
  <c r="T116" i="12"/>
  <c r="U123" i="12"/>
  <c r="T123" i="12"/>
  <c r="Q134" i="12"/>
  <c r="T134" i="12"/>
  <c r="M132" i="12"/>
  <c r="T132" i="12"/>
  <c r="M139" i="12"/>
  <c r="T139" i="12"/>
  <c r="M185" i="12"/>
  <c r="T185" i="12"/>
  <c r="N184" i="12"/>
  <c r="T184" i="12"/>
  <c r="U169" i="12"/>
  <c r="T169" i="12"/>
  <c r="U119" i="12"/>
  <c r="V119" i="12" s="1"/>
  <c r="T118" i="12"/>
  <c r="N180" i="12"/>
  <c r="T180" i="12"/>
  <c r="Q143" i="12"/>
  <c r="T143" i="12"/>
  <c r="N179" i="12"/>
  <c r="T179" i="12"/>
  <c r="M186" i="12"/>
  <c r="T186" i="12"/>
  <c r="N117" i="12"/>
  <c r="T117" i="12"/>
  <c r="M145" i="12"/>
  <c r="T145" i="12"/>
  <c r="U161" i="12"/>
  <c r="T161" i="12"/>
  <c r="N133" i="12"/>
  <c r="T133" i="12"/>
  <c r="N156" i="12"/>
  <c r="T156" i="12"/>
  <c r="M164" i="12"/>
  <c r="T164" i="12"/>
  <c r="U167" i="12" s="1"/>
  <c r="U168" i="12" s="1"/>
  <c r="N166" i="12"/>
  <c r="T166" i="12"/>
  <c r="N177" i="12"/>
  <c r="T177" i="12"/>
  <c r="M168" i="12"/>
  <c r="T168" i="12"/>
  <c r="M126" i="12"/>
  <c r="T126" i="12"/>
  <c r="M175" i="12"/>
  <c r="T175" i="12"/>
  <c r="R224" i="12"/>
  <c r="T224" i="12"/>
  <c r="M224" i="12"/>
  <c r="M209" i="12"/>
  <c r="M12" i="12"/>
  <c r="R245" i="12"/>
  <c r="N125" i="12"/>
  <c r="R12" i="12"/>
  <c r="M33" i="12"/>
  <c r="P230" i="12"/>
  <c r="Q230" i="12" s="1"/>
  <c r="T85" i="12"/>
  <c r="T203" i="12"/>
  <c r="R222" i="12"/>
  <c r="T302" i="12"/>
  <c r="P12" i="12"/>
  <c r="T97" i="12"/>
  <c r="M144" i="12"/>
  <c r="M143" i="12"/>
  <c r="T248" i="12"/>
  <c r="N160" i="12"/>
  <c r="P258" i="12"/>
  <c r="Q263" i="12"/>
  <c r="N175" i="12"/>
  <c r="T44" i="12"/>
  <c r="R78" i="12"/>
  <c r="Q161" i="12"/>
  <c r="M15" i="12"/>
  <c r="M83" i="12"/>
  <c r="N153" i="12"/>
  <c r="M13" i="12"/>
  <c r="R255" i="12"/>
  <c r="T202" i="12"/>
  <c r="T8" i="12"/>
  <c r="U8" i="12" s="1"/>
  <c r="R19" i="12"/>
  <c r="T20" i="12"/>
  <c r="T263" i="12"/>
  <c r="M204" i="12"/>
  <c r="N139" i="12"/>
  <c r="T241" i="12"/>
  <c r="V72" i="12"/>
  <c r="V74" i="12" s="1"/>
  <c r="V75" i="12" s="1"/>
  <c r="P76" i="12"/>
  <c r="M263" i="12"/>
  <c r="T77" i="12"/>
  <c r="P16" i="12"/>
  <c r="R238" i="12"/>
  <c r="T249" i="12"/>
  <c r="U166" i="12"/>
  <c r="P70" i="12"/>
  <c r="P231" i="12"/>
  <c r="Q231" i="12" s="1"/>
  <c r="T304" i="12"/>
  <c r="P9" i="12"/>
  <c r="U90" i="12"/>
  <c r="U92" i="12" s="1"/>
  <c r="Q269" i="12"/>
  <c r="N164" i="12"/>
  <c r="T75" i="12"/>
  <c r="T199" i="12"/>
  <c r="P263" i="12"/>
  <c r="P250" i="12"/>
  <c r="M98" i="12"/>
  <c r="T253" i="12"/>
  <c r="T201" i="12"/>
  <c r="N132" i="12"/>
  <c r="T206" i="12"/>
  <c r="N126" i="12"/>
  <c r="Q156" i="12"/>
  <c r="R76" i="12"/>
  <c r="Q133" i="12"/>
  <c r="P77" i="12"/>
  <c r="T37" i="12"/>
  <c r="Q153" i="12"/>
  <c r="M253" i="12"/>
  <c r="R249" i="12"/>
  <c r="Q166" i="12"/>
  <c r="M44" i="12"/>
  <c r="M177" i="12"/>
  <c r="T60" i="12"/>
  <c r="Q164" i="12"/>
  <c r="Q126" i="12"/>
  <c r="R241" i="12"/>
  <c r="M230" i="12"/>
  <c r="P75" i="12"/>
  <c r="T222" i="12"/>
  <c r="P83" i="12"/>
  <c r="R250" i="12"/>
  <c r="M97" i="12"/>
  <c r="M248" i="12"/>
  <c r="N238" i="12"/>
  <c r="R8" i="12"/>
  <c r="R13" i="12"/>
  <c r="U160" i="12"/>
  <c r="T61" i="12"/>
  <c r="T70" i="12"/>
  <c r="P85" i="12"/>
  <c r="P54" i="12"/>
  <c r="M231" i="12"/>
  <c r="R258" i="12"/>
  <c r="M298" i="12"/>
  <c r="M181" i="12"/>
  <c r="N155" i="12"/>
  <c r="Q265" i="12"/>
  <c r="Q266" i="12"/>
  <c r="M207" i="12"/>
  <c r="T234" i="12"/>
  <c r="M43" i="12"/>
  <c r="M221" i="12"/>
  <c r="Q155" i="12"/>
  <c r="U63" i="12"/>
  <c r="P45" i="12"/>
  <c r="T221" i="12"/>
  <c r="P43" i="12"/>
  <c r="T31" i="12"/>
  <c r="M266" i="12"/>
  <c r="P255" i="12"/>
  <c r="P234" i="12"/>
  <c r="Q234" i="12" s="1"/>
  <c r="T28" i="12"/>
  <c r="R98" i="12"/>
  <c r="M78" i="12"/>
  <c r="M9" i="12"/>
  <c r="Q132" i="12"/>
  <c r="P266" i="12"/>
  <c r="N130" i="12"/>
  <c r="N269" i="12"/>
  <c r="U164" i="12"/>
  <c r="T255" i="12"/>
  <c r="U126" i="12"/>
  <c r="P241" i="12"/>
  <c r="Q241" i="12" s="1"/>
  <c r="M223" i="12"/>
  <c r="R230" i="12"/>
  <c r="R20" i="12"/>
  <c r="N236" i="12"/>
  <c r="T51" i="12"/>
  <c r="M75" i="12"/>
  <c r="M222" i="12"/>
  <c r="M76" i="12"/>
  <c r="N162" i="12"/>
  <c r="R83" i="12"/>
  <c r="R77" i="12"/>
  <c r="T250" i="12"/>
  <c r="M37" i="12"/>
  <c r="M6" i="12"/>
  <c r="N264" i="12"/>
  <c r="R16" i="12"/>
  <c r="P248" i="12"/>
  <c r="M153" i="12"/>
  <c r="P238" i="12"/>
  <c r="Q238" i="12" s="1"/>
  <c r="T238" i="12"/>
  <c r="R253" i="12"/>
  <c r="M8" i="12"/>
  <c r="M249" i="12"/>
  <c r="P232" i="12"/>
  <c r="Q232" i="12" s="1"/>
  <c r="P13" i="12"/>
  <c r="R71" i="12"/>
  <c r="Q160" i="12"/>
  <c r="T78" i="12"/>
  <c r="M70" i="12"/>
  <c r="M138" i="12"/>
  <c r="M85" i="12"/>
  <c r="M305" i="12"/>
  <c r="R231" i="12"/>
  <c r="M300" i="12"/>
  <c r="T258" i="12"/>
  <c r="Q168" i="12"/>
  <c r="M269" i="12"/>
  <c r="Q139" i="12"/>
  <c r="M234" i="12"/>
  <c r="R15" i="12"/>
  <c r="P6" i="12"/>
  <c r="M134" i="12"/>
  <c r="M71" i="12"/>
  <c r="T288" i="12"/>
  <c r="N268" i="12"/>
  <c r="T269" i="12"/>
  <c r="Q119" i="12"/>
  <c r="P223" i="12"/>
  <c r="M51" i="12"/>
  <c r="T15" i="12"/>
  <c r="U15" i="12" s="1"/>
  <c r="T297" i="12"/>
  <c r="T264" i="12"/>
  <c r="M232" i="12"/>
  <c r="M166" i="12"/>
  <c r="M160" i="12"/>
  <c r="M19" i="12"/>
  <c r="N116" i="12"/>
  <c r="T245" i="12"/>
  <c r="P247" i="12"/>
  <c r="M142" i="12"/>
  <c r="Q144" i="12"/>
  <c r="N143" i="12"/>
  <c r="M217" i="12"/>
  <c r="N176" i="12"/>
  <c r="Q261" i="12"/>
  <c r="P221" i="12"/>
  <c r="P245" i="12"/>
  <c r="M174" i="12"/>
  <c r="P246" i="12"/>
  <c r="M45" i="12"/>
  <c r="T41" i="12"/>
  <c r="Q125" i="12"/>
  <c r="T218" i="12"/>
  <c r="P72" i="12"/>
  <c r="T40" i="12"/>
  <c r="T82" i="12"/>
  <c r="U125" i="12"/>
  <c r="M218" i="12"/>
  <c r="T208" i="12"/>
  <c r="T265" i="12"/>
  <c r="T84" i="12"/>
  <c r="T267" i="12"/>
  <c r="N145" i="12"/>
  <c r="M57" i="12"/>
  <c r="M150" i="12"/>
  <c r="R223" i="12"/>
  <c r="R6" i="12"/>
  <c r="P233" i="12"/>
  <c r="Q233" i="12" s="1"/>
  <c r="N134" i="12"/>
  <c r="N186" i="12"/>
  <c r="T39" i="12"/>
  <c r="T232" i="12"/>
  <c r="M84" i="12"/>
  <c r="T59" i="12"/>
  <c r="T71" i="12"/>
  <c r="Q138" i="12"/>
  <c r="M116" i="12"/>
  <c r="U116" i="12"/>
  <c r="M140" i="12"/>
  <c r="T200" i="12"/>
  <c r="M82" i="12"/>
  <c r="K63" i="12"/>
  <c r="M63" i="12" s="1"/>
  <c r="M247" i="12"/>
  <c r="M40" i="12"/>
  <c r="T49" i="12"/>
  <c r="R217" i="12"/>
  <c r="P218" i="12"/>
  <c r="N262" i="12"/>
  <c r="N261" i="12"/>
  <c r="P261" i="12"/>
  <c r="P38" i="12"/>
  <c r="P46" i="12"/>
  <c r="T240" i="12"/>
  <c r="T93" i="12"/>
  <c r="M265" i="12"/>
  <c r="P84" i="12"/>
  <c r="R247" i="12"/>
  <c r="T246" i="12"/>
  <c r="P42" i="12"/>
  <c r="P82" i="12"/>
  <c r="Q145" i="12"/>
  <c r="T217" i="12"/>
  <c r="P219" i="12"/>
  <c r="T261" i="12"/>
  <c r="M38" i="12"/>
  <c r="T23" i="12"/>
  <c r="M236" i="12"/>
  <c r="R246" i="12"/>
  <c r="P74" i="12"/>
  <c r="M163" i="12"/>
  <c r="M11" i="12"/>
  <c r="T233" i="12"/>
  <c r="P240" i="12"/>
  <c r="Q240" i="12" s="1"/>
  <c r="N265" i="12"/>
  <c r="N140" i="12"/>
  <c r="T53" i="12"/>
  <c r="M41" i="12"/>
  <c r="P11" i="12"/>
  <c r="Q262" i="12"/>
  <c r="N169" i="12"/>
  <c r="N183" i="12"/>
  <c r="N118" i="12"/>
  <c r="T236" i="12"/>
  <c r="T74" i="12"/>
  <c r="M239" i="12"/>
  <c r="U163" i="12"/>
  <c r="T11" i="12"/>
  <c r="U11" i="12" s="1"/>
  <c r="M262" i="12"/>
  <c r="P252" i="12"/>
  <c r="M115" i="12"/>
  <c r="M165" i="12"/>
  <c r="T46" i="12"/>
  <c r="M233" i="12"/>
  <c r="R233" i="12"/>
  <c r="Q118" i="12"/>
  <c r="R240" i="12"/>
  <c r="N237" i="12"/>
  <c r="P236" i="12"/>
  <c r="Q236" i="12" s="1"/>
  <c r="M141" i="12"/>
  <c r="Q142" i="12"/>
  <c r="T42" i="12"/>
  <c r="M74" i="12"/>
  <c r="M49" i="12"/>
  <c r="T219" i="12"/>
  <c r="P270" i="12"/>
  <c r="M180" i="12"/>
  <c r="M219" i="12"/>
  <c r="Q163" i="12"/>
  <c r="P262" i="12"/>
  <c r="N127" i="12"/>
  <c r="T58" i="12"/>
  <c r="M118" i="12"/>
  <c r="T303" i="12"/>
  <c r="M72" i="12"/>
  <c r="T198" i="12"/>
  <c r="N267" i="12"/>
  <c r="R226" i="12"/>
  <c r="P86" i="12"/>
  <c r="M29" i="12"/>
  <c r="Q117" i="12"/>
  <c r="P39" i="12"/>
  <c r="P267" i="12"/>
  <c r="M47" i="12"/>
  <c r="T227" i="12"/>
  <c r="U121" i="12"/>
  <c r="P216" i="12"/>
  <c r="U117" i="12"/>
  <c r="Q149" i="12"/>
  <c r="R229" i="12"/>
  <c r="R93" i="12"/>
  <c r="M179" i="12"/>
  <c r="T299" i="12"/>
  <c r="Q267" i="12"/>
  <c r="P256" i="12"/>
  <c r="M117" i="12"/>
  <c r="M52" i="12"/>
  <c r="Q121" i="12"/>
  <c r="R94" i="12"/>
  <c r="M220" i="12"/>
  <c r="T10" i="12"/>
  <c r="U10" i="12" s="1"/>
  <c r="R257" i="12"/>
  <c r="M122" i="12"/>
  <c r="R256" i="12"/>
  <c r="M50" i="12"/>
  <c r="M149" i="12"/>
  <c r="M210" i="12"/>
  <c r="T257" i="12"/>
  <c r="P47" i="12"/>
  <c r="M268" i="12"/>
  <c r="T86" i="12"/>
  <c r="N119" i="12"/>
  <c r="T215" i="12"/>
  <c r="U165" i="12"/>
  <c r="Q165" i="12"/>
  <c r="T73" i="12"/>
  <c r="P220" i="12"/>
  <c r="M229" i="12"/>
  <c r="P10" i="12"/>
  <c r="T52" i="12"/>
  <c r="M178" i="12"/>
  <c r="P257" i="12"/>
  <c r="N122" i="12"/>
  <c r="R9" i="12"/>
  <c r="R86" i="12"/>
  <c r="N121" i="12"/>
  <c r="N167" i="12"/>
  <c r="N165" i="12"/>
  <c r="T220" i="12"/>
  <c r="T229" i="12"/>
  <c r="M10" i="12"/>
  <c r="N178" i="12"/>
  <c r="Q130" i="12"/>
  <c r="R254" i="12"/>
  <c r="M306" i="12"/>
  <c r="N182" i="12"/>
  <c r="Q122" i="12"/>
  <c r="T205" i="12"/>
  <c r="Q150" i="12"/>
  <c r="P268" i="12"/>
  <c r="Q268" i="12"/>
  <c r="M270" i="12"/>
  <c r="R252" i="12"/>
  <c r="T225" i="12"/>
  <c r="N151" i="12"/>
  <c r="R95" i="12"/>
  <c r="K128" i="12"/>
  <c r="R216" i="12"/>
  <c r="T96" i="12"/>
  <c r="Q141" i="12"/>
  <c r="R72" i="12"/>
  <c r="K80" i="12"/>
  <c r="T80" i="12" s="1"/>
  <c r="R237" i="12"/>
  <c r="T256" i="12"/>
  <c r="R22" i="12"/>
  <c r="M130" i="12"/>
  <c r="P239" i="12"/>
  <c r="Q239" i="12" s="1"/>
  <c r="M119" i="12"/>
  <c r="N270" i="12"/>
  <c r="P7" i="12"/>
  <c r="R5" i="12"/>
  <c r="N131" i="12"/>
  <c r="R242" i="12"/>
  <c r="T30" i="12"/>
  <c r="M73" i="12"/>
  <c r="Q152" i="12"/>
  <c r="M32" i="12"/>
  <c r="K147" i="12"/>
  <c r="K212" i="12"/>
  <c r="F23" i="20" s="1"/>
  <c r="K109" i="12"/>
  <c r="F14" i="20" s="1"/>
  <c r="G14" i="20" s="1"/>
  <c r="E14" i="20" s="1"/>
  <c r="J14" i="20" s="1"/>
  <c r="M22" i="12"/>
  <c r="R239" i="12"/>
  <c r="K273" i="12"/>
  <c r="F27" i="20" s="1"/>
  <c r="T270" i="12"/>
  <c r="M252" i="12"/>
  <c r="U120" i="12"/>
  <c r="T7" i="12"/>
  <c r="U7" i="12" s="1"/>
  <c r="Q151" i="12"/>
  <c r="M211" i="12"/>
  <c r="N115" i="12"/>
  <c r="T242" i="12"/>
  <c r="T216" i="12"/>
  <c r="M169" i="12"/>
  <c r="R73" i="12"/>
  <c r="M58" i="12"/>
  <c r="R96" i="12"/>
  <c r="M152" i="12"/>
  <c r="N141" i="12"/>
  <c r="M237" i="12"/>
  <c r="M120" i="12"/>
  <c r="R225" i="12"/>
  <c r="T5" i="12"/>
  <c r="U5" i="12" s="1"/>
  <c r="N185" i="12"/>
  <c r="M184" i="12"/>
  <c r="Q169" i="12"/>
  <c r="N154" i="12"/>
  <c r="K158" i="12"/>
  <c r="T158" i="12" s="1"/>
  <c r="R24" i="12"/>
  <c r="K136" i="12"/>
  <c r="K227" i="12"/>
  <c r="F24" i="20" s="1"/>
  <c r="N120" i="12"/>
  <c r="T94" i="12"/>
  <c r="R7" i="12"/>
  <c r="M151" i="12"/>
  <c r="M5" i="12"/>
  <c r="M95" i="12"/>
  <c r="Q131" i="12"/>
  <c r="M127" i="12"/>
  <c r="Q127" i="12"/>
  <c r="P242" i="12"/>
  <c r="Q242" i="12" s="1"/>
  <c r="Q154" i="12"/>
  <c r="K99" i="12"/>
  <c r="T99" i="12" s="1"/>
  <c r="P237" i="12"/>
  <c r="Q237" i="12" s="1"/>
  <c r="K243" i="12"/>
  <c r="T243" i="12" s="1"/>
  <c r="K259" i="12"/>
  <c r="F26" i="20" s="1"/>
  <c r="T211" i="12"/>
  <c r="Q115" i="12"/>
  <c r="K511" i="12"/>
  <c r="K17" i="12"/>
  <c r="F5" i="20" s="1"/>
  <c r="K191" i="12"/>
  <c r="T21" i="12"/>
  <c r="N161" i="12"/>
  <c r="M133" i="12"/>
  <c r="T27" i="12"/>
  <c r="P254" i="12"/>
  <c r="M162" i="12"/>
  <c r="T50" i="12"/>
  <c r="R215" i="12"/>
  <c r="R14" i="12"/>
  <c r="M161" i="12"/>
  <c r="P251" i="12"/>
  <c r="T301" i="12"/>
  <c r="M167" i="12"/>
  <c r="K55" i="12"/>
  <c r="T55" i="12" s="1"/>
  <c r="R21" i="12"/>
  <c r="M215" i="12"/>
  <c r="P14" i="12"/>
  <c r="R235" i="12"/>
  <c r="M251" i="12"/>
  <c r="K35" i="12"/>
  <c r="M254" i="12"/>
  <c r="Q167" i="12"/>
  <c r="Q162" i="12"/>
  <c r="U162" i="12"/>
  <c r="T172" i="12"/>
  <c r="K91" i="12"/>
  <c r="P91" i="12" s="1"/>
  <c r="K25" i="12"/>
  <c r="M25" i="12" s="1"/>
  <c r="T14" i="12"/>
  <c r="U14" i="12" s="1"/>
  <c r="T251" i="12"/>
  <c r="K307" i="12"/>
  <c r="F28" i="20" s="1"/>
  <c r="K290" i="12"/>
  <c r="T290" i="12" s="1"/>
  <c r="F21" i="20" l="1"/>
  <c r="K21" i="20" s="1"/>
  <c r="T191" i="12"/>
  <c r="Q147" i="12"/>
  <c r="T147" i="12"/>
  <c r="F17" i="20"/>
  <c r="K17" i="20" s="1"/>
  <c r="T136" i="12"/>
  <c r="Q128" i="12"/>
  <c r="T128" i="12"/>
  <c r="M128" i="12"/>
  <c r="F20" i="20"/>
  <c r="K20" i="20" s="1"/>
  <c r="T212" i="12"/>
  <c r="T63" i="12"/>
  <c r="M80" i="12"/>
  <c r="M147" i="12"/>
  <c r="F9" i="20"/>
  <c r="G9" i="20" s="1"/>
  <c r="E9" i="20" s="1"/>
  <c r="J9" i="20" s="1"/>
  <c r="T273" i="12"/>
  <c r="U17" i="12"/>
  <c r="M212" i="12"/>
  <c r="U273" i="12"/>
  <c r="M172" i="12"/>
  <c r="Q136" i="12"/>
  <c r="M99" i="12"/>
  <c r="M259" i="12"/>
  <c r="N147" i="12"/>
  <c r="F11" i="20"/>
  <c r="G11" i="20" s="1"/>
  <c r="E11" i="20" s="1"/>
  <c r="J11" i="20" s="1"/>
  <c r="V259" i="12"/>
  <c r="U128" i="12"/>
  <c r="R227" i="12"/>
  <c r="P17" i="12"/>
  <c r="P80" i="12"/>
  <c r="M307" i="12"/>
  <c r="X259" i="12"/>
  <c r="Y259" i="12" s="1"/>
  <c r="P25" i="12"/>
  <c r="R80" i="12"/>
  <c r="T307" i="12"/>
  <c r="T259" i="12"/>
  <c r="N244" i="12"/>
  <c r="Q158" i="12"/>
  <c r="P259" i="12"/>
  <c r="U259" i="12"/>
  <c r="F25" i="20"/>
  <c r="G25" i="20" s="1"/>
  <c r="E25" i="20" s="1"/>
  <c r="J25" i="20" s="1"/>
  <c r="F19" i="20"/>
  <c r="K19" i="20" s="1"/>
  <c r="F13" i="20"/>
  <c r="G13" i="20" s="1"/>
  <c r="E13" i="20" s="1"/>
  <c r="J13" i="20" s="1"/>
  <c r="M243" i="12"/>
  <c r="M158" i="12"/>
  <c r="N128" i="12"/>
  <c r="F16" i="20"/>
  <c r="K16" i="20" s="1"/>
  <c r="F18" i="20"/>
  <c r="G18" i="20" s="1"/>
  <c r="E18" i="20" s="1"/>
  <c r="J18" i="20" s="1"/>
  <c r="R99" i="12"/>
  <c r="P243" i="12"/>
  <c r="Q243" i="12" s="1"/>
  <c r="M136" i="12"/>
  <c r="N191" i="12"/>
  <c r="R243" i="12"/>
  <c r="N136" i="12"/>
  <c r="U191" i="12"/>
  <c r="N158" i="12"/>
  <c r="M55" i="12"/>
  <c r="M91" i="12"/>
  <c r="K110" i="12"/>
  <c r="K8" i="8" s="1"/>
  <c r="V243" i="12"/>
  <c r="M191" i="12"/>
  <c r="P227" i="12"/>
  <c r="T17" i="12"/>
  <c r="Q172" i="12"/>
  <c r="R259" i="12"/>
  <c r="M227" i="12"/>
  <c r="F6" i="20"/>
  <c r="G6" i="20" s="1"/>
  <c r="E6" i="20" s="1"/>
  <c r="M17" i="12"/>
  <c r="U173" i="12"/>
  <c r="R17" i="12"/>
  <c r="K192" i="12"/>
  <c r="T192" i="12" s="1"/>
  <c r="U172" i="12"/>
  <c r="K308" i="12"/>
  <c r="Q308" i="12" s="1"/>
  <c r="K64" i="12"/>
  <c r="R64" i="12" s="1"/>
  <c r="F8" i="20"/>
  <c r="G8" i="20" s="1"/>
  <c r="E8" i="20" s="1"/>
  <c r="J8" i="20" s="1"/>
  <c r="T35" i="12"/>
  <c r="T25" i="12"/>
  <c r="F7" i="20"/>
  <c r="G7" i="20" s="1"/>
  <c r="E7" i="20" s="1"/>
  <c r="J7" i="20" s="1"/>
  <c r="F29" i="20"/>
  <c r="G29" i="20" s="1"/>
  <c r="E29" i="20" s="1"/>
  <c r="J29" i="20" s="1"/>
  <c r="R91" i="12"/>
  <c r="F12" i="20"/>
  <c r="K12" i="20" s="1"/>
  <c r="M35" i="12"/>
  <c r="T91" i="12"/>
  <c r="N172" i="12"/>
  <c r="K28" i="20"/>
  <c r="G28" i="20"/>
  <c r="E28" i="20" s="1"/>
  <c r="J28" i="20" s="1"/>
  <c r="K24" i="20"/>
  <c r="G24" i="20"/>
  <c r="E24" i="20" s="1"/>
  <c r="J24" i="20" s="1"/>
  <c r="G17" i="20"/>
  <c r="E17" i="20" s="1"/>
  <c r="J17" i="20" s="1"/>
  <c r="G5" i="20"/>
  <c r="E5" i="20" s="1"/>
  <c r="J5" i="20" s="1"/>
  <c r="K23" i="20"/>
  <c r="G23" i="20"/>
  <c r="E23" i="20" s="1"/>
  <c r="J23" i="20" s="1"/>
  <c r="G26" i="20"/>
  <c r="E26" i="20" s="1"/>
  <c r="J26" i="20" s="1"/>
  <c r="K26" i="20"/>
  <c r="K27" i="20"/>
  <c r="G27" i="20"/>
  <c r="E27" i="20" s="1"/>
  <c r="J27" i="20" s="1"/>
  <c r="K6" i="20" l="1"/>
  <c r="J6" i="20"/>
  <c r="G21" i="20"/>
  <c r="E21" i="20" s="1"/>
  <c r="J21" i="20" s="1"/>
  <c r="G20" i="20"/>
  <c r="E20" i="20" s="1"/>
  <c r="J20" i="20" s="1"/>
  <c r="K9" i="20"/>
  <c r="K11" i="20"/>
  <c r="K8" i="20"/>
  <c r="G19" i="20"/>
  <c r="E19" i="20" s="1"/>
  <c r="J19" i="20" s="1"/>
  <c r="T64" i="12"/>
  <c r="F22" i="20"/>
  <c r="G22" i="20" s="1"/>
  <c r="E22" i="20" s="1"/>
  <c r="J22" i="20" s="1"/>
  <c r="K25" i="20"/>
  <c r="M64" i="12"/>
  <c r="K6" i="8"/>
  <c r="C6" i="8" s="1"/>
  <c r="K7" i="20"/>
  <c r="K18" i="20"/>
  <c r="N64" i="12"/>
  <c r="K13" i="20"/>
  <c r="T110" i="12"/>
  <c r="G16" i="20"/>
  <c r="E16" i="20" s="1"/>
  <c r="J16" i="20" s="1"/>
  <c r="M110" i="12"/>
  <c r="K10" i="8"/>
  <c r="C10" i="8" s="1"/>
  <c r="E10" i="8" s="1"/>
  <c r="M308" i="12"/>
  <c r="K309" i="12"/>
  <c r="S313" i="12" s="1"/>
  <c r="G12" i="20"/>
  <c r="E12" i="20" s="1"/>
  <c r="J12" i="20" s="1"/>
  <c r="F10" i="20"/>
  <c r="G10" i="20" s="1"/>
  <c r="E10" i="20" s="1"/>
  <c r="J10" i="20" s="1"/>
  <c r="Q192" i="12"/>
  <c r="T308" i="12"/>
  <c r="K12" i="8"/>
  <c r="C12" i="8" s="1"/>
  <c r="M192" i="12"/>
  <c r="N192" i="12"/>
  <c r="F30" i="20"/>
  <c r="G30" i="20" s="1"/>
  <c r="E30" i="20" s="1"/>
  <c r="J30" i="20" s="1"/>
  <c r="F15" i="20"/>
  <c r="G15" i="20" s="1"/>
  <c r="E15" i="20" s="1"/>
  <c r="J15" i="20" s="1"/>
  <c r="K5" i="20"/>
  <c r="C8" i="8"/>
  <c r="D53" i="2"/>
  <c r="K22" i="20" l="1"/>
  <c r="K14" i="8"/>
  <c r="C53" i="2"/>
  <c r="M309" i="12"/>
  <c r="E53" i="2"/>
  <c r="Q309" i="12"/>
  <c r="T309" i="12"/>
  <c r="F53" i="2"/>
  <c r="K30" i="20"/>
  <c r="K15" i="20"/>
  <c r="F31" i="20"/>
  <c r="G31" i="20" s="1"/>
  <c r="E31" i="20" s="1"/>
  <c r="J31" i="20" s="1"/>
  <c r="O6" i="8"/>
  <c r="E6" i="8"/>
  <c r="M6" i="8"/>
  <c r="C26" i="2"/>
  <c r="C14" i="8"/>
  <c r="K10" i="20"/>
  <c r="O12" i="8"/>
  <c r="E12" i="8"/>
  <c r="M12" i="8"/>
  <c r="P12" i="8" s="1"/>
  <c r="F52" i="2" s="1"/>
  <c r="F26" i="2"/>
  <c r="O10" i="8"/>
  <c r="E26" i="2"/>
  <c r="M10" i="8"/>
  <c r="P10" i="8" s="1"/>
  <c r="E52" i="2" s="1"/>
  <c r="O8" i="8"/>
  <c r="E8" i="8"/>
  <c r="M8" i="8"/>
  <c r="P8" i="8" s="1"/>
  <c r="D52" i="2" s="1"/>
  <c r="D26" i="2"/>
  <c r="G53" i="2" l="1"/>
  <c r="K31" i="20"/>
  <c r="E12" i="2"/>
  <c r="E50" i="2"/>
  <c r="E51" i="2" s="1"/>
  <c r="E14" i="8"/>
  <c r="D10" i="15"/>
  <c r="D13" i="15" s="1"/>
  <c r="D14" i="15" s="1"/>
  <c r="O14" i="8"/>
  <c r="C12" i="2"/>
  <c r="C50" i="2"/>
  <c r="C51" i="2" s="1"/>
  <c r="G26" i="2"/>
  <c r="G50" i="2" s="1"/>
  <c r="G51" i="2" s="1"/>
  <c r="D12" i="2"/>
  <c r="D50" i="2"/>
  <c r="D51" i="2" s="1"/>
  <c r="F50" i="2"/>
  <c r="F51" i="2" s="1"/>
  <c r="F12" i="2"/>
  <c r="M14" i="8"/>
  <c r="P14" i="8" s="1"/>
  <c r="G52" i="2" s="1"/>
  <c r="P6" i="8"/>
  <c r="C52" i="2" s="1"/>
  <c r="F19" i="2" l="1"/>
  <c r="F7" i="2"/>
  <c r="C19" i="2"/>
  <c r="G12" i="2"/>
  <c r="G7" i="2" s="1"/>
  <c r="C7" i="2"/>
  <c r="D19" i="2"/>
  <c r="D7" i="2"/>
  <c r="E19" i="2"/>
  <c r="E7" i="2"/>
  <c r="G19" i="2" l="1"/>
</calcChain>
</file>

<file path=xl/comments1.xml><?xml version="1.0" encoding="utf-8"?>
<comments xmlns="http://schemas.openxmlformats.org/spreadsheetml/2006/main">
  <authors>
    <author>Author</author>
    <author>cse</author>
  </authors>
  <commentList>
    <comment ref="M1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B. PH. NO LINE CURRENT &amp; ME REPLACE  ON 07.04.2021
</t>
        </r>
      </text>
    </comment>
    <comment ref="M2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ME REPLACE ON 05.06.2021</t>
        </r>
      </text>
    </comment>
    <comment ref="M2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Y Ph. No. Volt</t>
        </r>
      </text>
    </comment>
    <comment ref="M2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ME DEF ON 17.06.2021</t>
        </r>
      </text>
    </comment>
    <comment ref="M2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 Ph. VOLTAGE
CONN. OK ON 18.01.2020</t>
        </r>
      </text>
    </comment>
    <comment ref="M3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CONN.DEF
</t>
        </r>
      </text>
    </comment>
    <comment ref="M3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ME BYPASS ON 21.08.2020</t>
        </r>
      </text>
    </comment>
    <comment ref="M3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ME DEF. REPLACE ON 13.05.2021
</t>
        </r>
      </text>
    </comment>
    <comment ref="M5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 Ph. No. Volt. OK ON 18.01.2020
</t>
        </r>
      </text>
    </comment>
    <comment ref="M5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M.E. ok on 8.9.19
</t>
        </r>
      </text>
    </comment>
    <comment ref="M6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Y.PH. VOLTAGE MISSING</t>
        </r>
      </text>
    </comment>
    <comment ref="M6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R.PH 2/3 VOLT</t>
        </r>
      </text>
    </comment>
    <comment ref="M6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M.E. DEF ON 30.05.2021
</t>
        </r>
      </text>
    </comment>
    <comment ref="M7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CONN. DEF OK ON 13.04.2021
</t>
        </r>
      </text>
    </comment>
    <comment ref="M7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ME DEF. OK ON 06.04.2021
</t>
        </r>
      </text>
    </comment>
    <comment ref="M8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CONN. DEF. </t>
        </r>
      </text>
    </comment>
    <comment ref="F8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METER CALAENDER NOT OK</t>
        </r>
      </text>
    </comment>
    <comment ref="M8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M.E CONNECT ON FULL 10.12.2020</t>
        </r>
      </text>
    </comment>
    <comment ref="M9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METER REPLACE
</t>
        </r>
      </text>
    </comment>
    <comment ref="M9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 Ph. No. VOLTAGE</t>
        </r>
      </text>
    </comment>
    <comment ref="M9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 Ph. No. VOLTAGE</t>
        </r>
      </text>
    </comment>
    <comment ref="M9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ME DEF ON 26.05.2021
</t>
        </r>
      </text>
    </comment>
    <comment ref="M9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CONN. OK ON 08.12.19
</t>
        </r>
      </text>
    </comment>
    <comment ref="M10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CONN. DEF.</t>
        </r>
      </text>
    </comment>
    <comment ref="M10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14.05.2021. TO 21.05.2021 SUPPLY OFF</t>
        </r>
      </text>
    </comment>
    <comment ref="M10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 PH. NO. LINE CURRENT</t>
        </r>
      </text>
    </comment>
    <comment ref="M11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M.E. BYPASS</t>
        </r>
      </text>
    </comment>
    <comment ref="M11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M.E. Def
</t>
        </r>
      </text>
    </comment>
    <comment ref="M11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MEBYPASS 24.02.2021
</t>
        </r>
      </text>
    </comment>
    <comment ref="M12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ME DEF</t>
        </r>
      </text>
    </comment>
    <comment ref="M12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 PH. NO LINE CURRENT</t>
        </r>
      </text>
    </comment>
    <comment ref="M12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Y PH. VOLT CONN. DEF.</t>
        </r>
      </text>
    </comment>
    <comment ref="M13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M.E. REPLACE ON 11-JULY-19</t>
        </r>
      </text>
    </comment>
    <comment ref="M14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Y Ph.CONN. DEF
</t>
        </r>
      </text>
    </comment>
    <comment ref="M14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 PH. NO. VOLT</t>
        </r>
      </text>
    </comment>
    <comment ref="M14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CONN. DEF OK ON 17.04.2021
</t>
        </r>
      </text>
    </comment>
    <comment ref="M14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M.E. BYPASS ON 6.04.2019
</t>
        </r>
      </text>
    </comment>
    <comment ref="M14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ME DEF.</t>
        </r>
      </text>
    </comment>
    <comment ref="M14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 Ph. Conn. Def.</t>
        </r>
      </text>
    </comment>
    <comment ref="M15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Y PH. HAVE LOW LINE CURRENT</t>
        </r>
      </text>
    </comment>
    <comment ref="M15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METER REPLACE</t>
        </r>
      </text>
    </comment>
    <comment ref="M17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 Ph. No.VOLT</t>
        </r>
      </text>
    </comment>
    <comment ref="M18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ME DEF.</t>
        </r>
      </text>
    </comment>
    <comment ref="M18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ME BYPASS
</t>
        </r>
      </text>
    </comment>
    <comment ref="M18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ME BYPASS</t>
        </r>
      </text>
    </comment>
    <comment ref="M19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M.E. DEF 09.03.2020
</t>
        </r>
      </text>
    </comment>
    <comment ref="M19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M.E DEF. 12.07.19
</t>
        </r>
      </text>
    </comment>
    <comment ref="M19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M.E. DEF ON 05.03.2021</t>
        </r>
      </text>
    </comment>
    <comment ref="M20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ME DEF 23.02.2020</t>
        </r>
      </text>
    </comment>
    <comment ref="M20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Y PH. NO LINE CURRENT</t>
        </r>
      </text>
    </comment>
    <comment ref="M20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ME DEF ON 25.04.2020</t>
        </r>
      </text>
    </comment>
    <comment ref="M20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630000 SEWAGE FARM 
400000 JALALPUR SEWAGE FARM M.E. BYPASS 06.07.19 &amp; JALALPUR LOAD TRANSFER TO SEWAGE FARM 06.07.19 TO 31.07.19
 </t>
        </r>
      </text>
    </comment>
    <comment ref="M20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Y PH. NO. VOLT</t>
        </r>
      </text>
    </comment>
    <comment ref="M21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M.E. BYPASS</t>
        </r>
      </text>
    </comment>
    <comment ref="M21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08.08.2020 TO 11.08.2020 METER OFF</t>
        </r>
      </text>
    </comment>
    <comment ref="M21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CONN. DEF.
</t>
        </r>
      </text>
    </comment>
    <comment ref="M21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Y PH. NO VOLT</t>
        </r>
      </text>
    </comment>
    <comment ref="M21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ME DEF. ON 22.02.2021</t>
        </r>
      </text>
    </comment>
    <comment ref="M21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SUPPLY RUNNING GHAS MANDI</t>
        </r>
      </text>
    </comment>
    <comment ref="M22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ME DEF 23.07.2020</t>
        </r>
      </text>
    </comment>
    <comment ref="M22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M.E.DEF. ON 10.12.2020
</t>
        </r>
      </text>
    </comment>
    <comment ref="M240" authorId="1">
      <text>
        <r>
          <rPr>
            <b/>
            <sz val="9"/>
            <color indexed="81"/>
            <rFont val="Tahoma"/>
            <family val="2"/>
          </rPr>
          <t>cse:</t>
        </r>
        <r>
          <rPr>
            <sz val="9"/>
            <color indexed="81"/>
            <rFont val="Tahoma"/>
            <family val="2"/>
          </rPr>
          <t xml:space="preserve">
ME DEF</t>
        </r>
      </text>
    </comment>
  </commentList>
</comments>
</file>

<file path=xl/sharedStrings.xml><?xml version="1.0" encoding="utf-8"?>
<sst xmlns="http://schemas.openxmlformats.org/spreadsheetml/2006/main" count="10919" uniqueCount="3142">
  <si>
    <t>OFFICE OF THE EE STM CITY CIRCLE M.P.M.K.V.V.CO.LTD. GWALIOR</t>
  </si>
  <si>
    <t xml:space="preserve">STATEMENT SHOWING THE ENERGY IMPORT/EXPORT THROUGH EHV &amp; 33/11 KV SUB-STATION </t>
  </si>
  <si>
    <t>SL.NO.</t>
  </si>
  <si>
    <t>NAME OF 220/132 KV S/S</t>
  </si>
  <si>
    <t>INPUT FROM EHV S/S</t>
  </si>
  <si>
    <t>EXPORT</t>
  </si>
  <si>
    <t>IMPORT</t>
  </si>
  <si>
    <t>NET INPUT AT CIRCLE</t>
  </si>
  <si>
    <t>132 KV SIDE</t>
  </si>
  <si>
    <t>33 KV SIDE</t>
  </si>
  <si>
    <t>11 KV SIDE</t>
  </si>
  <si>
    <t>LT SIDE</t>
  </si>
  <si>
    <t>NAME</t>
  </si>
  <si>
    <t>UNITS</t>
  </si>
  <si>
    <t>UNIT</t>
  </si>
  <si>
    <t xml:space="preserve"> </t>
  </si>
  <si>
    <t>(1-(2+3+4)+(5+6+7+8))</t>
  </si>
  <si>
    <t>220 KV     MAHALGAON</t>
  </si>
  <si>
    <t>50 MVA-I(33KVSIDE)</t>
  </si>
  <si>
    <t>JHANSI(LAKHNOTI)</t>
  </si>
  <si>
    <t>BARA GHATA RURAL</t>
  </si>
  <si>
    <t>63 MVA-II(33KVSIDE)</t>
  </si>
  <si>
    <t>SITHOLY</t>
  </si>
  <si>
    <t>BLUE LOTUS-1</t>
  </si>
  <si>
    <t>63 MVA-III(33KVSIDE)</t>
  </si>
  <si>
    <t>B.V.M.</t>
  </si>
  <si>
    <t>SUB STN. CONSUMPTION</t>
  </si>
  <si>
    <t>BANDHOLI</t>
  </si>
  <si>
    <t>CHIRWAI INDUSTRIAL FDR NO. 2</t>
  </si>
  <si>
    <t>1x50 MVA X-MER</t>
  </si>
  <si>
    <t>BUS CUPLER</t>
  </si>
  <si>
    <t xml:space="preserve">1x63 MVA X-MER </t>
  </si>
  <si>
    <t>SIKANDAR KAMPOO FROM TIGHRA</t>
  </si>
  <si>
    <t>TOTAL MAHALGAON</t>
  </si>
  <si>
    <t>132 KV   MOTIZEEL</t>
  </si>
  <si>
    <t>63MVA(33KVSIDE)</t>
  </si>
  <si>
    <t>PETROLLIUM</t>
  </si>
  <si>
    <t>AKBARPUR</t>
  </si>
  <si>
    <t>GOL PAHADIA FROM TIGHRA</t>
  </si>
  <si>
    <t>40MVA-I(33KVSIDE)</t>
  </si>
  <si>
    <t>SUSERA</t>
  </si>
  <si>
    <t>T.P.N. FEEDER-1 TO O&amp;M</t>
  </si>
  <si>
    <t>40MVA-II(33KVSIDE)</t>
  </si>
  <si>
    <t>BELA KI BAWDI</t>
  </si>
  <si>
    <t>CITY-1(BARAGHAT) FROM
GWALIOR-II</t>
  </si>
  <si>
    <t>P.T.S TIGHRA TO LAXMIGANJ</t>
  </si>
  <si>
    <t>33 KV 1000 BED HOSPITAL-1</t>
  </si>
  <si>
    <t>40 MVA X,MER B.H.E.L. NEW</t>
  </si>
  <si>
    <t>33 KV 1000 BED HOSPITAL-2</t>
  </si>
  <si>
    <t>CITY-2(SAF) FROM
GWALIOR-II</t>
  </si>
  <si>
    <t>TOTAL  MOTIJHEEL</t>
  </si>
  <si>
    <t>132KV SHARMA FARM</t>
  </si>
  <si>
    <t>63 MVA(33KV SIDE) I</t>
  </si>
  <si>
    <t>RAIROO(I.T.PARK)</t>
  </si>
  <si>
    <t>63 MVA(33KV SIDE) II</t>
  </si>
  <si>
    <t>BHADROLI</t>
  </si>
  <si>
    <t>SHATABDIPURAM RURAL</t>
  </si>
  <si>
    <t>SHATABDIPURAM</t>
  </si>
  <si>
    <t>TOTAL SHARMA FARM</t>
  </si>
  <si>
    <t>GRAND TOTAL</t>
  </si>
  <si>
    <t>OPEN ACCESS</t>
  </si>
  <si>
    <t xml:space="preserve">NET INPUT </t>
  </si>
  <si>
    <t>OPEN EXCESS</t>
  </si>
  <si>
    <t>VIVASWAN HOTEL INDIA</t>
  </si>
  <si>
    <t>ACME FABRIC</t>
  </si>
  <si>
    <t>KAILASH IND</t>
  </si>
  <si>
    <t>SHEETLA IND</t>
  </si>
  <si>
    <t>D.D. MALL</t>
  </si>
  <si>
    <t>SINDHIYA INV.</t>
  </si>
  <si>
    <t>J.B.                       MANGARAM</t>
  </si>
  <si>
    <t>COLD STORAGE</t>
  </si>
  <si>
    <t>TOTAL</t>
  </si>
  <si>
    <t xml:space="preserve">ENERGY AUDIT REPORT FOR THE MONTH OF   </t>
  </si>
  <si>
    <t>FORMAT-A</t>
  </si>
  <si>
    <t xml:space="preserve">CITY  CIRCLE GWALIOR     </t>
  </si>
  <si>
    <t xml:space="preserve">SN </t>
  </si>
  <si>
    <t>PARTICULARS</t>
  </si>
  <si>
    <t>CITY DN</t>
  </si>
  <si>
    <t>CITY DN.</t>
  </si>
  <si>
    <t>CIRCLE</t>
  </si>
  <si>
    <t>CENTRAL</t>
  </si>
  <si>
    <t>SOUTH</t>
  </si>
  <si>
    <t>EAST</t>
  </si>
  <si>
    <t>NORTH</t>
  </si>
  <si>
    <t>1-A</t>
  </si>
  <si>
    <t xml:space="preserve"> ENERGY INPUT</t>
  </si>
  <si>
    <t>a) AT EHV LEVEL</t>
  </si>
  <si>
    <t>b) AT 33 KV  FROM EHV SS</t>
  </si>
  <si>
    <t>c) AT 33 KV FROM OTHER SOURCES</t>
  </si>
  <si>
    <t>d) AT 11 KV FROM EHV SS &amp; OTHERS</t>
  </si>
  <si>
    <t>e) DN.TO DN. INTERCHANGE 11KV UNIT</t>
  </si>
  <si>
    <t xml:space="preserve">TOTAL </t>
  </si>
  <si>
    <t>a) AT 33 KV  FROM OTHER CIRCLE</t>
  </si>
  <si>
    <t>b) AT 11 KV  FROM OTHER CIRCLE</t>
  </si>
  <si>
    <t>c) AT LT  FROM OTHER CIRCLE</t>
  </si>
  <si>
    <t xml:space="preserve"> ENERGY EXCHANGE : EXPORT</t>
  </si>
  <si>
    <t>a) AT 33 KV  TO OTHER CIRCLE</t>
  </si>
  <si>
    <t>b) AT 11 KV  TO OTHER CIRCLE</t>
  </si>
  <si>
    <t>c) AT LT        TO OTHER CIRCLE</t>
  </si>
  <si>
    <t>NET ENERGY I/P (1-2)</t>
  </si>
  <si>
    <t>TOTAL LT SALE  AS PER R15</t>
  </si>
  <si>
    <t>SALE TO SLP/3HP/5HP (FLAT+FREE)</t>
  </si>
  <si>
    <t>R-15 SALE EXCL SLP/3HP/5HP (F+F)</t>
  </si>
  <si>
    <t>ENERGY SALE TO HTC</t>
  </si>
  <si>
    <t>a) EHV CONSUMERS</t>
  </si>
  <si>
    <t>b) 33KV CONSUMERS</t>
  </si>
  <si>
    <t>c) 11 KV CONSUMERS (including HTC on LT supply)</t>
  </si>
  <si>
    <t>ENERGY SOLD TO :-</t>
  </si>
  <si>
    <t>a) SLP  CONS.</t>
  </si>
  <si>
    <t xml:space="preserve">     NOS</t>
  </si>
  <si>
    <t xml:space="preserve">     NO OF UNIT CONS /SLP</t>
  </si>
  <si>
    <t xml:space="preserve">     TOTAL CONSUMPTION</t>
  </si>
  <si>
    <t>b) 3 HP PUMP CONS(FLAT+FREE) Nos</t>
  </si>
  <si>
    <t xml:space="preserve"> ( B)   NO OF UNIT CONS /3HP</t>
  </si>
  <si>
    <t xml:space="preserve">      TOTAL CONSUMPTION</t>
  </si>
  <si>
    <t>c) 5 HP PUMP CONS(FLAT+FREE) Nos</t>
  </si>
  <si>
    <t xml:space="preserve">     NO OF UNIT CONS /5HP</t>
  </si>
  <si>
    <t>TOTAL a+b+c</t>
  </si>
  <si>
    <t>TOTAL LT SALE 4(III)+6)</t>
  </si>
  <si>
    <t>LOAD FACTOR</t>
  </si>
  <si>
    <t>TOTAL ENERGY SOLD(5+7)</t>
  </si>
  <si>
    <t>NET LOSS OF ENERGY(3-9)</t>
  </si>
  <si>
    <t xml:space="preserve"> % L.L. WITH HT( 10/3*100)</t>
  </si>
  <si>
    <t xml:space="preserve"> % L.L. WITHOUT HT </t>
  </si>
  <si>
    <t>L.T INPUT</t>
  </si>
  <si>
    <t>H.T.Input</t>
  </si>
  <si>
    <t>220 KV INPUT/OUTPUT AT X-MERS (ACTIVE ENERGY IN MWH) MONTH OF</t>
  </si>
  <si>
    <t>Name of 220/132 kv S/S</t>
  </si>
  <si>
    <t>Name of  feeder</t>
  </si>
  <si>
    <t>132/33/11KV Code</t>
  </si>
  <si>
    <t>Meter No.</t>
  </si>
  <si>
    <t>FINAL Reading As On</t>
  </si>
  <si>
    <t>Remarks      Bus Coupler</t>
  </si>
  <si>
    <t>ASS.UNITS</t>
  </si>
  <si>
    <t>BUS LOSS</t>
  </si>
  <si>
    <t>M.F.</t>
  </si>
  <si>
    <t>Consumption (M.W.H)</t>
  </si>
  <si>
    <t>1x63 MVA X-MER I, GEC</t>
  </si>
  <si>
    <t>33 KV ABT</t>
  </si>
  <si>
    <t>YO 221336</t>
  </si>
  <si>
    <t>Q0836572</t>
  </si>
  <si>
    <t>1x40 MVA X-MER II, BHEL</t>
  </si>
  <si>
    <t>MPE 51944</t>
  </si>
  <si>
    <t>Q0836582</t>
  </si>
  <si>
    <t>YO 221592</t>
  </si>
  <si>
    <t>1x63 MVA X-MER III, BBL</t>
  </si>
  <si>
    <t>33/.4 KVSTN X-MER C.ROOM</t>
  </si>
  <si>
    <t xml:space="preserve">33 KV </t>
  </si>
  <si>
    <t>MPE 44301</t>
  </si>
  <si>
    <t>33/.4 KV SYN CONDENSOR</t>
  </si>
  <si>
    <t>MPE 27581</t>
  </si>
  <si>
    <t>TOTAL 33 KV FEEDER</t>
  </si>
  <si>
    <t>BARAGHATA (S.N)</t>
  </si>
  <si>
    <t>XD 449599</t>
  </si>
  <si>
    <t>SAF (POLY.)</t>
  </si>
  <si>
    <t>XD 449596</t>
  </si>
  <si>
    <t>CSS</t>
  </si>
  <si>
    <t>XD 449598</t>
  </si>
  <si>
    <t>STADIUM</t>
  </si>
  <si>
    <t>XC476769</t>
  </si>
  <si>
    <t>DARPAN COLONY -1</t>
  </si>
  <si>
    <t>MPE 22403</t>
  </si>
  <si>
    <t>MELA</t>
  </si>
  <si>
    <t>YO221254</t>
  </si>
  <si>
    <t>MPE 22404</t>
  </si>
  <si>
    <t>AIR FORCE</t>
  </si>
  <si>
    <t>YO221112</t>
  </si>
  <si>
    <t>HURAWALI</t>
  </si>
  <si>
    <t>MPB 78948</t>
  </si>
  <si>
    <t>HIGH COURT</t>
  </si>
  <si>
    <t>XC476767</t>
  </si>
  <si>
    <t>BUS-COUPLER</t>
  </si>
  <si>
    <t>XC476899</t>
  </si>
  <si>
    <t>XC476901</t>
  </si>
  <si>
    <t xml:space="preserve">MES </t>
  </si>
  <si>
    <t>XC476900</t>
  </si>
  <si>
    <t>DARPAN COLONY -II</t>
  </si>
  <si>
    <t>LAKHNOTI (EXPORT)</t>
  </si>
  <si>
    <t>YO 221252</t>
  </si>
  <si>
    <t>MONOPOLE-1(RSF)</t>
  </si>
  <si>
    <t>XC476768</t>
  </si>
  <si>
    <t>MONOPOLE-2(DABKA)</t>
  </si>
  <si>
    <t>YO221337</t>
  </si>
  <si>
    <t>BANDHOLI (SITHOLI-II)(EXPORT)</t>
  </si>
  <si>
    <t>YO221418</t>
  </si>
  <si>
    <t>TOTALS 33 KV FEEDER</t>
  </si>
  <si>
    <t>RLY.SPRING FACTORY (MONOPOLE1)</t>
  </si>
  <si>
    <t>MPE 22401</t>
  </si>
  <si>
    <t xml:space="preserve">EXPORT  </t>
  </si>
  <si>
    <t>DABEKA (UTILA)(MONOPOLE2)</t>
  </si>
  <si>
    <t>NET INPUT MAHALGAON</t>
  </si>
  <si>
    <t>132 KV INPUT/OUT PUT AT X-MERS- (ACTIVE ENERGY IN MWH) MONTH OF</t>
  </si>
  <si>
    <t>Name of 220/132kv S/S</t>
  </si>
  <si>
    <t>Present ReadingAs On</t>
  </si>
  <si>
    <t>132KV S/S Motizheel Gwalioir</t>
  </si>
  <si>
    <t>1x63 MVA X-MER</t>
  </si>
  <si>
    <t>33 KV</t>
  </si>
  <si>
    <t>MPP28486</t>
  </si>
  <si>
    <t>CARMAL CONVENT</t>
  </si>
  <si>
    <t>YO221184</t>
  </si>
  <si>
    <t>1x40 MVA X-MER</t>
  </si>
  <si>
    <t>X1116079</t>
  </si>
  <si>
    <t>LAXMIGANJ</t>
  </si>
  <si>
    <t>YO221113</t>
  </si>
  <si>
    <t>X1116078</t>
  </si>
  <si>
    <t>QO-836544</t>
  </si>
  <si>
    <t xml:space="preserve">GOL PAHADIA </t>
  </si>
  <si>
    <t>YO221595</t>
  </si>
  <si>
    <t>33KV 40 MVA X,MER B.B.L. NEW</t>
  </si>
  <si>
    <t>QO-836560</t>
  </si>
  <si>
    <t>MORAR</t>
  </si>
  <si>
    <t>Y0221111</t>
  </si>
  <si>
    <t>33KV 40 MVA X,MER B.H.E.L. NEW</t>
  </si>
  <si>
    <t>QO-836561</t>
  </si>
  <si>
    <t>WATER WORKS</t>
  </si>
  <si>
    <t>MPC-59905</t>
  </si>
  <si>
    <t>LADHERI</t>
  </si>
  <si>
    <t>YO221255</t>
  </si>
  <si>
    <t>J.C.MILL</t>
  </si>
  <si>
    <t>YO221414</t>
  </si>
  <si>
    <t>VINAY NAGAR</t>
  </si>
  <si>
    <t>YO221321</t>
  </si>
  <si>
    <t>TRANSPORT NAGAR</t>
  </si>
  <si>
    <t>YO221182</t>
  </si>
  <si>
    <t>PETROLIUM(STONE PARK )(EX)</t>
  </si>
  <si>
    <t>MPE 22400</t>
  </si>
  <si>
    <t>MPE 22377</t>
  </si>
  <si>
    <t>Y0221114</t>
  </si>
  <si>
    <t>Total Consumption of 33KVside</t>
  </si>
  <si>
    <t>NET INPUT MOTIZEEL</t>
  </si>
  <si>
    <t xml:space="preserve">132 KV INPUT/OUT PUT AT X-MERS- (ACTIVE ENERGY IN MWH) MONTH OF </t>
  </si>
  <si>
    <t>132KV S/S    SHARMA FARM      Gwalioir</t>
  </si>
  <si>
    <t>33KV</t>
  </si>
  <si>
    <t>MPE 51942</t>
  </si>
  <si>
    <t>QO836580</t>
  </si>
  <si>
    <t>YO-221266</t>
  </si>
  <si>
    <t>QO836570</t>
  </si>
  <si>
    <t>S/S CONSUMPTION</t>
  </si>
  <si>
    <t>MPF 44237</t>
  </si>
  <si>
    <t>DETAILS OF 33KV FDR</t>
  </si>
  <si>
    <t>33kv MAHARAJPURA</t>
  </si>
  <si>
    <t>MPM 08121</t>
  </si>
  <si>
    <t>33 KV MAHARAJPURA</t>
  </si>
  <si>
    <t>33 KV D.D.NAGAR</t>
  </si>
  <si>
    <t>MPC 59788</t>
  </si>
  <si>
    <t>33 KV SAGAR TAL</t>
  </si>
  <si>
    <t>MPB01358</t>
  </si>
  <si>
    <t>33KV KALPI BRIDGE/Morar</t>
  </si>
  <si>
    <t>MPC 59795</t>
  </si>
  <si>
    <t>33 KV IIITM</t>
  </si>
  <si>
    <t>MPB 07512</t>
  </si>
  <si>
    <t>33KV SAGAR TAL</t>
  </si>
  <si>
    <t>33KV IIITM</t>
  </si>
  <si>
    <t>33KV SHARMA FARM</t>
  </si>
  <si>
    <t>MPC 59794</t>
  </si>
  <si>
    <t>33KV SHARMA FARM/siddheswar</t>
  </si>
  <si>
    <t>33KV SHARMA FARM-II</t>
  </si>
  <si>
    <t xml:space="preserve"> XB- 577714</t>
  </si>
  <si>
    <t>33KV SEWAGE PLANT</t>
  </si>
  <si>
    <t>MPB 01357</t>
  </si>
  <si>
    <t>33KV SEWAGE FARM</t>
  </si>
  <si>
    <t>33 KV READYMADE GARMENT</t>
  </si>
  <si>
    <t>MPC 59885</t>
  </si>
  <si>
    <t>33KV RAIRU (EXPORT)</t>
  </si>
  <si>
    <t>MPB 01368</t>
  </si>
  <si>
    <t xml:space="preserve"> XB-577714</t>
  </si>
  <si>
    <t>33KV BHADROLI (EXPORT)</t>
  </si>
  <si>
    <t>MPB01383</t>
  </si>
  <si>
    <t>BUS-COUPLER (SPARE)</t>
  </si>
  <si>
    <t>MPC59885</t>
  </si>
  <si>
    <t>33KV BHADROLI CITY</t>
  </si>
  <si>
    <t>NET INPUT SHARMA FARM</t>
  </si>
  <si>
    <t>Total input from EHV s/s</t>
  </si>
  <si>
    <t>Total input on 33KV.Fdrs.</t>
  </si>
  <si>
    <t xml:space="preserve">  </t>
  </si>
  <si>
    <t>Total Import units</t>
  </si>
  <si>
    <t>Total Export Units</t>
  </si>
  <si>
    <t>Net input from EHV s/s</t>
  </si>
  <si>
    <t>Net input on 33KV.Fdrs.</t>
  </si>
  <si>
    <t>SP</t>
  </si>
  <si>
    <t>CAR CON</t>
  </si>
  <si>
    <t>JM</t>
  </si>
  <si>
    <t>M</t>
  </si>
  <si>
    <t>ENERGY AUDIT REPORT  FOR THE MONTH OF</t>
  </si>
  <si>
    <t>='CIRCLE INPUT'!Q3</t>
  </si>
  <si>
    <t xml:space="preserve">  DETAIL OF TOTAL ENERGY EXPORT FROM ENERGY EX. POINT -  ANNEXURE     -  B     </t>
  </si>
  <si>
    <t>CITY CIRCLE  GWALIOR</t>
  </si>
  <si>
    <t>NAME OF 33/11KV FEEDER &amp; L.T.</t>
  </si>
  <si>
    <t>METER NO.</t>
  </si>
  <si>
    <t>READING</t>
  </si>
  <si>
    <t>DIFF.</t>
  </si>
  <si>
    <t>TOTAL UNITS</t>
  </si>
  <si>
    <t>ASSESMENT</t>
  </si>
  <si>
    <t>REMARKS</t>
  </si>
  <si>
    <t>I.R.</t>
  </si>
  <si>
    <t>DATE</t>
  </si>
  <si>
    <t xml:space="preserve">F.R. </t>
  </si>
  <si>
    <t>I M P O R T</t>
  </si>
  <si>
    <t>A</t>
  </si>
  <si>
    <t>33KV(O&amp;M CIRCLE GWL)</t>
  </si>
  <si>
    <t>GOL PAHADIA-2(TIGRA)</t>
  </si>
  <si>
    <t>MPM06799</t>
  </si>
  <si>
    <t>B/C</t>
  </si>
  <si>
    <t>south</t>
  </si>
  <si>
    <t>SIKANDAR KAMPOO (GIRWAI)</t>
  </si>
  <si>
    <t>MPM06708</t>
  </si>
  <si>
    <t>33 KV CITY -1</t>
  </si>
  <si>
    <t>XB577723</t>
  </si>
  <si>
    <t>Central</t>
  </si>
  <si>
    <t>33 KV CITY -2</t>
  </si>
  <si>
    <t>XB577708</t>
  </si>
  <si>
    <t>X-1317047</t>
  </si>
  <si>
    <t>X-1317048</t>
  </si>
  <si>
    <t>NET IMPORT(A+B+C)</t>
  </si>
  <si>
    <t xml:space="preserve">E X P O R T </t>
  </si>
  <si>
    <t xml:space="preserve">33KV </t>
  </si>
  <si>
    <t>JHANSI-Lakhnoti</t>
  </si>
  <si>
    <t>East</t>
  </si>
  <si>
    <t>BUSCOUPLER (M.GAON)-1</t>
  </si>
  <si>
    <t>SITHOLI--I I  Bandholi</t>
  </si>
  <si>
    <t xml:space="preserve">33 KV OUTGOING Shatabdipuram </t>
  </si>
  <si>
    <t>MPM07684</t>
  </si>
  <si>
    <t>PETROLEUM(Stone park)</t>
  </si>
  <si>
    <t>MPE22400</t>
  </si>
  <si>
    <t>North</t>
  </si>
  <si>
    <t>YO221114</t>
  </si>
  <si>
    <t>33KV.Veerpur(Bela Ki Babdi)</t>
  </si>
  <si>
    <t>MPM07689</t>
  </si>
  <si>
    <t>Rairoo</t>
  </si>
  <si>
    <t>Bhadroli</t>
  </si>
  <si>
    <t>BUSCOUPLER(M.ZEEL)</t>
  </si>
  <si>
    <t xml:space="preserve">TOTAL Export  33KV </t>
  </si>
  <si>
    <t>B</t>
  </si>
  <si>
    <t xml:space="preserve">11KV </t>
  </si>
  <si>
    <t>BARA GHATA</t>
  </si>
  <si>
    <t>MPE24439</t>
  </si>
  <si>
    <t>11KV Shabadipuram (Rural)</t>
  </si>
  <si>
    <t>MPM07691</t>
  </si>
  <si>
    <t>MPM08024</t>
  </si>
  <si>
    <t>TRANSPORT NAGAR FEEDER-1</t>
  </si>
  <si>
    <t>TOTAL  Export 11KV</t>
  </si>
  <si>
    <t>L.T. Export</t>
  </si>
  <si>
    <t>NET EXPORT (A+B+C)</t>
  </si>
  <si>
    <t>Open access</t>
  </si>
  <si>
    <t>G.Total Export+ Open access</t>
  </si>
  <si>
    <t>S.NO.</t>
  </si>
  <si>
    <t>Acct ID</t>
  </si>
  <si>
    <t>Old Consumer NO</t>
  </si>
  <si>
    <t>Consumer Name</t>
  </si>
  <si>
    <t>Consumer Status</t>
  </si>
  <si>
    <t>Demand</t>
  </si>
  <si>
    <t>Unit Sold</t>
  </si>
  <si>
    <t>H9007022000</t>
  </si>
  <si>
    <t>A E (PHED) Motijheel</t>
  </si>
  <si>
    <t>Connected</t>
  </si>
  <si>
    <t>H1568022000</t>
  </si>
  <si>
    <t>The D E (FRS) Telephone Exc</t>
  </si>
  <si>
    <t>H0107022000</t>
  </si>
  <si>
    <t>Station Officer (HPTV)</t>
  </si>
  <si>
    <t>H1107022000</t>
  </si>
  <si>
    <t>Aerodrum  Officer</t>
  </si>
  <si>
    <t>H2107022000</t>
  </si>
  <si>
    <t>Sr DEE(G)Gwl Rly Station</t>
  </si>
  <si>
    <t>H1728022000</t>
  </si>
  <si>
    <t>DEE(G)Battery Charging  Laxmanpura</t>
  </si>
  <si>
    <t>H3107022000</t>
  </si>
  <si>
    <t>Unipetch Rubber</t>
  </si>
  <si>
    <t>H4848022000</t>
  </si>
  <si>
    <t>Principal M I T S</t>
  </si>
  <si>
    <t>H5848022000</t>
  </si>
  <si>
    <t>J B Mangha ram &amp; Co</t>
  </si>
  <si>
    <t>H4728022000</t>
  </si>
  <si>
    <t>Gupta Refrectories</t>
  </si>
  <si>
    <t>H6848022000</t>
  </si>
  <si>
    <t>G E(MES) Bulk Supply</t>
  </si>
  <si>
    <t>H7848022000</t>
  </si>
  <si>
    <t>G E (EM) Airfield  Maharajpura</t>
  </si>
  <si>
    <t>H8848022000</t>
  </si>
  <si>
    <t>G E (MES) DRDE Tansen Road</t>
  </si>
  <si>
    <t>H1658022000</t>
  </si>
  <si>
    <t>Sr Project Engineer MPSTDC</t>
  </si>
  <si>
    <t>H2568022000</t>
  </si>
  <si>
    <t>Scindia  Investment</t>
  </si>
  <si>
    <t>H9728022000</t>
  </si>
  <si>
    <t>Dy Commissioner Income Tex</t>
  </si>
  <si>
    <t>H4638022000</t>
  </si>
  <si>
    <t>The Joint Controllar Govt Press</t>
  </si>
  <si>
    <t>H0338022000</t>
  </si>
  <si>
    <t>DEE(CR) director IRCAM</t>
  </si>
  <si>
    <t>H1048022000</t>
  </si>
  <si>
    <t>Sr DEE(G) Residency  Tansen Road</t>
  </si>
  <si>
    <t>H7268022000</t>
  </si>
  <si>
    <t>The NCC Women Training College</t>
  </si>
  <si>
    <t>H1527022000</t>
  </si>
  <si>
    <t>Director Helth Management</t>
  </si>
  <si>
    <t>H8268022000</t>
  </si>
  <si>
    <t>Director IITTM</t>
  </si>
  <si>
    <t>H9848022000</t>
  </si>
  <si>
    <t>Station Engineer (HPTV)</t>
  </si>
  <si>
    <t>H2527022000</t>
  </si>
  <si>
    <t>Registrar MPHigh Court</t>
  </si>
  <si>
    <t>H2048022000</t>
  </si>
  <si>
    <t>Bharti  Telenet</t>
  </si>
  <si>
    <t>H6107022000</t>
  </si>
  <si>
    <t>G M Telecom</t>
  </si>
  <si>
    <t>H3048022000</t>
  </si>
  <si>
    <t>B P Food</t>
  </si>
  <si>
    <t>H4048022000</t>
  </si>
  <si>
    <t>Principal I H M  Maharajpura</t>
  </si>
  <si>
    <t>H8527022000</t>
  </si>
  <si>
    <t>Hotal sheltor</t>
  </si>
  <si>
    <t>H5348022000</t>
  </si>
  <si>
    <t>Prem Moters</t>
  </si>
  <si>
    <t>H2948022000</t>
  </si>
  <si>
    <t>Gwalior Lube Oil</t>
  </si>
  <si>
    <t>H9658022000</t>
  </si>
  <si>
    <t>Surichi  Hotel</t>
  </si>
  <si>
    <t>H1148022000</t>
  </si>
  <si>
    <t>Principal Scindia School</t>
  </si>
  <si>
    <t>H0207022000</t>
  </si>
  <si>
    <t>MPState Tourism (Motel Tansen)</t>
  </si>
  <si>
    <t>H9527022000</t>
  </si>
  <si>
    <t>CMZ Officer S B I</t>
  </si>
  <si>
    <t>H9107022000</t>
  </si>
  <si>
    <t>Directo A B V IIITM</t>
  </si>
  <si>
    <t>H0368022000</t>
  </si>
  <si>
    <t>Pratap Wahini Samaj Kalayan (MPCT)</t>
  </si>
  <si>
    <t>H6338022000</t>
  </si>
  <si>
    <t>G E(MES) DRDE Navlakha Pared</t>
  </si>
  <si>
    <t>H1948022000</t>
  </si>
  <si>
    <t xml:space="preserve">Ajay Gupta Harbans lal </t>
  </si>
  <si>
    <t>H2827022000</t>
  </si>
  <si>
    <t>Brij lal Daulat ram</t>
  </si>
  <si>
    <t>H4038022000</t>
  </si>
  <si>
    <t>Sudhanshu Foot Care</t>
  </si>
  <si>
    <t>H7397022000</t>
  </si>
  <si>
    <t>A G M P</t>
  </si>
  <si>
    <t>H7338022000</t>
  </si>
  <si>
    <t>Sanjeev Harbanslal (Sudarshan Fruits)</t>
  </si>
  <si>
    <t>H8338022000</t>
  </si>
  <si>
    <t>D M Life Insurance Of india</t>
  </si>
  <si>
    <t>H8658022000</t>
  </si>
  <si>
    <t>Vivaswan Hotel (Hotel central Park)</t>
  </si>
  <si>
    <t>H7527022000</t>
  </si>
  <si>
    <t>S B  Hotel</t>
  </si>
  <si>
    <t>H4958022000</t>
  </si>
  <si>
    <t>S A Trading &amp; Investment</t>
  </si>
  <si>
    <t>H5827022000</t>
  </si>
  <si>
    <t>Gangwal Industries</t>
  </si>
  <si>
    <t>H3828022000</t>
  </si>
  <si>
    <t>Radha Rani foot Wear (P) Ltd</t>
  </si>
  <si>
    <t>H4207022000</t>
  </si>
  <si>
    <t>Modern Home Comforts</t>
  </si>
  <si>
    <t>H6438022000</t>
  </si>
  <si>
    <t>Hotel Land Mark</t>
  </si>
  <si>
    <t>H5207022000</t>
  </si>
  <si>
    <t>Principal Scindia Kanya Vidhyalaya</t>
  </si>
  <si>
    <t>H6207022000</t>
  </si>
  <si>
    <t>Arhat udhyog</t>
  </si>
  <si>
    <t>H8568022000</t>
  </si>
  <si>
    <t>General Manager S B I</t>
  </si>
  <si>
    <t>H5948022000</t>
  </si>
  <si>
    <t>Chairman Mahatma Dhule (GEC)</t>
  </si>
  <si>
    <t>H6627022000</t>
  </si>
  <si>
    <t>Seeta Cooling (Hotel Sitmanor)</t>
  </si>
  <si>
    <t>H7438022000</t>
  </si>
  <si>
    <t>Colour Velly Coating India</t>
  </si>
  <si>
    <t>H2148022000</t>
  </si>
  <si>
    <t>Kanha Shopping Mall</t>
  </si>
  <si>
    <t>H0138022000</t>
  </si>
  <si>
    <t xml:space="preserve">Ms Acme Universal Safezone </t>
  </si>
  <si>
    <t>H3148022000</t>
  </si>
  <si>
    <t>G E (EM)MES  Pintopark</t>
  </si>
  <si>
    <t>H6948022000</t>
  </si>
  <si>
    <t>Sunultra Technologies</t>
  </si>
  <si>
    <t>H9677022000</t>
  </si>
  <si>
    <t>Kailash  Industries</t>
  </si>
  <si>
    <t>H3497022000</t>
  </si>
  <si>
    <t>S Gupta Sheet Grah</t>
  </si>
  <si>
    <t>H4148022000</t>
  </si>
  <si>
    <t>Fairy land Hotel &amp; Resorts</t>
  </si>
  <si>
    <t>H5368022000</t>
  </si>
  <si>
    <t>Directo B I O M R</t>
  </si>
  <si>
    <t>H8348022000</t>
  </si>
  <si>
    <t>Sheetal  Industries</t>
  </si>
  <si>
    <t>H0777022000</t>
  </si>
  <si>
    <t>Swami Sarvanand Grah Udhyag (Paras white Gold agro)</t>
  </si>
  <si>
    <t>H8438022000</t>
  </si>
  <si>
    <t>Directo (O&amp;M) BECIL</t>
  </si>
  <si>
    <t>H6368022000</t>
  </si>
  <si>
    <t>Motilal  Agrawal Mills</t>
  </si>
  <si>
    <t>H7627022000</t>
  </si>
  <si>
    <t>Surya Roshni</t>
  </si>
  <si>
    <t>H5638022000</t>
  </si>
  <si>
    <t>Deendayal Mall</t>
  </si>
  <si>
    <t>H0468022000</t>
  </si>
  <si>
    <t>Satguru  Plastic</t>
  </si>
  <si>
    <t>H1928022000</t>
  </si>
  <si>
    <t>Tropilite Foods (P) Ldt</t>
  </si>
  <si>
    <t>H9828022000</t>
  </si>
  <si>
    <t>Vice Chancellor  L N I P E</t>
  </si>
  <si>
    <t>H2538022000</t>
  </si>
  <si>
    <t>Jai Mata Packeging</t>
  </si>
  <si>
    <t>H9148022000</t>
  </si>
  <si>
    <t>Deeksha Packejing</t>
  </si>
  <si>
    <t>H4497022000</t>
  </si>
  <si>
    <t>Pawan Kumar  Budhamal</t>
  </si>
  <si>
    <t>H2928022000</t>
  </si>
  <si>
    <t>Takshashila Textile</t>
  </si>
  <si>
    <t>H3928022000</t>
  </si>
  <si>
    <t>Harshit Textile</t>
  </si>
  <si>
    <t>H1248022000</t>
  </si>
  <si>
    <t>E E (PHE) Department Project Circle</t>
  </si>
  <si>
    <t>H0507022000</t>
  </si>
  <si>
    <t>Raj Events</t>
  </si>
  <si>
    <t>H0307022000</t>
  </si>
  <si>
    <t>Anjana Associate</t>
  </si>
  <si>
    <t>H4808022000</t>
  </si>
  <si>
    <t>The Directors Sports &amp; Youth</t>
  </si>
  <si>
    <t>H5497022000</t>
  </si>
  <si>
    <t>A S Moters</t>
  </si>
  <si>
    <t>H9948022000</t>
  </si>
  <si>
    <t>Quality Food Products</t>
  </si>
  <si>
    <t>H0727022000</t>
  </si>
  <si>
    <t>Prestressed Cocreet</t>
  </si>
  <si>
    <t>H1927022000</t>
  </si>
  <si>
    <t>Bhopal Tractors</t>
  </si>
  <si>
    <t>H1468022000</t>
  </si>
  <si>
    <t>Rangoli Papers</t>
  </si>
  <si>
    <t>H2777022000</t>
  </si>
  <si>
    <t>Parinamitramitra  Electricals</t>
  </si>
  <si>
    <t>H5307022000</t>
  </si>
  <si>
    <t>The Commissioner Nagar Nigam</t>
  </si>
  <si>
    <t>H2927022000</t>
  </si>
  <si>
    <t xml:space="preserve">Moolchand Madhavdas </t>
  </si>
  <si>
    <t>H2507022000</t>
  </si>
  <si>
    <t>Shiv Shakti Till Mill</t>
  </si>
  <si>
    <t>H8758022000</t>
  </si>
  <si>
    <t>Rajasthan Patrika</t>
  </si>
  <si>
    <t>H6297022000</t>
  </si>
  <si>
    <t>Adityaz  Hotel</t>
  </si>
  <si>
    <t>H8928022000</t>
  </si>
  <si>
    <t>Diksha Continers</t>
  </si>
  <si>
    <t>H3507022000</t>
  </si>
  <si>
    <t xml:space="preserve">Dwarka Health Institute  Pvt Ltd </t>
  </si>
  <si>
    <t>H6307022000</t>
  </si>
  <si>
    <t>Registrar Jiwaji University  Gwl</t>
  </si>
  <si>
    <t>H9758022000</t>
  </si>
  <si>
    <t>Acura Extrusion India ltd</t>
  </si>
  <si>
    <t>H7297022000</t>
  </si>
  <si>
    <t>TheSuprintendent Central Jail</t>
  </si>
  <si>
    <t>H8538022000</t>
  </si>
  <si>
    <t>The E E (PHE)Project Dn</t>
  </si>
  <si>
    <t>H5810232000</t>
  </si>
  <si>
    <t>Assotech CP Infrastructure</t>
  </si>
  <si>
    <t>H5248022000</t>
  </si>
  <si>
    <t xml:space="preserve">Director  Prestige Ins Of Man </t>
  </si>
  <si>
    <t>H8307022000</t>
  </si>
  <si>
    <t>Precision Industrial SYSTEM</t>
  </si>
  <si>
    <t>H3668022000</t>
  </si>
  <si>
    <t>The Secretary Jiwaji Club</t>
  </si>
  <si>
    <t>H1407022000</t>
  </si>
  <si>
    <t>The Adminisiratve Officer Excise</t>
  </si>
  <si>
    <t>H8248022000</t>
  </si>
  <si>
    <t>M A P Industries</t>
  </si>
  <si>
    <t>H9297022000</t>
  </si>
  <si>
    <t>Shiva Compressed Air Products</t>
  </si>
  <si>
    <t>H5777022000</t>
  </si>
  <si>
    <t>MS Sai Baba Industries</t>
  </si>
  <si>
    <t>H9248022000</t>
  </si>
  <si>
    <t>MS Sharda Polimers</t>
  </si>
  <si>
    <t>H6777022000</t>
  </si>
  <si>
    <t>MS Late SmtGujrati Devi</t>
  </si>
  <si>
    <t>H5507022000</t>
  </si>
  <si>
    <t>MS jay Pee Foot Wear</t>
  </si>
  <si>
    <t>H5727022000</t>
  </si>
  <si>
    <t>AVS Industries</t>
  </si>
  <si>
    <t>H6507022000</t>
  </si>
  <si>
    <t>The Director Cancer Hospital</t>
  </si>
  <si>
    <t>H7777022000</t>
  </si>
  <si>
    <t>MS Prem Motors</t>
  </si>
  <si>
    <t>H3927022000</t>
  </si>
  <si>
    <t>MS Aaron Hotal</t>
  </si>
  <si>
    <t>H4668022000</t>
  </si>
  <si>
    <t>Hari ram Bhatiya Flour Mill</t>
  </si>
  <si>
    <t>H6727022000</t>
  </si>
  <si>
    <t>Ms FIITJEE Limited</t>
  </si>
  <si>
    <t>H1638022000</t>
  </si>
  <si>
    <t>MS Globle Speciality Hospital</t>
  </si>
  <si>
    <t>H5858022000</t>
  </si>
  <si>
    <t>Ms E I P L Hospility Power</t>
  </si>
  <si>
    <t>H6468022000</t>
  </si>
  <si>
    <t>The Addl Chief General Manager MPSEDC</t>
  </si>
  <si>
    <t>H0348022000</t>
  </si>
  <si>
    <t>Hotel Sunbeam</t>
  </si>
  <si>
    <t>H1348022000</t>
  </si>
  <si>
    <t>Ratan Jyoti Netralaya</t>
  </si>
  <si>
    <t>H5668022000</t>
  </si>
  <si>
    <t>Bahubali Industries</t>
  </si>
  <si>
    <t>H6858022000</t>
  </si>
  <si>
    <t>Star Auto Products</t>
  </si>
  <si>
    <t>H7727022000</t>
  </si>
  <si>
    <t>Balaji Food Processer</t>
  </si>
  <si>
    <t>H7808022000</t>
  </si>
  <si>
    <t>Teresian Carmal Education Socity</t>
  </si>
  <si>
    <t>H0738022000</t>
  </si>
  <si>
    <t xml:space="preserve">Hotel  Sudershan </t>
  </si>
  <si>
    <t>H0768022000</t>
  </si>
  <si>
    <t>Mahatauliya Educational Socity (7 i)</t>
  </si>
  <si>
    <t>H7858022000</t>
  </si>
  <si>
    <t>Matolia Motels</t>
  </si>
  <si>
    <t>H2407022000</t>
  </si>
  <si>
    <t>Idea Cellular Limited</t>
  </si>
  <si>
    <t>H3638022000</t>
  </si>
  <si>
    <t>H0101282000</t>
  </si>
  <si>
    <t>Ms Amar Industries</t>
  </si>
  <si>
    <t>H1101282000</t>
  </si>
  <si>
    <t>Ms Chocovery Nutretion products</t>
  </si>
  <si>
    <t>H6796627052</t>
  </si>
  <si>
    <t>The Principal I T I Gwl</t>
  </si>
  <si>
    <t>H8389995337</t>
  </si>
  <si>
    <t>Ms Kalyan Memorial KDJ Hospital</t>
  </si>
  <si>
    <t>H5223471810</t>
  </si>
  <si>
    <t>Joint Director Treasury &amp; Accounts</t>
  </si>
  <si>
    <t>H8368225586</t>
  </si>
  <si>
    <t>Vidhichand Dharmshala Trust</t>
  </si>
  <si>
    <t>H7794692685</t>
  </si>
  <si>
    <t>Ramanand Enterprises  India</t>
  </si>
  <si>
    <t>H1303853482</t>
  </si>
  <si>
    <t>Kapoor Strips &amp; Blades Co</t>
  </si>
  <si>
    <t>H1962741792</t>
  </si>
  <si>
    <t>Arvind Agrwal "Anand"</t>
  </si>
  <si>
    <t>H3889464779</t>
  </si>
  <si>
    <t>Eco Green Energy Gwalior (P) LTD</t>
  </si>
  <si>
    <t>H1213198987</t>
  </si>
  <si>
    <t>Gurudwara Data Bandi Chhore</t>
  </si>
  <si>
    <t>H9440726623</t>
  </si>
  <si>
    <t>The Veterinary Assistant Surgeon</t>
  </si>
  <si>
    <t>H4931109373</t>
  </si>
  <si>
    <t>Sumedha Vehicals</t>
  </si>
  <si>
    <t>H8900265893</t>
  </si>
  <si>
    <t>Chandra Pack Ind</t>
  </si>
  <si>
    <t>H2723335309</t>
  </si>
  <si>
    <t>Vishal chaturvedi</t>
  </si>
  <si>
    <t>H2925438079</t>
  </si>
  <si>
    <t>Kay Pee Food Product</t>
  </si>
  <si>
    <t>H7136494300</t>
  </si>
  <si>
    <t>Ashish jain(Aarjav industries)</t>
  </si>
  <si>
    <t>H4228197988</t>
  </si>
  <si>
    <t>The Joint Dir&amp; Superintendent JA Hospital</t>
  </si>
  <si>
    <t>H4537338051</t>
  </si>
  <si>
    <t>Shri Kaila Devi Ind</t>
  </si>
  <si>
    <t>H6546478854</t>
  </si>
  <si>
    <t>Commissioner Nagar Nigam Tarun Puskar</t>
  </si>
  <si>
    <t>H9734480416</t>
  </si>
  <si>
    <t>SRS Vilas Hotels (P) Ltd</t>
  </si>
  <si>
    <t>H0998985902</t>
  </si>
  <si>
    <t>Golden Life India Purification (P)</t>
  </si>
  <si>
    <t>H9064530941</t>
  </si>
  <si>
    <t xml:space="preserve">N.G. Grande Rahwashi Shahkari </t>
  </si>
  <si>
    <t>H9619052668</t>
  </si>
  <si>
    <t xml:space="preserve">Shakti Products </t>
  </si>
  <si>
    <t>H6578263160</t>
  </si>
  <si>
    <t>G.R. Industries</t>
  </si>
  <si>
    <t>H9925559556</t>
  </si>
  <si>
    <t>Sapphire Infraech</t>
  </si>
  <si>
    <t>H5676853119</t>
  </si>
  <si>
    <t xml:space="preserve">Gwalior Regency Resorts India </t>
  </si>
  <si>
    <t>H5873893384</t>
  </si>
  <si>
    <t xml:space="preserve">The Narcotics Commissioner </t>
  </si>
  <si>
    <t>H4989096015</t>
  </si>
  <si>
    <t>Dr Pritesh Jain</t>
  </si>
  <si>
    <t>H0665684705</t>
  </si>
  <si>
    <t>Shri Vasudev Diagnostics (P) LTD</t>
  </si>
  <si>
    <t>H4773428889</t>
  </si>
  <si>
    <t xml:space="preserve">Balaji Industrive </t>
  </si>
  <si>
    <t>H3376871083</t>
  </si>
  <si>
    <t>Ishan Mall LLP Gwalior (DB Mall)</t>
  </si>
  <si>
    <t>H1958850126</t>
  </si>
  <si>
    <t>Sunlife Infratesh (sun veliy)</t>
  </si>
  <si>
    <t>H3334111127</t>
  </si>
  <si>
    <t xml:space="preserve">Thomson Food Industries </t>
  </si>
  <si>
    <t>H7578660549</t>
  </si>
  <si>
    <t xml:space="preserve">The Ved Mantra </t>
  </si>
  <si>
    <t>H6222435247</t>
  </si>
  <si>
    <t xml:space="preserve">K.R. Enterpises </t>
  </si>
  <si>
    <t>H5679675937</t>
  </si>
  <si>
    <t xml:space="preserve">ADI Nutricons </t>
  </si>
  <si>
    <t>H6560920414</t>
  </si>
  <si>
    <t xml:space="preserve">The Registrar ABV III TM Campus </t>
  </si>
  <si>
    <t>H1649908693</t>
  </si>
  <si>
    <t>Keshar Infrastructure (TempCon)</t>
  </si>
  <si>
    <t>H3096077873</t>
  </si>
  <si>
    <t xml:space="preserve">RTO Gwalior </t>
  </si>
  <si>
    <t>H0840450701</t>
  </si>
  <si>
    <t>Shree shyam Polymers</t>
  </si>
  <si>
    <t>H5748516847</t>
  </si>
  <si>
    <t>MP Building &amp; Other Construction Labour Welfare Board</t>
  </si>
  <si>
    <t>H2120340339</t>
  </si>
  <si>
    <t>Thapak Hotel (P) LTD</t>
  </si>
  <si>
    <t>H5573065509</t>
  </si>
  <si>
    <t xml:space="preserve">Shakti Food Products </t>
  </si>
  <si>
    <t>H3493024746</t>
  </si>
  <si>
    <t>Hindustan Urban Infrastructue</t>
  </si>
  <si>
    <t>H2865560583</t>
  </si>
  <si>
    <t xml:space="preserve">The Transport Commissioner </t>
  </si>
  <si>
    <t>H9741942760</t>
  </si>
  <si>
    <t xml:space="preserve">Atul Agarwal &amp;  Kusum Agarwal </t>
  </si>
  <si>
    <t>H8553989626</t>
  </si>
  <si>
    <t>Shikhar CT Scan &amp; Dignostics</t>
  </si>
  <si>
    <t>H7315363586</t>
  </si>
  <si>
    <t xml:space="preserve">Kalyan Multi  Speciality Hospital </t>
  </si>
  <si>
    <t>H8332835326</t>
  </si>
  <si>
    <t xml:space="preserve">The CEO Gwalior Smart City Development Corporation </t>
  </si>
  <si>
    <t>H9084117890</t>
  </si>
  <si>
    <t>JAH Hospital GRMC</t>
  </si>
  <si>
    <t>H6929652460</t>
  </si>
  <si>
    <t xml:space="preserve">Shree Shyam Industris </t>
  </si>
  <si>
    <t>H0215604261</t>
  </si>
  <si>
    <t>Dhanwantari Firms</t>
  </si>
  <si>
    <t>H9991441737</t>
  </si>
  <si>
    <t>Welcome A Refreshment Shoppe</t>
  </si>
  <si>
    <t>H2847633466</t>
  </si>
  <si>
    <t>The EERVS Krishi Vidhyalaya</t>
  </si>
  <si>
    <t>H4851132576</t>
  </si>
  <si>
    <t>Gwalior Hotels Pvt Ltd</t>
  </si>
  <si>
    <t>H6411929993</t>
  </si>
  <si>
    <t>H6590122243</t>
  </si>
  <si>
    <t>Sagar dwelling (p)ltd</t>
  </si>
  <si>
    <t>H1869118466</t>
  </si>
  <si>
    <t xml:space="preserve">Manas Polymer </t>
  </si>
  <si>
    <t>H2900223790</t>
  </si>
  <si>
    <t>Shri Krishna Motors</t>
  </si>
  <si>
    <t>H4888988361</t>
  </si>
  <si>
    <t>Mahalaxmi Products</t>
  </si>
  <si>
    <t>H7224859442</t>
  </si>
  <si>
    <t xml:space="preserve">The EE GDA Gwalior </t>
  </si>
  <si>
    <t>H8733127435</t>
  </si>
  <si>
    <t>Ramanand Enterprises India</t>
  </si>
  <si>
    <t>H7884726730</t>
  </si>
  <si>
    <t>The Commissioner Nagar Nigam (Town Hall)</t>
  </si>
  <si>
    <t>H9259452033</t>
  </si>
  <si>
    <t>Sayunkt sanchalak JA hospital</t>
  </si>
  <si>
    <t>H5672566395</t>
  </si>
  <si>
    <t>Royal Auto mobile pvt</t>
  </si>
  <si>
    <t>H7629938713</t>
  </si>
  <si>
    <t>Secretary Raja Man Singh Tomar Music</t>
  </si>
  <si>
    <t>H7956406395</t>
  </si>
  <si>
    <t>Sansai Property &amp; Hotels</t>
  </si>
  <si>
    <t>H8913125846</t>
  </si>
  <si>
    <t>The Commissioner Nagar Nigam Pump</t>
  </si>
  <si>
    <t>H7605981574</t>
  </si>
  <si>
    <t>NA</t>
  </si>
  <si>
    <t xml:space="preserve">Marry Developers (P) LTD </t>
  </si>
  <si>
    <t>H9018971255</t>
  </si>
  <si>
    <r>
      <rPr>
        <sz val="11"/>
        <color rgb="FF000000"/>
        <rFont val="Calibri"/>
        <family val="2"/>
        <charset val="1"/>
      </rPr>
      <t>Ramanand Enterprises India Private</t>
    </r>
    <r>
      <rPr>
        <b/>
        <sz val="11"/>
        <color rgb="FF000000"/>
        <rFont val="Calibri"/>
        <family val="2"/>
        <charset val="1"/>
      </rPr>
      <t xml:space="preserve"> (NEW)</t>
    </r>
  </si>
  <si>
    <t>H5730170505</t>
  </si>
  <si>
    <t>Galaxy Agri Export</t>
  </si>
  <si>
    <t>H5210932103</t>
  </si>
  <si>
    <t>Gaurav Trading Company</t>
  </si>
  <si>
    <t>H7128570379</t>
  </si>
  <si>
    <t xml:space="preserve">Indian Auto Cables Industries </t>
  </si>
  <si>
    <t>H8066536105</t>
  </si>
  <si>
    <t>shriji Awas Vikas Pvt</t>
  </si>
  <si>
    <t>H2782777896</t>
  </si>
  <si>
    <t xml:space="preserve">G R Medical College </t>
  </si>
  <si>
    <t>H9769456265</t>
  </si>
  <si>
    <t xml:space="preserve">Ambic Food Products </t>
  </si>
  <si>
    <t>H2086216680</t>
  </si>
  <si>
    <t>Madhya pradesh cricket Association</t>
  </si>
  <si>
    <t>H4667757973</t>
  </si>
  <si>
    <t xml:space="preserve">CEO Gwalior smart City </t>
  </si>
  <si>
    <t>H3731637753</t>
  </si>
  <si>
    <t>Commissionar Nagar Nigam Gwl Jalapur</t>
  </si>
  <si>
    <t>H4865712126</t>
  </si>
  <si>
    <t>Commissioner Nagar Nigam 65 MLD Sewerage</t>
  </si>
  <si>
    <t>H0690409663</t>
  </si>
  <si>
    <t xml:space="preserve">Dena College of agri RVSKVV </t>
  </si>
  <si>
    <t>H2420050065</t>
  </si>
  <si>
    <t>Shri Paramsukh Trading Company</t>
  </si>
  <si>
    <t>H2421000085</t>
  </si>
  <si>
    <t xml:space="preserve">Gwalior Muncipal Corporation </t>
  </si>
  <si>
    <t>H2421000104</t>
  </si>
  <si>
    <t xml:space="preserve">MPRRRDPIU Gwalior </t>
  </si>
  <si>
    <t>H2421037919</t>
  </si>
  <si>
    <t>RSKS AUTOMOTIVES PRIVATE LIMITED</t>
  </si>
  <si>
    <t>H2421037915</t>
  </si>
  <si>
    <t>RISHI OIL INDUSTRIES</t>
  </si>
  <si>
    <t>H2421037958</t>
  </si>
  <si>
    <t>COMMISSIONER NAGAR NIGAM GWALIOR</t>
  </si>
  <si>
    <t>H2421037959</t>
  </si>
  <si>
    <t>RATAN JYOTI NETRALAYA PVT LTD</t>
  </si>
  <si>
    <t>H2421037957</t>
  </si>
  <si>
    <t>ASHISH MISHRA</t>
  </si>
  <si>
    <t>H2421037976</t>
  </si>
  <si>
    <t>CITY-1</t>
  </si>
  <si>
    <t>H2421037981</t>
  </si>
  <si>
    <t>SIDDHARTH CIVICON PRIVATE LIMITED</t>
  </si>
  <si>
    <t>33 KV SCINDIA NAGAR</t>
  </si>
  <si>
    <t>H2421037971</t>
  </si>
  <si>
    <t>KESHAR INFRASTRUCTURES KESHAR TOWER</t>
  </si>
  <si>
    <t>H2421038010</t>
  </si>
  <si>
    <t>THE COMMISSIONER LAND RECORD AND SETTLEMENT</t>
  </si>
  <si>
    <t>H2421038011</t>
  </si>
  <si>
    <t>M P BOARD OF REVENUE GWALIOR</t>
  </si>
  <si>
    <t>H2421038012</t>
  </si>
  <si>
    <t>THE COMMISSIONER GWALIOR DIVISION</t>
  </si>
  <si>
    <t>H2421038030</t>
  </si>
  <si>
    <t>HOPE POLYMERS</t>
  </si>
  <si>
    <t>H2421038032</t>
  </si>
  <si>
    <t>S K ENTERPRISES</t>
  </si>
  <si>
    <t>H2421038059</t>
  </si>
  <si>
    <t>THE DEAN G R MEDICAL COLLEGE GWALIOR</t>
  </si>
  <si>
    <t>H2421038078</t>
  </si>
  <si>
    <t>GLR REAL ESTATE PRIVATE LIMITED</t>
  </si>
  <si>
    <t>H2421038079</t>
  </si>
  <si>
    <t xml:space="preserve">TRANAKER SMRITI SEVA NYAS </t>
  </si>
  <si>
    <t>H2421038141</t>
  </si>
  <si>
    <t>KUSUM AGRAWAL</t>
  </si>
  <si>
    <t>H2421038174</t>
  </si>
  <si>
    <t>SAI BABA INDUSTRIES GWALIOR</t>
  </si>
  <si>
    <t>H2421038183</t>
  </si>
  <si>
    <t>HARIPAL SINGH</t>
  </si>
  <si>
    <t>H2421038203</t>
  </si>
  <si>
    <t>JAI LAXMI INDUSTRIES</t>
  </si>
  <si>
    <t>H2421038219</t>
  </si>
  <si>
    <t>VIMLA RAJAURIA</t>
  </si>
  <si>
    <t>H2421038220</t>
  </si>
  <si>
    <t>CHIRANJEEV HOSPITAL SERVICE PRIVATE LIMITED</t>
  </si>
  <si>
    <t>H2421038253</t>
  </si>
  <si>
    <t xml:space="preserve">HINDUSTAN PETROLEUM CORPORATION LTD </t>
  </si>
  <si>
    <t>H2421038297</t>
  </si>
  <si>
    <t>ROYALEX HOTELS PVT. LTD.</t>
  </si>
  <si>
    <t>H2421038294</t>
  </si>
  <si>
    <t>VERMA GASES</t>
  </si>
  <si>
    <t>H2421038316</t>
  </si>
  <si>
    <t>RELIANCE JIO INFOCOMM LIMITED</t>
  </si>
  <si>
    <t>H2421038317</t>
  </si>
  <si>
    <t>REGIONAL AYURVEDA RESEARCH INSTITUTE</t>
  </si>
  <si>
    <t>H2421038354</t>
  </si>
  <si>
    <t>K H FOOD PRODUCTS GWALIOR</t>
  </si>
  <si>
    <t>H2421038462</t>
  </si>
  <si>
    <t>HEAD OF LAB CABLE CONDUCTORS AND TRANSFORMERS TESTING LAB</t>
  </si>
  <si>
    <t>H2421038472</t>
  </si>
  <si>
    <t>LUSTRE TUFF GLASS PVT LTD</t>
  </si>
  <si>
    <t>H2421038519</t>
  </si>
  <si>
    <t>BEW AUTO PARTS</t>
  </si>
  <si>
    <t>H2421038498</t>
  </si>
  <si>
    <t>DISTRICT HOSPITAL MORAR</t>
  </si>
  <si>
    <t>H2421038520</t>
  </si>
  <si>
    <t>THE COMMISSIONER NAGAR NIGAM GWALIOR</t>
  </si>
  <si>
    <t>H2421038609</t>
  </si>
  <si>
    <t xml:space="preserve">MADHUR AGRI EXPORT </t>
  </si>
  <si>
    <t>H2421038635</t>
  </si>
  <si>
    <t>KARAN STAMPING PRIVATE LIMITED</t>
  </si>
  <si>
    <t>H2421038631</t>
  </si>
  <si>
    <t xml:space="preserve">EMPLOYEES PROVIDENT FUND ORGANIZATION </t>
  </si>
  <si>
    <t>H2421038645</t>
  </si>
  <si>
    <t>VAISHNO BUILDING SOLUTIONS</t>
  </si>
  <si>
    <t>H2421038646</t>
  </si>
  <si>
    <t>DEPUTY DIRECTOR CENTRE FOR DISABILITY GWALIOR</t>
  </si>
  <si>
    <t>H2421038647</t>
  </si>
  <si>
    <t>GARG CHEMICAL COMPANY</t>
  </si>
  <si>
    <t>H2421038697</t>
  </si>
  <si>
    <t>YS CORPORATE SOLUTIONS LLP</t>
  </si>
  <si>
    <t>H2421038764</t>
  </si>
  <si>
    <t xml:space="preserve">METRO POLY PRODUCTS </t>
  </si>
  <si>
    <t>H2421038777</t>
  </si>
  <si>
    <t>THE DEAN G R MEDICAL COLLEGE</t>
  </si>
  <si>
    <t>H2421038779</t>
  </si>
  <si>
    <t>THE REGISTRAR DISTRICT HIGH COURT</t>
  </si>
  <si>
    <t>H2421038815</t>
  </si>
  <si>
    <t>KUSUMATULYA LIFESPACES PRIVATE LIMITED</t>
  </si>
  <si>
    <t>H2421038827</t>
  </si>
  <si>
    <t>SHRI SAI HOSPI CARE PRIVATE LIMITED</t>
  </si>
  <si>
    <t>H2421038828</t>
  </si>
  <si>
    <t>DR SANTOSH TRIPATHI CHAIMAN  METRO NEURO HOSPITAL</t>
  </si>
  <si>
    <t>H2421038890</t>
  </si>
  <si>
    <t>LAXMI MUKUND FUEL STATION</t>
  </si>
  <si>
    <t>H2421038887</t>
  </si>
  <si>
    <t>NEOTERIC RLG CARE FOUNDATION</t>
  </si>
  <si>
    <t>H2421038889</t>
  </si>
  <si>
    <t>ENCHANT ESTATE DEVELOPERS LLP</t>
  </si>
  <si>
    <t>H2421038910</t>
  </si>
  <si>
    <t>BLUE LOTUS LAND AND DEVELOPERS PARTNER SUNIL AGRAWAL HUF</t>
  </si>
  <si>
    <t>Total</t>
  </si>
  <si>
    <t>DETAILS OF MONTHLY UNITS CONSUMED BY H.T.CONSUMERS</t>
  </si>
  <si>
    <t>NAME OF CIRCLE- CITY CIRCLE GWALIOR</t>
  </si>
  <si>
    <t>S. No.</t>
  </si>
  <si>
    <t>VOLTAGE 
LEVEL</t>
  </si>
  <si>
    <t>S.C. NO.</t>
  </si>
  <si>
    <t>CONN.LOAD  (IN KVA)</t>
  </si>
  <si>
    <t>NAME OF CONSUMER</t>
  </si>
  <si>
    <t>Contract
Demand</t>
  </si>
  <si>
    <t>Initial
Reading</t>
  </si>
  <si>
    <t>Final
Reading</t>
  </si>
  <si>
    <t>Difference</t>
  </si>
  <si>
    <t>MONTHLY CONSUMPTION</t>
  </si>
  <si>
    <t>NAME OF FEEDER</t>
  </si>
  <si>
    <t>NAME OF EHV S/S</t>
  </si>
  <si>
    <t>NAME OF ZONE</t>
  </si>
  <si>
    <t>NAME OF DIVISION</t>
  </si>
  <si>
    <t>CANCER HOSPITAL</t>
  </si>
  <si>
    <t xml:space="preserve">CITY-1(Baraghata)  </t>
  </si>
  <si>
    <t>MAHALGAON</t>
  </si>
  <si>
    <t>Baraghata</t>
  </si>
  <si>
    <t>RAJ EXPRESS</t>
  </si>
  <si>
    <t>PREM MOTORS</t>
  </si>
  <si>
    <t>NAGAR NIGAM(eco green)</t>
  </si>
  <si>
    <t>KAPOOR STRIP</t>
  </si>
  <si>
    <t>SUMEDHA VEH.</t>
  </si>
  <si>
    <t>M/S ROYAL AUTOMOBILES PVT. LTD.</t>
  </si>
  <si>
    <t>THE SECRETARY RAJA MAN SINGH TOMAR MUSIC &amp;ART UNIVERSITY</t>
  </si>
  <si>
    <t>RAMANAND ENTERPRISES</t>
  </si>
  <si>
    <t>SHREEKRISHNA MOTOR</t>
  </si>
  <si>
    <t>Ramanand Enterprises India Private Limited</t>
  </si>
  <si>
    <t>MS Dhanwantari Firms</t>
  </si>
  <si>
    <t>G R MEDICAL COLLEGE</t>
  </si>
  <si>
    <t>CEO GWALIOR SMART CITY</t>
  </si>
  <si>
    <t>JAH HOSPITAL GRMC</t>
  </si>
  <si>
    <t>AGMP</t>
  </si>
  <si>
    <t>C.S.S.</t>
  </si>
  <si>
    <t>JIWAJI CLUB</t>
  </si>
  <si>
    <t>M/S GRAVITY INFRASTRUCTURE (P) LTD</t>
  </si>
  <si>
    <t>CITY CENTER</t>
  </si>
  <si>
    <t>POLYTECHNIC</t>
  </si>
  <si>
    <t>CPSS</t>
  </si>
  <si>
    <t>SINDHIYA NAGAR</t>
  </si>
  <si>
    <t>BARAGHATA</t>
  </si>
  <si>
    <t>SUN SAI PROPERTY&amp; HOTEL</t>
  </si>
  <si>
    <t>Carmal Convent</t>
  </si>
  <si>
    <t>MOTIJHEEL</t>
  </si>
  <si>
    <t>SKC</t>
  </si>
  <si>
    <t>DD MALL  (OPEN ACESS)</t>
  </si>
  <si>
    <t>GANGWAL IND.</t>
  </si>
  <si>
    <t>M/s THE VED MANTRA</t>
  </si>
  <si>
    <t>SCINDIA  INVESTMENT (OPENACESS)</t>
  </si>
  <si>
    <t>AREON HOTEL(Dev bag)</t>
  </si>
  <si>
    <t>Laxmiganj</t>
  </si>
  <si>
    <t>EXECUTIVE ENGINEER MADHAV PLAZA</t>
  </si>
  <si>
    <t>CITY-2 (S.A.F.)</t>
  </si>
  <si>
    <t>Mehalgaon</t>
  </si>
  <si>
    <t>SPORTS COMPLEX</t>
  </si>
  <si>
    <t>Kampoo Z.</t>
  </si>
  <si>
    <t>PARAS GOLD</t>
  </si>
  <si>
    <t>Gol Paharia (Tighara)</t>
  </si>
  <si>
    <t>TIGHARA</t>
  </si>
  <si>
    <t xml:space="preserve">Gol Paharia </t>
  </si>
  <si>
    <t>J.P.FOOTWEAR</t>
  </si>
  <si>
    <t>KAILASH IND. (OPEN ACESS)</t>
  </si>
  <si>
    <t>SHEETAL INDUST. (OPEN ACESS )</t>
  </si>
  <si>
    <t>SAI BABA</t>
  </si>
  <si>
    <t>ACME FABRIC (OPEN ACESS )</t>
  </si>
  <si>
    <t>MAHALAXMI PRODUCT GIRWAI</t>
  </si>
  <si>
    <t>M/s Shree Shyam Polymers</t>
  </si>
  <si>
    <t>GOL Paharia (MOTIJHEEL)</t>
  </si>
  <si>
    <t>TPN</t>
  </si>
  <si>
    <t>Ms Shree Shyam Industris</t>
  </si>
  <si>
    <t>STAR AUTO</t>
  </si>
  <si>
    <t>A.B.V.IIITM</t>
  </si>
  <si>
    <t>IIITM</t>
  </si>
  <si>
    <t>SHARMA FARM</t>
  </si>
  <si>
    <t>LADHEDI ZONE</t>
  </si>
  <si>
    <t>IDEA</t>
  </si>
  <si>
    <t>SAGAR TAL</t>
  </si>
  <si>
    <t>ADD.CGM.M(I.T.PARK)</t>
  </si>
  <si>
    <t>COMMISSIONAR NAGAR NIGAM GWALIOR</t>
  </si>
  <si>
    <t>EE PHE</t>
  </si>
  <si>
    <t>A.E.PHE MOTIZEEL</t>
  </si>
  <si>
    <t>Water Works</t>
  </si>
  <si>
    <t>PRINCIPAL  SKV</t>
  </si>
  <si>
    <t>Stadium</t>
  </si>
  <si>
    <t>Mahalgaon</t>
  </si>
  <si>
    <t>PHOOLBAG</t>
  </si>
  <si>
    <t>IITTM</t>
  </si>
  <si>
    <t>JIWAJI UNIVERCITY</t>
  </si>
  <si>
    <t>G M DRDE</t>
  </si>
  <si>
    <t>G M  TELECOM</t>
  </si>
  <si>
    <t>M/S GWALIOR REGENCY RESORTS INDIA (P) LTD.</t>
  </si>
  <si>
    <t>THATIPUR</t>
  </si>
  <si>
    <t>M/S S.R.S. VILLAS HOTELS (P) LTD</t>
  </si>
  <si>
    <t>E.E.RVS HOSTEL (NEW)</t>
  </si>
  <si>
    <t xml:space="preserve">E.E.RVS KRISHI VISHVA VIDYALAY </t>
  </si>
  <si>
    <t>DEAN COLLEGE OF AGRI RVSKVV</t>
  </si>
  <si>
    <t>LNIPE</t>
  </si>
  <si>
    <t>M/S GIRIJA COLONISER(ISHAN MALL)</t>
  </si>
  <si>
    <t>THE COMMISSIONER NAGAR NIGAM</t>
  </si>
  <si>
    <t>Darpan Colony-1</t>
  </si>
  <si>
    <t>BHARTI TELENT</t>
  </si>
  <si>
    <t>CENTRAL PARK</t>
  </si>
  <si>
    <t>MITS</t>
  </si>
  <si>
    <t>ARVIND AGARWAL(ATHENA)</t>
  </si>
  <si>
    <t>VETARNARY ASSTT.SURGEON MELA</t>
  </si>
  <si>
    <t xml:space="preserve">G E(E/M)AIRFIELD </t>
  </si>
  <si>
    <t>Air Force</t>
  </si>
  <si>
    <t>ANJNA ASSOCIATE</t>
  </si>
  <si>
    <t>EIPL HOSPITAL</t>
  </si>
  <si>
    <t>Hurawali</t>
  </si>
  <si>
    <t>Baradari</t>
  </si>
  <si>
    <t>ASSOTECH(WINDSAR HILL)</t>
  </si>
  <si>
    <t>SAPPHIRE(COSMO VELLY)</t>
  </si>
  <si>
    <t>SUNLIFE  INFRATECH (SUN VELLY)</t>
  </si>
  <si>
    <t>The R.T.O.</t>
  </si>
  <si>
    <t>BARADARY</t>
  </si>
  <si>
    <t>Shriji Awas Vikas Pvt Ltd</t>
  </si>
  <si>
    <t>THE TRANSPORT COMMISSIONER</t>
  </si>
  <si>
    <t>RAGISTER HIGHCOURT</t>
  </si>
  <si>
    <t>High Court</t>
  </si>
  <si>
    <t xml:space="preserve"> GARRISION MES(BULK)</t>
  </si>
  <si>
    <t>MES New</t>
  </si>
  <si>
    <t>BIRLA HOSPITAL</t>
  </si>
  <si>
    <t>KalpiBridge</t>
  </si>
  <si>
    <t>Sharma Farm</t>
  </si>
  <si>
    <t>DD NAGAR ZONE</t>
  </si>
  <si>
    <t>SAGAR DWELLING NEAR BIRLA HOSPITAL</t>
  </si>
  <si>
    <t>Commissioner Nagar Nigam Gwalior</t>
  </si>
  <si>
    <t>THAPAK HOTEL (P) LTD</t>
  </si>
  <si>
    <t>GUPTA REF.</t>
  </si>
  <si>
    <t>D.D.Nagar</t>
  </si>
  <si>
    <t>B.P.FOOD</t>
  </si>
  <si>
    <t>SUN ALTRA</t>
  </si>
  <si>
    <t>DR.PRESTIGES</t>
  </si>
  <si>
    <t>RAIL INSTITUTE/ DIRECTOR IRCM</t>
  </si>
  <si>
    <t>HOTEL ADITYA PLACE</t>
  </si>
  <si>
    <t>AEORDUM OFFICER/ NATIONAL AIRPORT AUTHORITY</t>
  </si>
  <si>
    <t>GEC./MAHATMA DHULE SAMITI</t>
  </si>
  <si>
    <t>KAY PEE FOOD</t>
  </si>
  <si>
    <t>ASHISH JAIN</t>
  </si>
  <si>
    <t>SHRI KAILADEVI IND.</t>
  </si>
  <si>
    <t>THE REGISTRAR A.B.V. I.I.I.T.M. CAMPUS</t>
  </si>
  <si>
    <t>EE PHE(LALTIPARA)</t>
  </si>
  <si>
    <t>Maharajpura</t>
  </si>
  <si>
    <t>PRINCIPAL ITI GWL</t>
  </si>
  <si>
    <t>HOTEL MANAGEMENT(IHM)</t>
  </si>
  <si>
    <t>TASHILA</t>
  </si>
  <si>
    <t>UNIPATECH</t>
  </si>
  <si>
    <t>J.B.MANGARAM</t>
  </si>
  <si>
    <t>PRESTRESSED CONCREET</t>
  </si>
  <si>
    <t>M.P. Building and other construction Labour Welfare Board</t>
  </si>
  <si>
    <t>M/S SHAKTI FOOD PRODUCTS</t>
  </si>
  <si>
    <t>HARSHIT</t>
  </si>
  <si>
    <t>TANSEN ZONE</t>
  </si>
  <si>
    <t>A.V.S.IND.AREA BIRLANAGAR</t>
  </si>
  <si>
    <t>TROPILITE FOOD(openAcess)</t>
  </si>
  <si>
    <t>M/s HINDUSTAN URBAN INFRASTRUCTURE</t>
  </si>
  <si>
    <t xml:space="preserve"> READYMADE GARMENT</t>
  </si>
  <si>
    <t>Madhya Pradesh Cricket Association Indore,Gwalior</t>
  </si>
  <si>
    <t>M/S SHAKTI PRODUCTS</t>
  </si>
  <si>
    <t>Darpan Colony-2</t>
  </si>
  <si>
    <t>TOTAL  33 KV CONSUMER</t>
  </si>
  <si>
    <t>G.Total   CITY CIRCLE  11 KV.</t>
  </si>
  <si>
    <t>OpenAcess</t>
  </si>
  <si>
    <t>OPEN ACCESS UNIT FOR HT CONSUMER M/O JULY 2022</t>
  </si>
  <si>
    <t>DD Mall  (open Acess)</t>
  </si>
  <si>
    <t>SCINDIA  Investment (openAcess)</t>
  </si>
  <si>
    <t>Kailash Ind. (Open acess)</t>
  </si>
  <si>
    <t>Acme Fabric (Open Acess )</t>
  </si>
  <si>
    <t>J.B.MANGHARAM</t>
  </si>
  <si>
    <t>S.No.</t>
  </si>
  <si>
    <t>NAME OF 33/11 KV S/S</t>
  </si>
  <si>
    <t>11 KV</t>
  </si>
  <si>
    <t xml:space="preserve">M/S HOTAL SURUCHI </t>
  </si>
  <si>
    <t xml:space="preserve"> NADI PAAR TAL</t>
  </si>
  <si>
    <t>EAST DIVN</t>
  </si>
  <si>
    <t>THE NARCOTICS COMMISSIONER, CENTRAL BUREAU OF NARCOTICS</t>
  </si>
  <si>
    <t>MAL ROAD</t>
  </si>
  <si>
    <t>M/S KALYAN MEMORIAL &amp; KDJ HOSPITAL</t>
  </si>
  <si>
    <t>ARYA NAGAR</t>
  </si>
  <si>
    <t>BARADARI</t>
  </si>
  <si>
    <t xml:space="preserve">M/S MODERN HOME COMFRTS BIRLA NAGAR GWALIOR </t>
  </si>
  <si>
    <t>NARAYAN VIHAR</t>
  </si>
  <si>
    <t>GOLE KA MANDIR</t>
  </si>
  <si>
    <t>M/S COLOUR VALLY COATING INDIA (P) LTD</t>
  </si>
  <si>
    <t>INDUSTRIAL-I</t>
  </si>
  <si>
    <t>M/S QUALITY  FOOD PRODUCT MAHARAJPURA</t>
  </si>
  <si>
    <t xml:space="preserve">M/S RAJASTHAN PATRIKA </t>
  </si>
  <si>
    <t>G .E M.E.S.E/M PINTO PARK MARAJPURA GWALIOR</t>
  </si>
  <si>
    <t>MES</t>
  </si>
  <si>
    <t>MAHARAJPURA</t>
  </si>
  <si>
    <t xml:space="preserve">M/S R R WIRE </t>
  </si>
  <si>
    <t>INDUSTRIAL-II</t>
  </si>
  <si>
    <t xml:space="preserve">APEX INDUSTRIES </t>
  </si>
  <si>
    <t>M/S SURYA ROSHNI</t>
  </si>
  <si>
    <t>M/S SATGURU PLASTIC</t>
  </si>
  <si>
    <t xml:space="preserve">M/SDEEKSHA PACKAGING </t>
  </si>
  <si>
    <t xml:space="preserve">M/S JAI MATA PACKAGING </t>
  </si>
  <si>
    <t xml:space="preserve">M/S GWALIOR LUBE OIL </t>
  </si>
  <si>
    <t xml:space="preserve">M/S RANGOLI PAPER  </t>
  </si>
  <si>
    <t>DIKSHA CONTAINERS</t>
  </si>
  <si>
    <t>ACURA EXTRUSION INDIA (P) LTD</t>
  </si>
  <si>
    <t>M/S SHIVA COMPRESSED AIR</t>
  </si>
  <si>
    <t>M/S SHARDA POLYMER</t>
  </si>
  <si>
    <t>AMAR INDUSTRIES</t>
  </si>
  <si>
    <t>CHOKOVERY NUTRITION PRODUCT</t>
  </si>
  <si>
    <t>A.D.I. NUTRICONS</t>
  </si>
  <si>
    <t>DIV.SUPDT.C.RLY.BUS STAND</t>
  </si>
  <si>
    <t>RACE CORSE ROAD</t>
  </si>
  <si>
    <t xml:space="preserve">M/S KESHAR INFRACTURE </t>
  </si>
  <si>
    <t xml:space="preserve">M/S MATOLIYA MOTALS </t>
  </si>
  <si>
    <t>STATION OFFICER  HPTV GANDHI ROAD GWL (DOORDARSHAN)</t>
  </si>
  <si>
    <t xml:space="preserve">M/S S B HOTAL (HOTAL REGENCY) </t>
  </si>
  <si>
    <t xml:space="preserve">M/S HOTEL SITA MANOR </t>
  </si>
  <si>
    <t xml:space="preserve">GLOBAL SPECIALITY HOSPITAL </t>
  </si>
  <si>
    <t xml:space="preserve">M/S MOTAL TANSEN  MPSTDC GWALIOR </t>
  </si>
  <si>
    <t>Ms Atul Agarwal and Kusum Agarwal</t>
  </si>
  <si>
    <t>Kumharpura</t>
  </si>
  <si>
    <t>D.Colony</t>
  </si>
  <si>
    <t xml:space="preserve"> L .I .C .OF INDIA. GWL</t>
  </si>
  <si>
    <t>ANUPAM NAGAR</t>
  </si>
  <si>
    <t>M/S FAIRY LAND HOTEL &amp; RESORTS (P) LTD</t>
  </si>
  <si>
    <t>M/S MARRY DEVELOPERS PVT. LTD.</t>
  </si>
  <si>
    <t>IDEA CELULAR</t>
  </si>
  <si>
    <t>JOINT DIRECTOR TREASURY &amp; ACCOUNTS</t>
  </si>
  <si>
    <t>COLLECTORATE</t>
  </si>
  <si>
    <t>HOTAL LANDMARK MANIK VILAS COLONY JHANSI ROAD</t>
  </si>
  <si>
    <t xml:space="preserve"> MANIK VILAS</t>
  </si>
  <si>
    <t>VIDHICHAND DHARMSHALA TRUST</t>
  </si>
  <si>
    <t>GWALIOR HOTELS PVT.LTD.</t>
  </si>
  <si>
    <t>G. E.WOMENS N.C.C</t>
  </si>
  <si>
    <t>NCC</t>
  </si>
  <si>
    <t>VISHAL CHATURVEDI</t>
  </si>
  <si>
    <t>DIRECORHEALTHMANAGEMENT .GWALIOR</t>
  </si>
  <si>
    <t>CHIEF MANAGER ZONAL 
OFFICE SBI CITY CENTRE</t>
  </si>
  <si>
    <t>DY.COMMISSIONER INCOMETAX</t>
  </si>
  <si>
    <t>FIIT JEE</t>
  </si>
  <si>
    <t>SUNBEAM HOTEL</t>
  </si>
  <si>
    <t xml:space="preserve">M/S KANHA SHOPPING MALL CITY CENTRE GWALIOR </t>
  </si>
  <si>
    <t xml:space="preserve"> CENTRAL PARK</t>
  </si>
  <si>
    <t>MPCT COLLAGE</t>
  </si>
  <si>
    <t>BOSTON</t>
  </si>
  <si>
    <t>MEHALGAON</t>
  </si>
  <si>
    <t>MAHALGAO</t>
  </si>
  <si>
    <t>GULMOHAR CITY</t>
  </si>
  <si>
    <t>DRDE (KAROLI)</t>
  </si>
  <si>
    <t>EAST DN.TOTAL11 KV.HT.Conn.</t>
  </si>
  <si>
    <t>CENTRAL DN 11 KV  H.T.CONSUMER</t>
  </si>
  <si>
    <t>GARIMA (PREM MOTORS)</t>
  </si>
  <si>
    <t>MADHAV NAGAR</t>
  </si>
  <si>
    <t>CENTRAL DIVN.</t>
  </si>
  <si>
    <t>MAHATULYA .EDUCATION</t>
  </si>
  <si>
    <t>M/S K.R. ENTERPISES</t>
  </si>
  <si>
    <t>Shriram colony</t>
  </si>
  <si>
    <t>RAMANAND ENTERPRISES(I)</t>
  </si>
  <si>
    <t xml:space="preserve">  INDUSTRIAL BARAGHATA</t>
  </si>
  <si>
    <t>SUDHANSHU</t>
  </si>
  <si>
    <t>S.A.TRADING</t>
  </si>
  <si>
    <t>BHOPAL TRADING.</t>
  </si>
  <si>
    <t>PARNAMITR</t>
  </si>
  <si>
    <t>R.K.IND.(HARI RAM)</t>
  </si>
  <si>
    <t>BAHUBALI</t>
  </si>
  <si>
    <t>SMT.GUGRATI</t>
  </si>
  <si>
    <t>Ambic Food Product</t>
  </si>
  <si>
    <t>MANAS POLYMER</t>
  </si>
  <si>
    <t>M/s Welcome A Refreshment Shoppe</t>
  </si>
  <si>
    <t>DAL BAZAR</t>
  </si>
  <si>
    <t>AS MOTERS</t>
  </si>
  <si>
    <t>A.R.Bapu</t>
  </si>
  <si>
    <t>M/s Shikhar CT Scan &amp; Dignostics</t>
  </si>
  <si>
    <t>KATORA TAL</t>
  </si>
  <si>
    <t>RAJPAYGA</t>
  </si>
  <si>
    <t>D.E .FRS PHONES</t>
  </si>
  <si>
    <t>JOINT DIR.JAH</t>
  </si>
  <si>
    <t>HOSPITAL</t>
  </si>
  <si>
    <t>M/S SAYUNKT SANCHALAK &amp; ADISHAK</t>
  </si>
  <si>
    <t>SHRI VASUDEV DIAGNOSTICS (P)LTD</t>
  </si>
  <si>
    <t>NAYA BAZAR</t>
  </si>
  <si>
    <t>HOTEL SUDRASHAN</t>
  </si>
  <si>
    <t>NAI SADAK</t>
  </si>
  <si>
    <t>TERESIAN CARMAL EDUCATION</t>
  </si>
  <si>
    <t>RAM MANDIR</t>
  </si>
  <si>
    <t>S.GUPTA(COLD STORAGE)</t>
  </si>
  <si>
    <t>JANAK GANJ</t>
  </si>
  <si>
    <t>GOLPAHARIYA</t>
  </si>
  <si>
    <t>AGM SBI</t>
  </si>
  <si>
    <t>SARAFA</t>
  </si>
  <si>
    <t>GORKHI</t>
  </si>
  <si>
    <t>SAF</t>
  </si>
  <si>
    <t>COMMISSIONER TOWN HALLNAGARNIGAM</t>
  </si>
  <si>
    <t>GOVT. PRESS</t>
  </si>
  <si>
    <t>DAULATGANJ</t>
  </si>
  <si>
    <t>COMMISSIONER NAGAR NIGAM PUMP</t>
  </si>
  <si>
    <t>MANDREKIMATA</t>
  </si>
  <si>
    <t>Polytechnic</t>
  </si>
  <si>
    <t>ROYAL HUNDAI</t>
  </si>
  <si>
    <t>BARAGHTA</t>
  </si>
  <si>
    <t xml:space="preserve">CENTRAL Dn.Total H.T. 11 KV </t>
  </si>
  <si>
    <t>SHIVSHAKTI</t>
  </si>
  <si>
    <t>BELDAR KA PURA</t>
  </si>
  <si>
    <t>BALAJI INDUSTRIES</t>
  </si>
  <si>
    <t>M/S THOMSON FOOD INDUSTRIES</t>
  </si>
  <si>
    <t>HARKOTA</t>
  </si>
  <si>
    <t>GIRWAI</t>
  </si>
  <si>
    <t>PAWAN K.</t>
  </si>
  <si>
    <t>MOOLCHAND</t>
  </si>
  <si>
    <t>SHIVAJIUDYOG(BRIJLAL)</t>
  </si>
  <si>
    <t>SINDHI COLONY</t>
  </si>
  <si>
    <t>SIKANDER KAMPOO</t>
  </si>
  <si>
    <t>MASCOT HOSPITAL</t>
  </si>
  <si>
    <t>DR.PRITESH JAIN</t>
  </si>
  <si>
    <t>TILAK NAGAR</t>
  </si>
  <si>
    <t>KAMPOO</t>
  </si>
  <si>
    <t>POTTRIES</t>
  </si>
  <si>
    <t>SIDDH BABA</t>
  </si>
  <si>
    <t>SIKANDAR KAMPOO</t>
  </si>
  <si>
    <t xml:space="preserve">SOUTH Dn. Total HT 11 kv </t>
  </si>
  <si>
    <t>NORTH DN 11 KV  H.T.CONSUMER</t>
  </si>
  <si>
    <t xml:space="preserve">MAP INDUSTRIAL </t>
  </si>
  <si>
    <t>INDUSTRIAL ESI</t>
  </si>
  <si>
    <t xml:space="preserve">BIRLANAGAR </t>
  </si>
  <si>
    <t>LAXMII STEEL /PRECESON</t>
  </si>
  <si>
    <t>CHANDRA PCK INDUSTRIES  NEW</t>
  </si>
  <si>
    <t>12 KV</t>
  </si>
  <si>
    <t>MOTILAL</t>
  </si>
  <si>
    <t>KANCHMILL</t>
  </si>
  <si>
    <t>DRDE MES/GE.DRDE</t>
  </si>
  <si>
    <t>PADAV</t>
  </si>
  <si>
    <t>NAGAR .NIGAM</t>
  </si>
  <si>
    <t>MOTIMAHAL</t>
  </si>
  <si>
    <t>The CEO Gwalior Smart City Development Corporation LTD.</t>
  </si>
  <si>
    <t>EXCISE COMMISSIONER</t>
  </si>
  <si>
    <t>RATAN JYOTI</t>
  </si>
  <si>
    <t>SEWA NAGAR</t>
  </si>
  <si>
    <t>M/s Kalyan Multi Speciality Hospital</t>
  </si>
  <si>
    <t>MPT</t>
  </si>
  <si>
    <t>C.RLY.(LAXMANPURA)</t>
  </si>
  <si>
    <t>LEATHER MILL</t>
  </si>
  <si>
    <t>C.RLY(TANSEN)</t>
  </si>
  <si>
    <t>SHELTER</t>
  </si>
  <si>
    <t>F</t>
  </si>
  <si>
    <t>SINDHIA . SCHOOL</t>
  </si>
  <si>
    <t>FORT</t>
  </si>
  <si>
    <t>HPTV(STN,OFFICERDOORDARSHAN)</t>
  </si>
  <si>
    <t>MAN.MANDIR(STDC)</t>
  </si>
  <si>
    <t>BECIL</t>
  </si>
  <si>
    <t>GURUDWARA</t>
  </si>
  <si>
    <t>SUPERIDENT JAIL</t>
  </si>
  <si>
    <t>JAIL</t>
  </si>
  <si>
    <t>M/S G.R.INDUSTRIES</t>
  </si>
  <si>
    <t>MENTAL HOSPITAL</t>
  </si>
  <si>
    <t>SUDARSHAN FOOD</t>
  </si>
  <si>
    <t>IND.TPN NO.1</t>
  </si>
  <si>
    <t>S.H.ICECOLD</t>
  </si>
  <si>
    <t>M/S GOLDEN LIFE INDIA PURIFICATION (P) LTD</t>
  </si>
  <si>
    <t>BALAJI FOOD</t>
  </si>
  <si>
    <t>TPN-2</t>
  </si>
  <si>
    <t>TPN-1</t>
  </si>
  <si>
    <t xml:space="preserve">NORTH Dn. Total HT 11 kv </t>
  </si>
  <si>
    <t>GRAND TOTAL 11 KV HT</t>
  </si>
  <si>
    <t xml:space="preserve">   </t>
  </si>
  <si>
    <t>S. NO.</t>
  </si>
  <si>
    <t>TRANSCO 
INPUT</t>
  </si>
  <si>
    <t>BUS  
LOSS</t>
  </si>
  <si>
    <t>INPUT AT
33 KV FEEDER OF 132/33 KV S/S</t>
  </si>
  <si>
    <t>LT AND 11 KV
INPUT (AT 33 KV SIDE OF 33/11 KV S/S</t>
  </si>
  <si>
    <t>132 KV SOLD</t>
  </si>
  <si>
    <t>33 KV
 SOLD</t>
  </si>
  <si>
    <t>11 KV 
SOLD</t>
  </si>
  <si>
    <t>LT SOLD (R15)</t>
  </si>
  <si>
    <t>LT INPUT
(CALCULATING
AT&amp;C)</t>
  </si>
  <si>
    <t>HT INPUT
(CALCULATING
AT&amp;C)</t>
  </si>
  <si>
    <t>LT INPUT
FOR CALCULATING M.I.S. REPORT</t>
  </si>
  <si>
    <t>TOTAL UNIT
SOLD (EHV+33KV+11KV+LT)</t>
  </si>
  <si>
    <t>% LINE
LOSS (HT+LT)</t>
  </si>
  <si>
    <t>% LINE
LOSS
LT ONLY</t>
  </si>
  <si>
    <t>CITY CENTRAL DN</t>
  </si>
  <si>
    <t>CITY SOUTH DN</t>
  </si>
  <si>
    <t>CITY EAST DN</t>
  </si>
  <si>
    <t>CITY NORTH DN</t>
  </si>
  <si>
    <t xml:space="preserve">DY. GENERAL MANAGER (STM –CITY) </t>
  </si>
  <si>
    <t xml:space="preserve"> MPMKVVCL GWALIOR</t>
  </si>
  <si>
    <t xml:space="preserve">                                                                               </t>
  </si>
  <si>
    <t xml:space="preserve">33/11 KV SUBSTATION LOSS FOR THE MONTH OF </t>
  </si>
  <si>
    <t>NAME OF SUB STN.</t>
  </si>
  <si>
    <t>CAPACITY</t>
  </si>
  <si>
    <t>NET INPUT</t>
  </si>
  <si>
    <t>% S/S LOSS</t>
  </si>
  <si>
    <t>OF S/s</t>
  </si>
  <si>
    <t>AT 33KV SIDE</t>
  </si>
  <si>
    <t>AT 11KV SIDE</t>
  </si>
  <si>
    <t>CITY CENTRAL DN.</t>
  </si>
  <si>
    <t>C.S.S. S/S</t>
  </si>
  <si>
    <t>1x8,1x5 MVA</t>
  </si>
  <si>
    <t>1x8 MVA</t>
  </si>
  <si>
    <t>2x5 MVA</t>
  </si>
  <si>
    <t>BAKRA MANDI</t>
  </si>
  <si>
    <t>1x5 MVA</t>
  </si>
  <si>
    <t>C.CONVENT</t>
  </si>
  <si>
    <t>POLYTECHNIQUE</t>
  </si>
  <si>
    <t>MAHADAJI NAGAR</t>
  </si>
  <si>
    <t>GREEN SOUTH AVENUE</t>
  </si>
  <si>
    <t>mDr midsUnz ij 11 ds-Ogh- esu ij vf/kdre 7 ,Efi;j yksM pyrk gS] tks fd cgqr de gS bl dkj.k mDr midsUnz ds gkfu dk çfr”kr T;knk gSA</t>
  </si>
  <si>
    <t>SCIENCE COLLEGE</t>
  </si>
  <si>
    <t>INDUSTRIAL AREA CHIRWAI</t>
  </si>
  <si>
    <t>1x3.15 MVA</t>
  </si>
  <si>
    <t>mDr midsUnz ij 11 ds-Ogh- esu ij vf/kdre 5 ,Efi;j yksM pyrk gS] tks fd cgqr de gS bl dkj.k mDr midsUnz ds gkfu dk çfr”kr T;knk gSA</t>
  </si>
  <si>
    <t>PARAM ASHISH</t>
  </si>
  <si>
    <t>GAST KA TAZIA</t>
  </si>
  <si>
    <t>*</t>
  </si>
  <si>
    <t>TOTAL 33KV S/S INPUT</t>
  </si>
  <si>
    <t>CITY SOUTH DIVISION</t>
  </si>
  <si>
    <t>GOL PAHADIA</t>
  </si>
  <si>
    <t>3x8,1x5 MVA</t>
  </si>
  <si>
    <t>S.A.F.</t>
  </si>
  <si>
    <t>5x5 MVA</t>
  </si>
  <si>
    <t>SIK.KAMPOO</t>
  </si>
  <si>
    <t>Guda</t>
  </si>
  <si>
    <t>Girwai</t>
  </si>
  <si>
    <t>BSF 13 Batilan</t>
  </si>
  <si>
    <t>CITY NORTH DIVISION</t>
  </si>
  <si>
    <t>2x8,1x5 MVA</t>
  </si>
  <si>
    <t>BIRLA NAGAR</t>
  </si>
  <si>
    <t>1x8,4x5 MVA</t>
  </si>
  <si>
    <t>1x8,3x5 MVA</t>
  </si>
  <si>
    <t>3x5 MVA</t>
  </si>
  <si>
    <t>INDUSTRIAL ESTATE</t>
  </si>
  <si>
    <t>SAGARTAAL</t>
  </si>
  <si>
    <t>Kanchmill</t>
  </si>
  <si>
    <t>Jagnapura</t>
  </si>
  <si>
    <t>DRP Line</t>
  </si>
  <si>
    <t>Readymade Garment</t>
  </si>
  <si>
    <t>MANPUR</t>
  </si>
  <si>
    <t>CITY EAST DIVISION</t>
  </si>
  <si>
    <t>CITY CENTRE</t>
  </si>
  <si>
    <t>DARPAN COLONY</t>
  </si>
  <si>
    <t>1x5,1X1.6 MVA</t>
  </si>
  <si>
    <t>4x5 MVA</t>
  </si>
  <si>
    <t>D.D.NAGAR(Old)</t>
  </si>
  <si>
    <t>NEW D.D.NAGAR</t>
  </si>
  <si>
    <t>SIDDHESHWAR NGR</t>
  </si>
  <si>
    <t>SHATABDI PURAM</t>
  </si>
  <si>
    <t>Chambal Colony</t>
  </si>
  <si>
    <t>Sarikavihar</t>
  </si>
  <si>
    <t>D.B.City</t>
  </si>
  <si>
    <t>1x5,1X3.15 MVA</t>
  </si>
  <si>
    <t>C.P.Colony</t>
  </si>
  <si>
    <t>Gole Ka Mandir</t>
  </si>
  <si>
    <t>ADITYAPURAM</t>
  </si>
  <si>
    <t>KESHAR BAG</t>
  </si>
  <si>
    <t>mDr midsUnz ij 11 ds-Ogh- esu ij vf/kdre 2 ,Efi;j yksM pyrk gS] tks fd cgqr de gS bl dkj.k mDr midsUnz ds gkfu dk çfr”kr T;knk gSA</t>
  </si>
  <si>
    <t>SHATABDIPURAM PHASE 2</t>
  </si>
  <si>
    <t xml:space="preserve"> BLUE LOTUS </t>
  </si>
  <si>
    <t>uohu midsUn mDr midsUnz ij 11 ds-Ogh- esu ij vf/kdre 1 ,Efi;j yksM pyrk gS] tks fd cgqr de gS bl dkj.k mDr midsUnz ds gkfu dk çfr”kr T;knk gSA</t>
  </si>
  <si>
    <t>sc</t>
  </si>
  <si>
    <t>sn</t>
  </si>
  <si>
    <t>po</t>
  </si>
  <si>
    <t>ba</t>
  </si>
  <si>
    <t>gs</t>
  </si>
  <si>
    <t>ma</t>
  </si>
  <si>
    <t>chi</t>
  </si>
  <si>
    <t>DETAILS OF TOTAL SUB STATION WISE INPUT TO CITY DIVISION CENTRAL GWALIOR</t>
  </si>
  <si>
    <t>FOR THE MONTH OF</t>
  </si>
  <si>
    <t>METER No.</t>
  </si>
  <si>
    <t xml:space="preserve">READING </t>
  </si>
  <si>
    <t>DIFFERENCE</t>
  </si>
  <si>
    <t xml:space="preserve">% Loss </t>
  </si>
  <si>
    <t>33/11  KV  CSS S/S</t>
  </si>
  <si>
    <t>33KV CARMEL CONVENT</t>
  </si>
  <si>
    <t>MPC00395</t>
  </si>
  <si>
    <t>33KV ROSHNIGHAR(CSS)</t>
  </si>
  <si>
    <t>MPC00450</t>
  </si>
  <si>
    <t>33KV OUT-GOING</t>
  </si>
  <si>
    <t>33KV RAJPAIGA I/C</t>
  </si>
  <si>
    <t>X0976145</t>
  </si>
  <si>
    <t>33 KV NET INPUT</t>
  </si>
  <si>
    <t>11 KV FEEDERS</t>
  </si>
  <si>
    <t>SHINDE KI CHHAWNI</t>
  </si>
  <si>
    <t>Q0588875</t>
  </si>
  <si>
    <t>MPE15961</t>
  </si>
  <si>
    <t>OLD HIGH COURT</t>
  </si>
  <si>
    <t>MPC00815</t>
  </si>
  <si>
    <t>MPE15905</t>
  </si>
  <si>
    <t>CSS INDOOR</t>
  </si>
  <si>
    <t>Q0588435</t>
  </si>
  <si>
    <t>MPE55380</t>
  </si>
  <si>
    <t xml:space="preserve">33/11 KV RAJ PAIGAS/S </t>
  </si>
  <si>
    <t>SINDHIYANAGAR</t>
  </si>
  <si>
    <t>33 KV CSS</t>
  </si>
  <si>
    <t>X0976143</t>
  </si>
  <si>
    <t>MPC47411</t>
  </si>
  <si>
    <t>MPE15969</t>
  </si>
  <si>
    <t>33/11 KV BARAGHATA S/S</t>
  </si>
  <si>
    <t>33 KV GWALIOR CITY - I</t>
  </si>
  <si>
    <t>MPE23831</t>
  </si>
  <si>
    <t>11 KV RURAL</t>
  </si>
  <si>
    <t>MPE24440</t>
  </si>
  <si>
    <t>INDUSTRIAL</t>
  </si>
  <si>
    <t>MPE24441</t>
  </si>
  <si>
    <t>SHIVPURI LINK ROAD</t>
  </si>
  <si>
    <t>MPE32904</t>
  </si>
  <si>
    <t>33/11 KV GORKHI S/S</t>
  </si>
  <si>
    <t>10 MVA I/C</t>
  </si>
  <si>
    <t>X1895950</t>
  </si>
  <si>
    <t>5 MVA I/C</t>
  </si>
  <si>
    <t>X1895943</t>
  </si>
  <si>
    <t>TARA GANJ</t>
  </si>
  <si>
    <t>X1895953</t>
  </si>
  <si>
    <t>X1895954</t>
  </si>
  <si>
    <t>DAULAT GUNJ</t>
  </si>
  <si>
    <t>X1895949</t>
  </si>
  <si>
    <t>33/11 KV BAKRA MANDI S/S</t>
  </si>
  <si>
    <t>33 KV LAXMIGANJ</t>
  </si>
  <si>
    <t>X0658147</t>
  </si>
  <si>
    <t>JIWAJI GANJ</t>
  </si>
  <si>
    <t>MPE24434</t>
  </si>
  <si>
    <t>KRISHNA MANDIR</t>
  </si>
  <si>
    <t>MPE24433</t>
  </si>
  <si>
    <t>33/11 KV CARMEL CONVENT S/S</t>
  </si>
  <si>
    <t>33 KV CARMEL CONVENT</t>
  </si>
  <si>
    <t>MPE23396</t>
  </si>
  <si>
    <t>X0658220</t>
  </si>
  <si>
    <t>to 33/11 KV BAKRA MANDI S/S</t>
  </si>
  <si>
    <t>MPE24404</t>
  </si>
  <si>
    <t>K.S.KA BAGH</t>
  </si>
  <si>
    <t>MPE13166</t>
  </si>
  <si>
    <t>RAMKUI</t>
  </si>
  <si>
    <t>X0658175</t>
  </si>
  <si>
    <t>33/11 KV LAXMI GANJ S/S</t>
  </si>
  <si>
    <t>33KV LAXMIGANJ</t>
  </si>
  <si>
    <t>MPE22735</t>
  </si>
  <si>
    <t>HANUMAN CHOURAHA</t>
  </si>
  <si>
    <t>MPE33554</t>
  </si>
  <si>
    <t>RAMAJI PURA</t>
  </si>
  <si>
    <t>MPE33555</t>
  </si>
  <si>
    <t>AMANPURA</t>
  </si>
  <si>
    <t>X0976348</t>
  </si>
  <si>
    <t>LAXMIGANJ 4POLE</t>
  </si>
  <si>
    <t>MPE32958</t>
  </si>
  <si>
    <t>RAM DWARA</t>
  </si>
  <si>
    <t>X0658180</t>
  </si>
  <si>
    <t>33/11 KV POLYTECHNIQUE</t>
  </si>
  <si>
    <t>MPE49728</t>
  </si>
  <si>
    <t>MANDRE KI MATA</t>
  </si>
  <si>
    <t>MPC00391</t>
  </si>
  <si>
    <t>SHANKAR CHOWK</t>
  </si>
  <si>
    <t>MPC00396</t>
  </si>
  <si>
    <t>HARISHANKARPURAM</t>
  </si>
  <si>
    <t>MPC47425</t>
  </si>
  <si>
    <t>PARAS VIHAR</t>
  </si>
  <si>
    <t>MPC47428</t>
  </si>
  <si>
    <t>33/11 KV PHOOL BAAGH</t>
  </si>
  <si>
    <t>33 KV  STADIUM</t>
  </si>
  <si>
    <t>MPC00394</t>
  </si>
  <si>
    <t>MPE14958</t>
  </si>
  <si>
    <t>S.K.CHHAWANI</t>
  </si>
  <si>
    <t>MPE14874</t>
  </si>
  <si>
    <t>33/11 KV MAHAD JI NAGAR</t>
  </si>
  <si>
    <t>MPC00812</t>
  </si>
  <si>
    <t>MAHAD JI NAGAR. 1</t>
  </si>
  <si>
    <t>MAHAD JI NAGAR.2</t>
  </si>
  <si>
    <t>33/11 KV GREEN SOUTH AVENUE</t>
  </si>
  <si>
    <t>XB406871</t>
  </si>
  <si>
    <t>FEEDER NO. 1</t>
  </si>
  <si>
    <t>FEEDER NO. 2</t>
  </si>
  <si>
    <t>XB412012</t>
  </si>
  <si>
    <t>FEEDER NO. 2(IMPORT)</t>
  </si>
  <si>
    <t>33/11 KV SCIENCE COLLEGE</t>
  </si>
  <si>
    <t>MPC71768</t>
  </si>
  <si>
    <t>MPC71776</t>
  </si>
  <si>
    <t>33 KV SINDHIYA NAGAR</t>
  </si>
  <si>
    <t>Q0362964</t>
  </si>
  <si>
    <t>MPC71773</t>
  </si>
  <si>
    <t>CHETAKPURI</t>
  </si>
  <si>
    <t>MPC71775</t>
  </si>
  <si>
    <t>MPC71774</t>
  </si>
  <si>
    <t>SHRI RAM COLONY</t>
  </si>
  <si>
    <t>MPC71777</t>
  </si>
  <si>
    <t>M.P.NAGAR</t>
  </si>
  <si>
    <t>Q0362682</t>
  </si>
  <si>
    <t>33/11 KV INDUSTRIAL AREA CHIRWAI</t>
  </si>
  <si>
    <t>CHIRWAI INDUSTRIAL FDR NO. 1</t>
  </si>
  <si>
    <t>Q0588876</t>
  </si>
  <si>
    <t>33/11 KV PARAM ASHISH</t>
  </si>
  <si>
    <t>33 KV BARAGHATA</t>
  </si>
  <si>
    <t>XH407945</t>
  </si>
  <si>
    <t>PARAM ASHISH FDR NO. 2</t>
  </si>
  <si>
    <t>X1246324</t>
  </si>
  <si>
    <t>PARAM ASHISH FDR NO. 1</t>
  </si>
  <si>
    <t>X1246323</t>
  </si>
  <si>
    <t>33/11 KV GAST KA TAZIA</t>
  </si>
  <si>
    <t>33 KV I/C</t>
  </si>
  <si>
    <t>NAG DEVTA</t>
  </si>
  <si>
    <t>DIDWANAOLI</t>
  </si>
  <si>
    <t>FEEDER.5(RAM MANDIR)</t>
  </si>
  <si>
    <r>
      <rPr>
        <b/>
        <sz val="10"/>
        <rFont val="Arial"/>
        <family val="2"/>
        <charset val="1"/>
      </rPr>
      <t xml:space="preserve">       </t>
    </r>
    <r>
      <rPr>
        <b/>
        <u/>
        <sz val="10"/>
        <rFont val="Arial"/>
        <family val="2"/>
        <charset val="1"/>
      </rPr>
      <t xml:space="preserve">  IMPORT FROM OTHER DN.</t>
    </r>
  </si>
  <si>
    <t>LAXMAN TALAIYA</t>
  </si>
  <si>
    <t>MPE15902</t>
  </si>
  <si>
    <t>WORKSHOP</t>
  </si>
  <si>
    <t>MPE13164</t>
  </si>
  <si>
    <t>MPE13163</t>
  </si>
  <si>
    <t>EXPORT TO OTHER DN.</t>
  </si>
  <si>
    <t>11 KV BAIJATAL</t>
  </si>
  <si>
    <t>11KV BARAGHATA (RURAL)</t>
  </si>
  <si>
    <t>GRAND TOTAL DIVISION (33 KV)</t>
  </si>
  <si>
    <t>GRAND TOTAL DIVISION (11 KV)</t>
  </si>
  <si>
    <t>DETAILS OF TOTAL SUB STATION WISE INPUT TO CITY DIVISION SOUTH GWALIOR</t>
  </si>
  <si>
    <t xml:space="preserve">TOTAL UNITS </t>
  </si>
  <si>
    <t>33/11 KV GOL PAHADIA S/S</t>
  </si>
  <si>
    <t>33 KV GOLPAHADIA (MOTIJHEEL)</t>
  </si>
  <si>
    <t>MPE11051</t>
  </si>
  <si>
    <t>33 KV GOLPAHADIA  (TIGHRA)</t>
  </si>
  <si>
    <t>X0976372</t>
  </si>
  <si>
    <t>LAXMI GANJ</t>
  </si>
  <si>
    <t>MPE14880</t>
  </si>
  <si>
    <t>TIGHRA</t>
  </si>
  <si>
    <t>WORK SHOP</t>
  </si>
  <si>
    <t>LALA KA BAZAR</t>
  </si>
  <si>
    <t>Q0588429</t>
  </si>
  <si>
    <t>APA GANJ</t>
  </si>
  <si>
    <t>MPE33524</t>
  </si>
  <si>
    <t>BELDAR PURA</t>
  </si>
  <si>
    <t>MPE13162</t>
  </si>
  <si>
    <t>A.B.ROAD</t>
  </si>
  <si>
    <t>MPE15970</t>
  </si>
  <si>
    <t>33/11 KV SAF S/S</t>
  </si>
  <si>
    <t>33 KV GWALIOR CITY -II</t>
  </si>
  <si>
    <t>MPE11056</t>
  </si>
  <si>
    <t>MPE16415</t>
  </si>
  <si>
    <t>33 KV OUTGOING (-)</t>
  </si>
  <si>
    <t>33 KV OUTGOING KAMPOO</t>
  </si>
  <si>
    <t>MPE23806</t>
  </si>
  <si>
    <t>33 KV OUTGOING GUDA</t>
  </si>
  <si>
    <t>Q0588430</t>
  </si>
  <si>
    <t>11KV FEEDERS</t>
  </si>
  <si>
    <t>AWAD PURA</t>
  </si>
  <si>
    <t>MPE24460</t>
  </si>
  <si>
    <t>GUDA</t>
  </si>
  <si>
    <t>MPE14953</t>
  </si>
  <si>
    <t>KAMPOO(CSS)</t>
  </si>
  <si>
    <t>JAWAHAR COLONY</t>
  </si>
  <si>
    <t>MPE14954</t>
  </si>
  <si>
    <t>POTTERIES</t>
  </si>
  <si>
    <t>MPE14870</t>
  </si>
  <si>
    <t>TAKSAL (S.KAMPOO)</t>
  </si>
  <si>
    <t>X0658149</t>
  </si>
  <si>
    <t>PANI KI TANKI</t>
  </si>
  <si>
    <t>X0976374</t>
  </si>
  <si>
    <t>33/11 KV SIKANDAR KAMPOO S/S</t>
  </si>
  <si>
    <t>33 KV GOL PAHADIA (TIGHRA)</t>
  </si>
  <si>
    <t>MPC00397</t>
  </si>
  <si>
    <t>SHRI KRISHNA NAGAR</t>
  </si>
  <si>
    <t>MPE13133</t>
  </si>
  <si>
    <t>GOMTI KI PHADI</t>
  </si>
  <si>
    <t>X0658179</t>
  </si>
  <si>
    <t>MPE24435</t>
  </si>
  <si>
    <t>PARK WALA</t>
  </si>
  <si>
    <t>Q0588874</t>
  </si>
  <si>
    <t>.</t>
  </si>
  <si>
    <t>33/11 KV KAMPOO S/S</t>
  </si>
  <si>
    <t>MPE12025</t>
  </si>
  <si>
    <t>X0658219</t>
  </si>
  <si>
    <t>X0976144</t>
  </si>
  <si>
    <t>X0976600</t>
  </si>
  <si>
    <t>HUJRAT PUL</t>
  </si>
  <si>
    <t>MPE15906</t>
  </si>
  <si>
    <t>33/11 KV SINDHI COLONY S/S</t>
  </si>
  <si>
    <t>MPC47399</t>
  </si>
  <si>
    <t>Q0747436</t>
  </si>
  <si>
    <t>BODHH NAGAR</t>
  </si>
  <si>
    <t>MPC47430</t>
  </si>
  <si>
    <t>MPC47431</t>
  </si>
  <si>
    <t>HANUMAN TALKIES</t>
  </si>
  <si>
    <t>MPC47432</t>
  </si>
  <si>
    <t>NADARIA MATA</t>
  </si>
  <si>
    <t>XC482836</t>
  </si>
  <si>
    <t>MAMA KA BAZAR</t>
  </si>
  <si>
    <t>Q0480675</t>
  </si>
  <si>
    <t>33/11 KV GUDA S/S</t>
  </si>
  <si>
    <t>MPC62303</t>
  </si>
  <si>
    <t>KHAJANCHI BABA</t>
  </si>
  <si>
    <t>MPC47441</t>
  </si>
  <si>
    <t>SHEETLA MATA</t>
  </si>
  <si>
    <t>MPC47442</t>
  </si>
  <si>
    <t>VISHNU VIHAR</t>
  </si>
  <si>
    <t>MPC47417</t>
  </si>
  <si>
    <t>33/11 KV GIRWAI S/S</t>
  </si>
  <si>
    <t>33 KV GOLPAHADIA  (TIGHRA) PTR-I</t>
  </si>
  <si>
    <t>MPC62305</t>
  </si>
  <si>
    <t>33 KV GOLPAHADIA  (TIGHRA) PTR-II</t>
  </si>
  <si>
    <t>MPC00350</t>
  </si>
  <si>
    <t>VISHNU COLONY</t>
  </si>
  <si>
    <t>MPC47443</t>
  </si>
  <si>
    <t>MPC47418</t>
  </si>
  <si>
    <t>MPC47439</t>
  </si>
  <si>
    <t>X0976597</t>
  </si>
  <si>
    <t>33/11 KV BATTALION S/S</t>
  </si>
  <si>
    <t>PITAMPURA</t>
  </si>
  <si>
    <t>X1882423</t>
  </si>
  <si>
    <t>BATTALION</t>
  </si>
  <si>
    <t>DETAILS OF TOTAL SUB STATION WISE INPUT TO CITY DIVISION EAST GWALIOR</t>
  </si>
  <si>
    <t xml:space="preserve">FOR THE MONTH OF   </t>
  </si>
  <si>
    <t xml:space="preserve"> UNITS </t>
  </si>
  <si>
    <t>Assesment</t>
  </si>
  <si>
    <t>% loss</t>
  </si>
  <si>
    <t>33/11 KV CITY CENTER S/S</t>
  </si>
  <si>
    <t>33 KV STADIUM PTR-2</t>
  </si>
  <si>
    <t>MPE58239</t>
  </si>
  <si>
    <t>33 KV STADIUM PTR-1</t>
  </si>
  <si>
    <t>MPE21614</t>
  </si>
  <si>
    <t>33 KV DARPAN COLONY-1</t>
  </si>
  <si>
    <t>MPE12008</t>
  </si>
  <si>
    <t>33 KV STADIUM PTR-2 EXPORT</t>
  </si>
  <si>
    <t>33 KV DARPAN COLONY-1 EXPORT</t>
  </si>
  <si>
    <t>DRDE</t>
  </si>
  <si>
    <t>MPE15971</t>
  </si>
  <si>
    <t>11KV KAROLI</t>
  </si>
  <si>
    <t>UNIVERSITY</t>
  </si>
  <si>
    <t>Q0588867</t>
  </si>
  <si>
    <t>11KV UNIVERSITY</t>
  </si>
  <si>
    <t>MPC00814</t>
  </si>
  <si>
    <t>11KV HIGH COURT</t>
  </si>
  <si>
    <t xml:space="preserve">ANUPAM NAGAR </t>
  </si>
  <si>
    <t>MPC00809</t>
  </si>
  <si>
    <t>11KV ANUPAM NAGAR</t>
  </si>
  <si>
    <t>33/11 KV STADIUM S/S</t>
  </si>
  <si>
    <t>33 KV DARPAN COLONY-1( PTR-1)</t>
  </si>
  <si>
    <t>MPE23844</t>
  </si>
  <si>
    <t>33 KV DARPAN COLONY-1 (PTR-2)</t>
  </si>
  <si>
    <t>X0658177</t>
  </si>
  <si>
    <t>11KV FEEDER</t>
  </si>
  <si>
    <t xml:space="preserve">CITY CENTRE </t>
  </si>
  <si>
    <t>X0658218</t>
  </si>
  <si>
    <t>11KV NCC</t>
  </si>
  <si>
    <t xml:space="preserve">MANIK VILAS </t>
  </si>
  <si>
    <t>X0658171</t>
  </si>
  <si>
    <t>11KV MANIK VILAS</t>
  </si>
  <si>
    <t>N.C.C. W/C</t>
  </si>
  <si>
    <t>MPE58284</t>
  </si>
  <si>
    <t>11KV CENTRAL PARK</t>
  </si>
  <si>
    <t>X0976172</t>
  </si>
  <si>
    <t>11KV CITY CENTRE</t>
  </si>
  <si>
    <t>33/11KV MELA S/S</t>
  </si>
  <si>
    <t>33 KV MELA</t>
  </si>
  <si>
    <t>X0658148</t>
  </si>
  <si>
    <t>33 KV DARPAN COLONY-1(MONOPOLE-II)</t>
  </si>
  <si>
    <t>Q0588434</t>
  </si>
  <si>
    <t>33 KV OUTGOING HT.CONN.</t>
  </si>
  <si>
    <t>X0658176</t>
  </si>
  <si>
    <t>MPC00361</t>
  </si>
  <si>
    <t>X0976373</t>
  </si>
  <si>
    <t>SURESH NAGAR</t>
  </si>
  <si>
    <t>MPE15903</t>
  </si>
  <si>
    <t>SHASTRI NAGAR</t>
  </si>
  <si>
    <t>MPE13140</t>
  </si>
  <si>
    <t>Q0588433</t>
  </si>
  <si>
    <t>RACE COURSE</t>
  </si>
  <si>
    <t>MPE14886</t>
  </si>
  <si>
    <t>MPE15855</t>
  </si>
  <si>
    <t>INDRAMANI NAGAR</t>
  </si>
  <si>
    <t>MPE14871</t>
  </si>
  <si>
    <t>33/11 KV DARPAN COLONY S/S</t>
  </si>
  <si>
    <t>MPE23830</t>
  </si>
  <si>
    <t>INDIRA NAGAR</t>
  </si>
  <si>
    <t>MPE33557</t>
  </si>
  <si>
    <t>M BLOCK</t>
  </si>
  <si>
    <t>MPE33562</t>
  </si>
  <si>
    <t xml:space="preserve">KUMHARPURA </t>
  </si>
  <si>
    <t>X0658178</t>
  </si>
  <si>
    <t>SHIVAJI NAGAR</t>
  </si>
  <si>
    <t>MPE58285</t>
  </si>
  <si>
    <t>33/11 KV  MAHALGAON S/S</t>
  </si>
  <si>
    <t>33 KV DARPAN COLONY-II</t>
  </si>
  <si>
    <t>X0976347</t>
  </si>
  <si>
    <t>LAB</t>
  </si>
  <si>
    <t>Q0588437</t>
  </si>
  <si>
    <t>11KV COLLECTORATE</t>
  </si>
  <si>
    <t>ALKAPURI</t>
  </si>
  <si>
    <t>MPE24406</t>
  </si>
  <si>
    <t>11KV ALKAPURI</t>
  </si>
  <si>
    <t>MPCT/BOSTON</t>
  </si>
  <si>
    <t>MPE14029</t>
  </si>
  <si>
    <t>11KV BOSTON</t>
  </si>
  <si>
    <t>NEW COLLECTORATE</t>
  </si>
  <si>
    <t>11KV LAB</t>
  </si>
  <si>
    <t>Q0588427</t>
  </si>
  <si>
    <t>11KV OHADPUR</t>
  </si>
  <si>
    <t>OHADPUR</t>
  </si>
  <si>
    <t>Q0588872</t>
  </si>
  <si>
    <t>11KV GUL MOHAR</t>
  </si>
  <si>
    <t>33/11 KV MORAR S/S</t>
  </si>
  <si>
    <t>33 KV KALPI BRIDGE I/C</t>
  </si>
  <si>
    <t>MPE12420</t>
  </si>
  <si>
    <t>33 KV KALPI BRIDGE (PTR-1)</t>
  </si>
  <si>
    <t>33 KV KALPI BRIDGE (PTR-2)</t>
  </si>
  <si>
    <t>MPE23840</t>
  </si>
  <si>
    <t>33 KV MES I/C EXPORT</t>
  </si>
  <si>
    <t>MPE12418</t>
  </si>
  <si>
    <t>33 KV MES I/C</t>
  </si>
  <si>
    <t>Q0588878</t>
  </si>
  <si>
    <t>NADI PAR TAL</t>
  </si>
  <si>
    <t>MPE58291</t>
  </si>
  <si>
    <t>MPC47427</t>
  </si>
  <si>
    <t>7 NUMBER CHAURAHA</t>
  </si>
  <si>
    <t>Q0588870</t>
  </si>
  <si>
    <t>GARAM SADAK</t>
  </si>
  <si>
    <t>MPE13137</t>
  </si>
  <si>
    <t>33/11 KV BARADARI S/S</t>
  </si>
  <si>
    <t>33 KV M.E.S.</t>
  </si>
  <si>
    <t>MPE11040</t>
  </si>
  <si>
    <t>SINGPUR ROAD</t>
  </si>
  <si>
    <t>MPE24437</t>
  </si>
  <si>
    <t>SADAR BAZAR</t>
  </si>
  <si>
    <t>MPC47433</t>
  </si>
  <si>
    <t>THANDI SADAK</t>
  </si>
  <si>
    <t>MPC47448</t>
  </si>
  <si>
    <t>MPC00508</t>
  </si>
  <si>
    <t>33/11 KV MAHARAJPURA S/S</t>
  </si>
  <si>
    <t>33 KV IN-COMING</t>
  </si>
  <si>
    <t>33 KV DD NAGAR</t>
  </si>
  <si>
    <t>MPE23845</t>
  </si>
  <si>
    <t xml:space="preserve">33 KV MAHARAJPURA </t>
  </si>
  <si>
    <t>Q0588881</t>
  </si>
  <si>
    <t>33 KV KALPI BRIDGE</t>
  </si>
  <si>
    <t>Q0588877</t>
  </si>
  <si>
    <t>33 KV OUTGOING</t>
  </si>
  <si>
    <t>33 KV D.D. NAGAR</t>
  </si>
  <si>
    <t>MPE12015</t>
  </si>
  <si>
    <t>33 KV RAILWAY INST (IRCM)</t>
  </si>
  <si>
    <t>33 KV LAXMAN GARH</t>
  </si>
  <si>
    <t>MPE23810</t>
  </si>
  <si>
    <t>TOTAL 33 KV OUTGOING</t>
  </si>
  <si>
    <t>MPE13147</t>
  </si>
  <si>
    <t>INDUSTRIAL-1</t>
  </si>
  <si>
    <t>RESIDANCY</t>
  </si>
  <si>
    <t>X0976349</t>
  </si>
  <si>
    <t>CITY MORAR 4</t>
  </si>
  <si>
    <t>X0976141</t>
  </si>
  <si>
    <t>INDUSTRIAL-2 (VAYU NAGAR)</t>
  </si>
  <si>
    <t>MPE24390</t>
  </si>
  <si>
    <t>FISHERIES</t>
  </si>
  <si>
    <t>X0976350</t>
  </si>
  <si>
    <t>GAYTRI VIHAR</t>
  </si>
  <si>
    <t>X0976113</t>
  </si>
  <si>
    <t>X0976599</t>
  </si>
  <si>
    <t>33/11 KV OLD D.D. NAGAR S/S</t>
  </si>
  <si>
    <t>MPE23835</t>
  </si>
  <si>
    <t>Q0362681</t>
  </si>
  <si>
    <t>33 KV BHADROLI (I/C)</t>
  </si>
  <si>
    <t>A SECTOR</t>
  </si>
  <si>
    <t>MPE32840</t>
  </si>
  <si>
    <t>MAHARAJA COMPLEX</t>
  </si>
  <si>
    <t>MPC01191</t>
  </si>
  <si>
    <t>B.SECT(ADITYAPURAM)</t>
  </si>
  <si>
    <t>MPE14881</t>
  </si>
  <si>
    <t>KUNJ VIHAR</t>
  </si>
  <si>
    <t>MPC00393</t>
  </si>
  <si>
    <t>BSF NEW</t>
  </si>
  <si>
    <t>Q0362683</t>
  </si>
  <si>
    <t>G SECTER-2 KOTHARI</t>
  </si>
  <si>
    <t>Q0588873</t>
  </si>
  <si>
    <t>33/11 KV NEW D.D. NAGAR S/S</t>
  </si>
  <si>
    <t>33 KV FEEDER</t>
  </si>
  <si>
    <t>MPC47451</t>
  </si>
  <si>
    <t>33 KV OUT GOING D.D.NAGAR OLD</t>
  </si>
  <si>
    <t>BSF COLONY</t>
  </si>
  <si>
    <t>MPE20488</t>
  </si>
  <si>
    <t>E+D SECTER</t>
  </si>
  <si>
    <t>MPE32841</t>
  </si>
  <si>
    <t>G SECTER</t>
  </si>
  <si>
    <t>C SECTOR</t>
  </si>
  <si>
    <t>Q0588880</t>
  </si>
  <si>
    <t>F SECTOR</t>
  </si>
  <si>
    <t>Q0588879</t>
  </si>
  <si>
    <t>33/11 KV S/S HURAWALI S/S</t>
  </si>
  <si>
    <t>33 KV HURAWALI  PTR-2</t>
  </si>
  <si>
    <t>MPC47406</t>
  </si>
  <si>
    <t>33 KV HURAWALI  PTR-1</t>
  </si>
  <si>
    <t>X0658173</t>
  </si>
  <si>
    <t xml:space="preserve">  11 KV FEEDERS</t>
  </si>
  <si>
    <t>MPE23091</t>
  </si>
  <si>
    <t>MOHANPUR</t>
  </si>
  <si>
    <t>MPE23093</t>
  </si>
  <si>
    <t>PAWAN SUT</t>
  </si>
  <si>
    <t>MPC47423</t>
  </si>
  <si>
    <t>SIROL</t>
  </si>
  <si>
    <t>MPC00507</t>
  </si>
  <si>
    <t>33/11 KV SIDDHESHWAR NGR S/S</t>
  </si>
  <si>
    <t>33 KV SHARMA FARM</t>
  </si>
  <si>
    <t>MPE14066</t>
  </si>
  <si>
    <t>MPC47404</t>
  </si>
  <si>
    <t>KRISHNA NAGAR</t>
  </si>
  <si>
    <t>MPC00392</t>
  </si>
  <si>
    <t>SIDDHESHWAR NAGAR</t>
  </si>
  <si>
    <t>MPC00452</t>
  </si>
  <si>
    <t>BANK COLONY</t>
  </si>
  <si>
    <t>MPC47415</t>
  </si>
  <si>
    <t>TRAPTI NAGAR</t>
  </si>
  <si>
    <t>MPC00370</t>
  </si>
  <si>
    <t>33/11 KV SHATABDI PURAM S/S</t>
  </si>
  <si>
    <t>MPC00325</t>
  </si>
  <si>
    <t>33 KV SHATABDI PURAM P-II O/G</t>
  </si>
  <si>
    <t>33 KV SHATABDI PURAM P-II I/C</t>
  </si>
  <si>
    <t>33 KV MAHARAJPURA I/C</t>
  </si>
  <si>
    <t>XD413173</t>
  </si>
  <si>
    <t>11 KV MAIN</t>
  </si>
  <si>
    <t>MPC00324</t>
  </si>
  <si>
    <t>EXP</t>
  </si>
  <si>
    <t xml:space="preserve"> MAHARAJPURA  (RURAL)</t>
  </si>
  <si>
    <t>P-I BLOCK</t>
  </si>
  <si>
    <t>X1298446</t>
  </si>
  <si>
    <t xml:space="preserve">SHATABDI PURAM II </t>
  </si>
  <si>
    <t>MPC00323</t>
  </si>
  <si>
    <t>BHATIA COMPLEX</t>
  </si>
  <si>
    <t>XC440154</t>
  </si>
  <si>
    <t>33/11 KV CHAMBAL COLONY S/S</t>
  </si>
  <si>
    <t xml:space="preserve">                           </t>
  </si>
  <si>
    <t>MPC47407</t>
  </si>
  <si>
    <t xml:space="preserve">GOVINDPURI </t>
  </si>
  <si>
    <t>MPC47453</t>
  </si>
  <si>
    <t>11KV SILVER STATE</t>
  </si>
  <si>
    <t xml:space="preserve">SILVER STATE </t>
  </si>
  <si>
    <t>MPC47450</t>
  </si>
  <si>
    <t>11KV CHAMBAL COLONY</t>
  </si>
  <si>
    <t>CHAMBAL COLONY</t>
  </si>
  <si>
    <t>MPC47452</t>
  </si>
  <si>
    <t xml:space="preserve">11KV GOVINDPURI </t>
  </si>
  <si>
    <t>33/11 KV SARIKA VIHAR S/S</t>
  </si>
  <si>
    <t>MPC47405</t>
  </si>
  <si>
    <t>SARIKA VIHAR</t>
  </si>
  <si>
    <t>MPC47422</t>
  </si>
  <si>
    <t>MEHRA</t>
  </si>
  <si>
    <t>MPC47456</t>
  </si>
  <si>
    <t>SHIVSAI NAGAR</t>
  </si>
  <si>
    <t>MPC47454</t>
  </si>
  <si>
    <t>33/11 KV D.B.CITY S/S</t>
  </si>
  <si>
    <t>33 KV MES</t>
  </si>
  <si>
    <t>MPC52681</t>
  </si>
  <si>
    <t>SECTOR NO.1</t>
  </si>
  <si>
    <t>MPC52695</t>
  </si>
  <si>
    <t>SECTOR NO.2</t>
  </si>
  <si>
    <t>MPC52696</t>
  </si>
  <si>
    <t>SECTOR NO.3</t>
  </si>
  <si>
    <t>MPC00813</t>
  </si>
  <si>
    <t>SECTOR NO.4</t>
  </si>
  <si>
    <t>33/11 KV C.P.COLONY S/S</t>
  </si>
  <si>
    <t xml:space="preserve">33 KV  KALPI BRIDGE </t>
  </si>
  <si>
    <t>MPC47402</t>
  </si>
  <si>
    <t>SLP COLLEGE</t>
  </si>
  <si>
    <t>BANSIPURA</t>
  </si>
  <si>
    <t>X0976173</t>
  </si>
  <si>
    <t>GAUSHALA</t>
  </si>
  <si>
    <t>MPC47449</t>
  </si>
  <si>
    <t>C.P.COLONY</t>
  </si>
  <si>
    <t>KHATIK MOHALLA</t>
  </si>
  <si>
    <t>MPC47444</t>
  </si>
  <si>
    <t>33/11 KV GOLE KA MANDIR S/S</t>
  </si>
  <si>
    <t>MPC62302</t>
  </si>
  <si>
    <t>MPC47424</t>
  </si>
  <si>
    <t>MPC47426</t>
  </si>
  <si>
    <t>33/11 KV SINDHIYA NAGAR S/S</t>
  </si>
  <si>
    <t>MPC71794</t>
  </si>
  <si>
    <t>MPC71788</t>
  </si>
  <si>
    <t>RAJYA KARAMCHARI AWAS</t>
  </si>
  <si>
    <t>MPC71793</t>
  </si>
  <si>
    <t>VIVEKANAND NEEDAM (EXPORT)</t>
  </si>
  <si>
    <t>MPC71795</t>
  </si>
  <si>
    <t>VIVEKANAND NEEDAM (IMPORT)</t>
  </si>
  <si>
    <t>33/11 KV ADITYAPURAM S/S</t>
  </si>
  <si>
    <t>MPC71765</t>
  </si>
  <si>
    <t>MPC71766</t>
  </si>
  <si>
    <t>ADARASH NAGAR</t>
  </si>
  <si>
    <t>MPC71767</t>
  </si>
  <si>
    <t>SHUBHANJALIPURAM</t>
  </si>
  <si>
    <t>MPC71770</t>
  </si>
  <si>
    <t>33/11 KV KESHAR BAG S/S</t>
  </si>
  <si>
    <t>XC427750</t>
  </si>
  <si>
    <t>BLOCK A</t>
  </si>
  <si>
    <t>XD412895</t>
  </si>
  <si>
    <t>BLOCK B</t>
  </si>
  <si>
    <t>XD412896</t>
  </si>
  <si>
    <t>BLOCK D</t>
  </si>
  <si>
    <t>XD412894</t>
  </si>
  <si>
    <t>33/11 KV SHATABDI PURAM PHASE-II S/S</t>
  </si>
  <si>
    <t>33 KV MAHARAJPURA I/C (EX)</t>
  </si>
  <si>
    <t>33 KV CRASER O/G</t>
  </si>
  <si>
    <t>XD413174</t>
  </si>
  <si>
    <t>P-II BLOCK</t>
  </si>
  <si>
    <t>XD413142</t>
  </si>
  <si>
    <t>O-BLOCK</t>
  </si>
  <si>
    <t>XD413141</t>
  </si>
  <si>
    <t>O-BLOCK (EXPORT)</t>
  </si>
  <si>
    <t>33/11 KV THATIPUR S/S</t>
  </si>
  <si>
    <t>33 KV MELA I/C</t>
  </si>
  <si>
    <t>Q0588428</t>
  </si>
  <si>
    <t>KENDRIYA VIDHYALAYA</t>
  </si>
  <si>
    <t>Q0588431</t>
  </si>
  <si>
    <t>AGRICULTURE COLONY</t>
  </si>
  <si>
    <t>Q0588432</t>
  </si>
  <si>
    <t>33/11KV BLUE LOTUS S/S</t>
  </si>
  <si>
    <t>33 KV DARPAN COLONY-2</t>
  </si>
  <si>
    <t>XE489539</t>
  </si>
  <si>
    <t>XF443819</t>
  </si>
  <si>
    <t>BLUE LOTUS-2</t>
  </si>
  <si>
    <t>XF443820</t>
  </si>
  <si>
    <t>BLUE LOTUS-3</t>
  </si>
  <si>
    <t>X0901223</t>
  </si>
  <si>
    <t xml:space="preserve">11 KV SHATABDI PURAM </t>
  </si>
  <si>
    <t>DETAILS OF TOTAL SUB STATION WISE INPUT TO CITY DIVISION NORTH GWALIOR</t>
  </si>
  <si>
    <t>ASSESSMENT</t>
  </si>
  <si>
    <t>33/11KV PHOOL BAG S/S</t>
  </si>
  <si>
    <t xml:space="preserve">33 KV STADIUM </t>
  </si>
  <si>
    <t>MPC00326</t>
  </si>
  <si>
    <t>MPE23398</t>
  </si>
  <si>
    <t>33 KV MONOPOLE</t>
  </si>
  <si>
    <t xml:space="preserve">EXPORT SUPPLY FROM 33 KV CARMEL CONVENT </t>
  </si>
  <si>
    <t>X0976371</t>
  </si>
  <si>
    <t>X0658217</t>
  </si>
  <si>
    <t>M. POLYTECNIC</t>
  </si>
  <si>
    <t>MPE20489</t>
  </si>
  <si>
    <t>MOTI MAHAL</t>
  </si>
  <si>
    <t>X0976517</t>
  </si>
  <si>
    <t>X0658146</t>
  </si>
  <si>
    <t>33/11 KV BIRLA NAGAR S/S</t>
  </si>
  <si>
    <t>33 KV LADHEDI</t>
  </si>
  <si>
    <t>MPE23841</t>
  </si>
  <si>
    <t>33 KV MORAR</t>
  </si>
  <si>
    <t>MPE22742</t>
  </si>
  <si>
    <t>33 KV SHARMA FARM ( IMPORT)</t>
  </si>
  <si>
    <t>(33KV SHARMA FARM (EXPORT) IND BIRLA NAGAR &amp; KANCHMILL)</t>
  </si>
  <si>
    <t>SHYAM MANDIR</t>
  </si>
  <si>
    <t>MPE15960</t>
  </si>
  <si>
    <t>SANJAY NAGAR</t>
  </si>
  <si>
    <t>MPE14889</t>
  </si>
  <si>
    <t>TANSEN NAGAR EXPORT</t>
  </si>
  <si>
    <t>MPB23930</t>
  </si>
  <si>
    <t xml:space="preserve">TANSEN NAGAR </t>
  </si>
  <si>
    <t>RESHAM BIHAR</t>
  </si>
  <si>
    <t>MPC68191</t>
  </si>
  <si>
    <t>AARA  MILL</t>
  </si>
  <si>
    <t>X0658174</t>
  </si>
  <si>
    <t>PREM NAGAR</t>
  </si>
  <si>
    <t>Q0588436</t>
  </si>
  <si>
    <t>SUBHAS NAGAR</t>
  </si>
  <si>
    <t>33/11 KV LADHERI S/S</t>
  </si>
  <si>
    <t>MPE23843</t>
  </si>
  <si>
    <t>MPE23846</t>
  </si>
  <si>
    <t>RAJA KI MANDI</t>
  </si>
  <si>
    <t>MPE13145</t>
  </si>
  <si>
    <t>MANGLESHWAR</t>
  </si>
  <si>
    <t>MPE13169</t>
  </si>
  <si>
    <t>RANIPURA</t>
  </si>
  <si>
    <t>MPE13144</t>
  </si>
  <si>
    <t>33/11KV VINAY NAGAR S/S</t>
  </si>
  <si>
    <t>33 KV J.C.MILL</t>
  </si>
  <si>
    <t>MPE23833</t>
  </si>
  <si>
    <t>33 KV VINAY NAGAR</t>
  </si>
  <si>
    <t>GHAS MANDI</t>
  </si>
  <si>
    <t>MPE13149</t>
  </si>
  <si>
    <t>SRI VIHAR</t>
  </si>
  <si>
    <t>MPE23267</t>
  </si>
  <si>
    <t>MPC00362</t>
  </si>
  <si>
    <t>KOTESHWAR</t>
  </si>
  <si>
    <t>MPE13136</t>
  </si>
  <si>
    <t>MPE14957</t>
  </si>
  <si>
    <t>S.P. ASHRAM</t>
  </si>
  <si>
    <t>X0976516</t>
  </si>
  <si>
    <t>KALI MATA</t>
  </si>
  <si>
    <t>MPC68234</t>
  </si>
  <si>
    <t>RAMPURI</t>
  </si>
  <si>
    <t>MPC01354</t>
  </si>
  <si>
    <t>CENTRAL JAIL (HT )</t>
  </si>
  <si>
    <t>X0976519</t>
  </si>
  <si>
    <t>CHANDRA NAGAR</t>
  </si>
  <si>
    <t>MPE13148</t>
  </si>
  <si>
    <t>33/11 KV SHARMA FARM S/S</t>
  </si>
  <si>
    <t>33 KV GARMENTPARK</t>
  </si>
  <si>
    <t>MPC47401</t>
  </si>
  <si>
    <t>MPE22970</t>
  </si>
  <si>
    <t>JALAL PUR</t>
  </si>
  <si>
    <t>MPE33583</t>
  </si>
  <si>
    <t>SEWAGE FARM</t>
  </si>
  <si>
    <t>X0658172</t>
  </si>
  <si>
    <t>CHAR SAHAR KA NAKA</t>
  </si>
  <si>
    <t>MPE24436</t>
  </si>
  <si>
    <t>MAA VAISHNO PURAM(TANSEN)</t>
  </si>
  <si>
    <t>X0658216</t>
  </si>
  <si>
    <t>33/11 KV IND. ESTATE B.NGR</t>
  </si>
  <si>
    <t>MPB23927</t>
  </si>
  <si>
    <t>33 KV SHARMA FARM ( EXPORT)</t>
  </si>
  <si>
    <t>R.P. COLONY</t>
  </si>
  <si>
    <t>MPB23928</t>
  </si>
  <si>
    <t>E.S.I. INDUSTRIAL</t>
  </si>
  <si>
    <t>X0976375</t>
  </si>
  <si>
    <t>S.B.I. TANSEN</t>
  </si>
  <si>
    <t>MPB23929</t>
  </si>
  <si>
    <t>33/11 KV TRANSPORT NAGAR</t>
  </si>
  <si>
    <t>33 KV LAXMI GANJ</t>
  </si>
  <si>
    <t>MPC00315</t>
  </si>
  <si>
    <t>33 KV TRANSPORT NAGAR</t>
  </si>
  <si>
    <t>MPC47400</t>
  </si>
  <si>
    <t>T.P.N. FEEDER NO.1</t>
  </si>
  <si>
    <t>MPC00749</t>
  </si>
  <si>
    <t>T.P.N. FEEDER NO.2</t>
  </si>
  <si>
    <t>MPC47438</t>
  </si>
  <si>
    <t>T.P.N. FEEDER NO.3</t>
  </si>
  <si>
    <t>MPC47435</t>
  </si>
  <si>
    <t>INDUSTRIAL NO.1</t>
  </si>
  <si>
    <t>MPC00752</t>
  </si>
  <si>
    <t>INDUSTRIAL NO.2</t>
  </si>
  <si>
    <t>MPC47436</t>
  </si>
  <si>
    <t xml:space="preserve">ANAND NAGAR  (C) </t>
  </si>
  <si>
    <t>X0976518</t>
  </si>
  <si>
    <t>T.P.N. FEEDER NO.1 EXPORT TO O&amp;M</t>
  </si>
  <si>
    <t>33/11 KV SAGARTAAL S/S</t>
  </si>
  <si>
    <t>33 KV SAGARTAL</t>
  </si>
  <si>
    <t>MPC47408</t>
  </si>
  <si>
    <t>SHEEL NAGAR</t>
  </si>
  <si>
    <t>MPC00347</t>
  </si>
  <si>
    <t>SATYANARYAN</t>
  </si>
  <si>
    <t>MPC47434</t>
  </si>
  <si>
    <t>ANAND NAGAR SECTOR-B</t>
  </si>
  <si>
    <t>X0976346</t>
  </si>
  <si>
    <t>MPC47420</t>
  </si>
  <si>
    <t>HATHIYAPUR</t>
  </si>
  <si>
    <t>X0976520</t>
  </si>
  <si>
    <t>33/11 KV KANCH MILL S/S</t>
  </si>
  <si>
    <t>MPC47395</t>
  </si>
  <si>
    <t>Q0480730</t>
  </si>
  <si>
    <t xml:space="preserve">TIKONIYA PARK </t>
  </si>
  <si>
    <t>MPC47412</t>
  </si>
  <si>
    <t>MPC47409</t>
  </si>
  <si>
    <t>INDUSTRIAL KANCH MILL</t>
  </si>
  <si>
    <t>MPC47410</t>
  </si>
  <si>
    <t>Q0480789</t>
  </si>
  <si>
    <t>33/11 KV JAGNAPURA S/S</t>
  </si>
  <si>
    <t>MPC47398</t>
  </si>
  <si>
    <t>JAGNAPURA</t>
  </si>
  <si>
    <t>MPC47446</t>
  </si>
  <si>
    <t>RAM NAGAR</t>
  </si>
  <si>
    <t>MPC47445</t>
  </si>
  <si>
    <t>DHUMESHWAR</t>
  </si>
  <si>
    <t>MPC47447</t>
  </si>
  <si>
    <t>33/11KV DRP LINE S/S</t>
  </si>
  <si>
    <t>33 KV J.C. MILL</t>
  </si>
  <si>
    <t>MPC47397</t>
  </si>
  <si>
    <t>MPC47440</t>
  </si>
  <si>
    <t>DRP LINE</t>
  </si>
  <si>
    <t>MPC47416</t>
  </si>
  <si>
    <t>GHOSIPURA</t>
  </si>
  <si>
    <t>MPC62312</t>
  </si>
  <si>
    <t>33/11KV READYMADE GARMENT PARK</t>
  </si>
  <si>
    <t>Q0588871</t>
  </si>
  <si>
    <t>MPC12595</t>
  </si>
  <si>
    <t>Q0588869</t>
  </si>
  <si>
    <t>Q0588868</t>
  </si>
  <si>
    <t>No Load</t>
  </si>
  <si>
    <t>FEEDER NO. 3</t>
  </si>
  <si>
    <t>MPE12012</t>
  </si>
  <si>
    <t>33/11KV SEWA NAGAR</t>
  </si>
  <si>
    <t>33 KV CARMAL CONVENT</t>
  </si>
  <si>
    <t>Q0362950</t>
  </si>
  <si>
    <t>LOHA MANDI</t>
  </si>
  <si>
    <t>Q0362965</t>
  </si>
  <si>
    <t>AMARKANTAK</t>
  </si>
  <si>
    <t>Q0362947</t>
  </si>
  <si>
    <t>SHRUTI ENCLAVE</t>
  </si>
  <si>
    <t>Q0362951</t>
  </si>
  <si>
    <t>33/11KV MANPUR S/S</t>
  </si>
  <si>
    <t>33 KV J.C, MILL</t>
  </si>
  <si>
    <t>X2125087</t>
  </si>
  <si>
    <t>33 KV SAGARTAAL</t>
  </si>
  <si>
    <t>X2125086</t>
  </si>
  <si>
    <t>X2028496</t>
  </si>
  <si>
    <t>X2028499</t>
  </si>
  <si>
    <t>X1941368</t>
  </si>
  <si>
    <t>FEEDER NO. 4</t>
  </si>
  <si>
    <t>X2028498</t>
  </si>
  <si>
    <t>33/11KV SHANKARPUR S/S</t>
  </si>
  <si>
    <t>SHANKARPUR FEEDER. 1</t>
  </si>
  <si>
    <t>IMP</t>
  </si>
  <si>
    <t>11 KV BAIJA TAL</t>
  </si>
  <si>
    <t>AKBAR PAHADI</t>
  </si>
  <si>
    <t>LAXAMAN TALAIYA</t>
  </si>
  <si>
    <t>MPE24438</t>
  </si>
  <si>
    <t>CHAWARI FROM T.P.N.</t>
  </si>
  <si>
    <t>MPE13167</t>
  </si>
  <si>
    <t>GRAND TOTAL NORTH DIVISION (33 KV)</t>
  </si>
  <si>
    <t>GRAND TOTAL NORTH DIVISION (11 KV)</t>
  </si>
  <si>
    <t>G.Total</t>
  </si>
  <si>
    <t>33&amp;11KV</t>
  </si>
  <si>
    <t>NAME OF 33/11KV S/S</t>
  </si>
  <si>
    <t>33KV INCOMING (IMPORT)</t>
  </si>
  <si>
    <t>METER SR. NO.</t>
  </si>
  <si>
    <t>INITIAL READING (30.06.2022)</t>
  </si>
  <si>
    <t>FINAL READING (31.07.2022)</t>
  </si>
  <si>
    <t>MF</t>
  </si>
  <si>
    <t>CONSUMPTION</t>
  </si>
  <si>
    <t>ASSISMENT</t>
  </si>
  <si>
    <t>TOTAL CONSUMPTION</t>
  </si>
  <si>
    <t>11KV INCOMING (IMPORT)</t>
  </si>
  <si>
    <t>S/S LOSSES (IN%)</t>
  </si>
  <si>
    <t>MPE14951</t>
  </si>
  <si>
    <t>33KV RAJPAIGA EXPORT</t>
  </si>
  <si>
    <t>33KV ROSHNIGHAR(CSS) EXPORT</t>
  </si>
  <si>
    <t>RAJ PAIGA</t>
  </si>
  <si>
    <t>CARMEL CONVENT</t>
  </si>
  <si>
    <t>PHOOL BAAGH</t>
  </si>
  <si>
    <t>MAHAD JI NAGAR</t>
  </si>
  <si>
    <t xml:space="preserve"> INDUSTRIAL AREA CHIRWAI</t>
  </si>
  <si>
    <t>MPC70905</t>
  </si>
  <si>
    <t>MPE13134</t>
  </si>
  <si>
    <t>MPE15975</t>
  </si>
  <si>
    <t>MPE11055</t>
  </si>
  <si>
    <t>MPE24362</t>
  </si>
  <si>
    <t>BATALION</t>
  </si>
  <si>
    <t>MPE15909</t>
  </si>
  <si>
    <t>MPE23849</t>
  </si>
  <si>
    <t>MPE14885</t>
  </si>
  <si>
    <t>M.P.C.T.</t>
  </si>
  <si>
    <t>MPE58282</t>
  </si>
  <si>
    <t>MPE15888</t>
  </si>
  <si>
    <t>MPE14888</t>
  </si>
  <si>
    <t>MPE12022</t>
  </si>
  <si>
    <t>X0976142</t>
  </si>
  <si>
    <t>X0975649</t>
  </si>
  <si>
    <t>OLD D.D. NAGAR</t>
  </si>
  <si>
    <t>MPE12753</t>
  </si>
  <si>
    <t>NEW D.D. NAGAR</t>
  </si>
  <si>
    <t xml:space="preserve">G SECTER </t>
  </si>
  <si>
    <t>MAHARAJPURA  (RURAL)</t>
  </si>
  <si>
    <t>D.B.CITY</t>
  </si>
  <si>
    <t>MPC47455</t>
  </si>
  <si>
    <t>SHATABDI PURAM PHASE-II</t>
  </si>
  <si>
    <t>XD413143</t>
  </si>
  <si>
    <t>BLUE LOTUS</t>
  </si>
  <si>
    <t>PHOOL BAG</t>
  </si>
  <si>
    <t>MPE13139</t>
  </si>
  <si>
    <t>MPE14883</t>
  </si>
  <si>
    <t>MPE33559</t>
  </si>
  <si>
    <t>IND. ESTATE B.NGR</t>
  </si>
  <si>
    <t>KANCH MILL</t>
  </si>
  <si>
    <t>READYMADE GARMENT PARK</t>
  </si>
  <si>
    <t xml:space="preserve">M.P.M.K.V.V.C.LTD. CITY DIVISION CENTRAL GWALIOR </t>
  </si>
  <si>
    <t>ZONE WISE FEEDER WISE INPUT INFORMATION FOR THE MONTH OF</t>
  </si>
  <si>
    <t>SUB STATION</t>
  </si>
  <si>
    <t xml:space="preserve">NAME OF FEEDER </t>
  </si>
  <si>
    <t xml:space="preserve"> 11 KV FEEDER UNIT</t>
  </si>
  <si>
    <t>IMPORT/ EXPORT</t>
  </si>
  <si>
    <t>11 KV HT SOLD UNIT</t>
  </si>
  <si>
    <t>11 KV FEEDER UNIT-HT SOLD UNIT</t>
  </si>
  <si>
    <t>LT INPUT WITHOUT LOSS (INPUT - HT INPUT)</t>
  </si>
  <si>
    <t xml:space="preserve">LT INPUT WITH LOSS </t>
  </si>
  <si>
    <t xml:space="preserve"> C.S.S.ZONE</t>
  </si>
  <si>
    <t>CSS20</t>
  </si>
  <si>
    <t>SKC CSS</t>
  </si>
  <si>
    <t>(-) BAIJATAL ,INDOOR</t>
  </si>
  <si>
    <t>CSS22</t>
  </si>
  <si>
    <t>GAST KA TAJIYA</t>
  </si>
  <si>
    <t>CSS23</t>
  </si>
  <si>
    <t>CSS25</t>
  </si>
  <si>
    <t>CSS30</t>
  </si>
  <si>
    <t>(+) SKC</t>
  </si>
  <si>
    <t>CSS7</t>
  </si>
  <si>
    <t>CSS6</t>
  </si>
  <si>
    <t>CSS5</t>
  </si>
  <si>
    <t>CSS8</t>
  </si>
  <si>
    <t>CSS41</t>
  </si>
  <si>
    <t>Kampoo</t>
  </si>
  <si>
    <t>Imp.Feeder.</t>
  </si>
  <si>
    <t>TOTAL C.S.S.</t>
  </si>
  <si>
    <t>C.P.S.S. ZONE</t>
  </si>
  <si>
    <t>GOL PAHADIYA</t>
  </si>
  <si>
    <t>CPS29</t>
  </si>
  <si>
    <t>CPS34</t>
  </si>
  <si>
    <t>(+) RAM DWARA</t>
  </si>
  <si>
    <t>CPS31</t>
  </si>
  <si>
    <t xml:space="preserve"> DAULAT GUNJ</t>
  </si>
  <si>
    <t>CPS38</t>
  </si>
  <si>
    <t>CPS39</t>
  </si>
  <si>
    <t>TOTAL CPSS</t>
  </si>
  <si>
    <t>S.K.C. ZONE</t>
  </si>
  <si>
    <t>SKC5</t>
  </si>
  <si>
    <t>S.K.CHHAWANI PB</t>
  </si>
  <si>
    <t>SKC4</t>
  </si>
  <si>
    <t>SKC46</t>
  </si>
  <si>
    <t>SKC48</t>
  </si>
  <si>
    <t>SKC55</t>
  </si>
  <si>
    <t>SKC6</t>
  </si>
  <si>
    <t>(+)LAXMANTalaiya</t>
  </si>
  <si>
    <t>`BAKRAMANDI</t>
  </si>
  <si>
    <t>SKC8</t>
  </si>
  <si>
    <t>TOTAL S.K.C</t>
  </si>
  <si>
    <t>BARAGHATA ZONE</t>
  </si>
  <si>
    <t>BGT27</t>
  </si>
  <si>
    <t>BGT28</t>
  </si>
  <si>
    <t>BGT58</t>
  </si>
  <si>
    <t>BGT50</t>
  </si>
  <si>
    <t>BGT57</t>
  </si>
  <si>
    <t>BGT47</t>
  </si>
  <si>
    <t>INDUSTRIAL BARAGHATA</t>
  </si>
  <si>
    <t>BGT59</t>
  </si>
  <si>
    <t xml:space="preserve"> MANDRE KI MATA</t>
  </si>
  <si>
    <t>BGT60</t>
  </si>
  <si>
    <t xml:space="preserve"> SHANKAR CHOWK</t>
  </si>
  <si>
    <t>BGT61</t>
  </si>
  <si>
    <t xml:space="preserve"> HARISHANKARPURAM</t>
  </si>
  <si>
    <t>BGT62</t>
  </si>
  <si>
    <t>MAHADJI NAGAR</t>
  </si>
  <si>
    <t>BGT64</t>
  </si>
  <si>
    <t>MAHAD JI NAGAR. 2</t>
  </si>
  <si>
    <t>Green South Avenue</t>
  </si>
  <si>
    <t>BGT15</t>
  </si>
  <si>
    <t>BGT16</t>
  </si>
  <si>
    <t>BGT18</t>
  </si>
  <si>
    <t>CHIRWAI IND. FDR-1</t>
  </si>
  <si>
    <t>BGT19</t>
  </si>
  <si>
    <t>CHIRWAI IND. FDR-2</t>
  </si>
  <si>
    <t>TOTAL BARAGHATA</t>
  </si>
  <si>
    <t>LAXMIGANJ ZONE</t>
  </si>
  <si>
    <t>LXG52</t>
  </si>
  <si>
    <t>LAXMIGANJ 4 POLE</t>
  </si>
  <si>
    <t>LXG53</t>
  </si>
  <si>
    <t xml:space="preserve"> RAMAJI KA PURA (CHAWDI)</t>
  </si>
  <si>
    <t>LXG54</t>
  </si>
  <si>
    <t xml:space="preserve"> HANUMAN CHOURAHA</t>
  </si>
  <si>
    <t>LXG10</t>
  </si>
  <si>
    <t xml:space="preserve"> RAM DWARA</t>
  </si>
  <si>
    <t>BAKRAMANDI</t>
  </si>
  <si>
    <t>LXG7</t>
  </si>
  <si>
    <t>GLH56</t>
  </si>
  <si>
    <t>TOTAL LAXMIGANJ</t>
  </si>
  <si>
    <t>TOTAL CENTRAL</t>
  </si>
  <si>
    <t xml:space="preserve">                       M.P.M.K.V.V.C.LTD. CITY DN.  SOUTH GWALIOR </t>
  </si>
  <si>
    <t>KMP44</t>
  </si>
  <si>
    <t>KMP45</t>
  </si>
  <si>
    <t>KMP48</t>
  </si>
  <si>
    <t>KMP40</t>
  </si>
  <si>
    <t>KMP42</t>
  </si>
  <si>
    <t>KMP51</t>
  </si>
  <si>
    <t>KMP63</t>
  </si>
  <si>
    <t>KMP9</t>
  </si>
  <si>
    <t>TAKSAL</t>
  </si>
  <si>
    <t>KMP43</t>
  </si>
  <si>
    <t>SKK11</t>
  </si>
  <si>
    <t>TOTAL KAMPOO</t>
  </si>
  <si>
    <t>S.KAMPOO</t>
  </si>
  <si>
    <t>SKK43</t>
  </si>
  <si>
    <t>SKK5</t>
  </si>
  <si>
    <t>(-) GORKHI</t>
  </si>
  <si>
    <t>SKK61</t>
  </si>
  <si>
    <t>SHRI KRISNA NAGAR</t>
  </si>
  <si>
    <t>SKK62</t>
  </si>
  <si>
    <t>SKK44</t>
  </si>
  <si>
    <t>GLH37</t>
  </si>
  <si>
    <t>GLH38</t>
  </si>
  <si>
    <t>GLH50</t>
  </si>
  <si>
    <t>TOTAL S. KAMPOO</t>
  </si>
  <si>
    <t>GLH32</t>
  </si>
  <si>
    <t>GLH33</t>
  </si>
  <si>
    <t>GLH35</t>
  </si>
  <si>
    <t>GLH36</t>
  </si>
  <si>
    <t>GLH34</t>
  </si>
  <si>
    <t>GLH49</t>
  </si>
  <si>
    <t>TOTAL GOL PAHADIA</t>
  </si>
  <si>
    <t>KMP47</t>
  </si>
  <si>
    <t>KMP41</t>
  </si>
  <si>
    <t>KMP46</t>
  </si>
  <si>
    <t>SKK67</t>
  </si>
  <si>
    <t>SKK10</t>
  </si>
  <si>
    <t>SKK66</t>
  </si>
  <si>
    <t>TOTAL SOUTH</t>
  </si>
  <si>
    <t xml:space="preserve">M.P.M.K.V.V.C.LTD. CITY DN.  NORTH GWALIOR  </t>
  </si>
  <si>
    <t>VINAY NAGAR ZONE</t>
  </si>
  <si>
    <t>VINAYNAGAR</t>
  </si>
  <si>
    <t>VNN11</t>
  </si>
  <si>
    <t>VNN14</t>
  </si>
  <si>
    <t>VNN6</t>
  </si>
  <si>
    <t>VNN5</t>
  </si>
  <si>
    <t>VNN58</t>
  </si>
  <si>
    <t xml:space="preserve">SATYANARAYAN </t>
  </si>
  <si>
    <t>VNN76</t>
  </si>
  <si>
    <t>VNN87</t>
  </si>
  <si>
    <t>(-)LAXMANTalaiya</t>
  </si>
  <si>
    <t>VNN91</t>
  </si>
  <si>
    <t>VNN</t>
  </si>
  <si>
    <t>CENTRAL JAIL</t>
  </si>
  <si>
    <t>H.T. only</t>
  </si>
  <si>
    <t>D.R.P.Line</t>
  </si>
  <si>
    <t>VNN8</t>
  </si>
  <si>
    <t xml:space="preserve"> DRP LINE</t>
  </si>
  <si>
    <t>VNN7</t>
  </si>
  <si>
    <t xml:space="preserve"> MENTAL HOSPITAL</t>
  </si>
  <si>
    <t>VNN9</t>
  </si>
  <si>
    <t xml:space="preserve"> GHOSIPURA</t>
  </si>
  <si>
    <t>TOTAL VINAY NAGAR</t>
  </si>
  <si>
    <t>BIRLANAGAR</t>
  </si>
  <si>
    <t>BLN19</t>
  </si>
  <si>
    <t>(-)TIKONIYA PARK MAIN</t>
  </si>
  <si>
    <t>BLN21</t>
  </si>
  <si>
    <t>BLN22</t>
  </si>
  <si>
    <t>RESHAM VIHAR</t>
  </si>
  <si>
    <t>BLN23</t>
  </si>
  <si>
    <t>TANSEN NAGAR</t>
  </si>
  <si>
    <t>BLN93</t>
  </si>
  <si>
    <t>MAA VAISHNO PURAM</t>
  </si>
  <si>
    <t>TOTAL BIRLANAGAR</t>
  </si>
  <si>
    <t>TNS20</t>
  </si>
  <si>
    <t>TNS24</t>
  </si>
  <si>
    <t>INDUSTRIAL BIRLA</t>
  </si>
  <si>
    <t>TNS74</t>
  </si>
  <si>
    <t>TNS75</t>
  </si>
  <si>
    <t>TNS88</t>
  </si>
  <si>
    <t>S..B.I. TANSEN</t>
  </si>
  <si>
    <t>TNS10</t>
  </si>
  <si>
    <t>TNS97</t>
  </si>
  <si>
    <t>TIKONIYA PARK MAIN</t>
  </si>
  <si>
    <t>TNS96</t>
  </si>
  <si>
    <t>TOTAL TANSEN NAGAR</t>
  </si>
  <si>
    <t>PLB16</t>
  </si>
  <si>
    <t>PLB17</t>
  </si>
  <si>
    <t>PLB18</t>
  </si>
  <si>
    <t>M. POLYTECHNIC</t>
  </si>
  <si>
    <t>PLB19</t>
  </si>
  <si>
    <t>(+) SKC CSS</t>
  </si>
  <si>
    <t>PLB20</t>
  </si>
  <si>
    <t>PLB25</t>
  </si>
  <si>
    <t>(+)BAIJATAL</t>
  </si>
  <si>
    <t>TOTAL PHOOLBAG</t>
  </si>
  <si>
    <t>TRANS.NAGAR</t>
  </si>
  <si>
    <t>TPN78</t>
  </si>
  <si>
    <t>ANAND NAGAR</t>
  </si>
  <si>
    <t>TPN79</t>
  </si>
  <si>
    <t>INDUSTRIAL NO. 1</t>
  </si>
  <si>
    <t>TPN80</t>
  </si>
  <si>
    <t>INDUSTRIAL NO. 2</t>
  </si>
  <si>
    <t>TPN83</t>
  </si>
  <si>
    <t>T .P.N. FEEDER NO. 1</t>
  </si>
  <si>
    <t>(-)Akbarpur</t>
  </si>
  <si>
    <t>TPN84</t>
  </si>
  <si>
    <t>T .P.N. FEEDER NO. 2</t>
  </si>
  <si>
    <t>TPN85</t>
  </si>
  <si>
    <t>T .P.N. FEEDER NO. 3</t>
  </si>
  <si>
    <t>SAGARTAL</t>
  </si>
  <si>
    <t>TPN81</t>
  </si>
  <si>
    <t>TPN92</t>
  </si>
  <si>
    <t>TPN82</t>
  </si>
  <si>
    <t>TPN93</t>
  </si>
  <si>
    <t>SATYANARYAN MOHALLA</t>
  </si>
  <si>
    <t>SHANKARPUR</t>
  </si>
  <si>
    <t>TOTAL TRANSPORT NAGAR</t>
  </si>
  <si>
    <t>LADHEDI</t>
  </si>
  <si>
    <t>LDR8</t>
  </si>
  <si>
    <t>LDR57</t>
  </si>
  <si>
    <t>LDR5</t>
  </si>
  <si>
    <t>SHARMAFARM</t>
  </si>
  <si>
    <t>LDR6</t>
  </si>
  <si>
    <t xml:space="preserve"> SEWAGE FARM</t>
  </si>
  <si>
    <t>(+) CHAR SAHAR KA NAKA</t>
  </si>
  <si>
    <t>LDR67</t>
  </si>
  <si>
    <t xml:space="preserve"> CHAR SAHAR KA NAKA</t>
  </si>
  <si>
    <t>(-) SEWAGE FARM</t>
  </si>
  <si>
    <t>LDR12</t>
  </si>
  <si>
    <t xml:space="preserve"> JALAL PUR</t>
  </si>
  <si>
    <t>LDR9</t>
  </si>
  <si>
    <t>RAMNAGAR</t>
  </si>
  <si>
    <t>LDR4</t>
  </si>
  <si>
    <t>LDR13</t>
  </si>
  <si>
    <t>LDR7</t>
  </si>
  <si>
    <t>HATIYAPOR</t>
  </si>
  <si>
    <t xml:space="preserve"> READYMADE GARMENT PARK</t>
  </si>
  <si>
    <t>LDR68</t>
  </si>
  <si>
    <t xml:space="preserve"> GARMENT PARK FEEDER NO. 1</t>
  </si>
  <si>
    <t>LDR69</t>
  </si>
  <si>
    <t xml:space="preserve"> GARMENT PARK FEEDER NO. 2</t>
  </si>
  <si>
    <t>LDR70</t>
  </si>
  <si>
    <t xml:space="preserve"> GARMENT PARK FEEDER NO. 3</t>
  </si>
  <si>
    <t>TOTAL LADHERI</t>
  </si>
  <si>
    <t>TOTAL NORTH DIVISION</t>
  </si>
  <si>
    <t xml:space="preserve">M.P.M.K.V.V.C.LTD. CITY DN.  EAST GWALIOR  </t>
  </si>
  <si>
    <t xml:space="preserve">                                                                                              </t>
  </si>
  <si>
    <t>MRR42</t>
  </si>
  <si>
    <t>MRR43</t>
  </si>
  <si>
    <t>MRR46</t>
  </si>
  <si>
    <t>MRR73</t>
  </si>
  <si>
    <t>(+)KRISHNA NAGAR</t>
  </si>
  <si>
    <t>MRR41</t>
  </si>
  <si>
    <t>SIDDHESHWARNAGAR</t>
  </si>
  <si>
    <t>MRR70</t>
  </si>
  <si>
    <t>MRR77</t>
  </si>
  <si>
    <t>(-)NADI PAR TAL</t>
  </si>
  <si>
    <t>MRR78</t>
  </si>
  <si>
    <t>MRR45</t>
  </si>
  <si>
    <t>MRR61</t>
  </si>
  <si>
    <t>MRR63</t>
  </si>
  <si>
    <t>MRR44</t>
  </si>
  <si>
    <t>MRR40</t>
  </si>
  <si>
    <t>MRR39</t>
  </si>
  <si>
    <t>NARYAN VIHAR</t>
  </si>
  <si>
    <t xml:space="preserve">TOTAL MORAR </t>
  </si>
  <si>
    <t>DD NAGAR</t>
  </si>
  <si>
    <t>MRZ48</t>
  </si>
  <si>
    <t>MRZ62</t>
  </si>
  <si>
    <t>MRZ45</t>
  </si>
  <si>
    <t>MRZ46</t>
  </si>
  <si>
    <t>MRZ60</t>
  </si>
  <si>
    <t>INDUSTRIAL-B (VAYU NAGAR)</t>
  </si>
  <si>
    <t>MRZ38</t>
  </si>
  <si>
    <t>MRZ52</t>
  </si>
  <si>
    <t>ADITYA     PURAM</t>
  </si>
  <si>
    <t>MRZ91</t>
  </si>
  <si>
    <t>MRZ93</t>
  </si>
  <si>
    <t>(-) ADITYAPURAM</t>
  </si>
  <si>
    <t>MRZ92</t>
  </si>
  <si>
    <t>DDN90</t>
  </si>
  <si>
    <t>TOTAL MAHARAJPURA</t>
  </si>
  <si>
    <t>HT.con.ONLY</t>
  </si>
  <si>
    <t>D.D.NAGAR OLD</t>
  </si>
  <si>
    <t>DDN69</t>
  </si>
  <si>
    <t>(-)E-SECTOR</t>
  </si>
  <si>
    <t>DDN89</t>
  </si>
  <si>
    <t xml:space="preserve"> KUNJ VIHAR</t>
  </si>
  <si>
    <t>FISHRIES</t>
  </si>
  <si>
    <t>DDN68</t>
  </si>
  <si>
    <t>A-SECTOR</t>
  </si>
  <si>
    <t>DDN48</t>
  </si>
  <si>
    <t>B-SECTOR</t>
  </si>
  <si>
    <t>D.D.NAGAR NEW</t>
  </si>
  <si>
    <t>DDN71</t>
  </si>
  <si>
    <t>C-SECTOR</t>
  </si>
  <si>
    <t>DDN76</t>
  </si>
  <si>
    <t>G-SECTOR-2 KOTHARI</t>
  </si>
  <si>
    <t>DDN72</t>
  </si>
  <si>
    <t>G-SECTOR</t>
  </si>
  <si>
    <t>DDN49</t>
  </si>
  <si>
    <t>F-SECTOR</t>
  </si>
  <si>
    <t>DDN50</t>
  </si>
  <si>
    <t>E-SECTOR</t>
  </si>
  <si>
    <t>DDN86</t>
  </si>
  <si>
    <t>DDN87</t>
  </si>
  <si>
    <t>DDN73</t>
  </si>
  <si>
    <t>DDN74</t>
  </si>
  <si>
    <t>DDN75</t>
  </si>
  <si>
    <t>TOTAL DD NAGAR</t>
  </si>
  <si>
    <t>TTP31</t>
  </si>
  <si>
    <t>SURESH NAGAR+KUMARPURA</t>
  </si>
  <si>
    <t>TTP32</t>
  </si>
  <si>
    <t>(-)MELA</t>
  </si>
  <si>
    <t>TTP33</t>
  </si>
  <si>
    <t>(-)THATIPUR</t>
  </si>
  <si>
    <t>TTP34</t>
  </si>
  <si>
    <t>SHASTRI NAGAR+KENDRIYA VIDHYALAYA</t>
  </si>
  <si>
    <t>TTP35</t>
  </si>
  <si>
    <t>TTP36</t>
  </si>
  <si>
    <t>(+)SHASTRI NAGAR</t>
  </si>
  <si>
    <t>TTP94</t>
  </si>
  <si>
    <t>TTP64</t>
  </si>
  <si>
    <t>TTP41</t>
  </si>
  <si>
    <t>TTP42</t>
  </si>
  <si>
    <t>TTP43</t>
  </si>
  <si>
    <t>TTP38</t>
  </si>
  <si>
    <t>TTP39</t>
  </si>
  <si>
    <t>TTP30</t>
  </si>
  <si>
    <t>TOTAL THATIPUR</t>
  </si>
  <si>
    <t>LAST MONTH</t>
  </si>
  <si>
    <t>CCR29</t>
  </si>
  <si>
    <t>STADIUM /CC</t>
  </si>
  <si>
    <t>CCR30</t>
  </si>
  <si>
    <t>CCR41</t>
  </si>
  <si>
    <t>NCC W/C</t>
  </si>
  <si>
    <t>CCR61</t>
  </si>
  <si>
    <t>CCR28</t>
  </si>
  <si>
    <t>CCR63</t>
  </si>
  <si>
    <t>CCR98</t>
  </si>
  <si>
    <t>CCR99</t>
  </si>
  <si>
    <t xml:space="preserve">SILVER ESTATE </t>
  </si>
  <si>
    <t>CCR97</t>
  </si>
  <si>
    <t>TTP59</t>
  </si>
  <si>
    <t>TTP95</t>
  </si>
  <si>
    <t>TOTAL CITY CENTER</t>
  </si>
  <si>
    <t>CCR81</t>
  </si>
  <si>
    <t>(-)HIGH COURT</t>
  </si>
  <si>
    <t>CCR66</t>
  </si>
  <si>
    <t>VIVEKANAND NEEDAM+SINDHIYA NAGAR</t>
  </si>
  <si>
    <t>HT</t>
  </si>
  <si>
    <t>CCR67</t>
  </si>
  <si>
    <t>NEW COLLECTRORATE</t>
  </si>
  <si>
    <t>CCR80</t>
  </si>
  <si>
    <t>CCR79</t>
  </si>
  <si>
    <t>CCR82</t>
  </si>
  <si>
    <t>CCR83</t>
  </si>
  <si>
    <t>CCR84</t>
  </si>
  <si>
    <t>CCR31</t>
  </si>
  <si>
    <t xml:space="preserve"> SINDHIYA NAGAR</t>
  </si>
  <si>
    <t>(-)OHADPUR</t>
  </si>
  <si>
    <t>CCR32</t>
  </si>
  <si>
    <t xml:space="preserve"> RAJ KARAMCHARI AWAS</t>
  </si>
  <si>
    <t>CCR33</t>
  </si>
  <si>
    <t>VIVEKANAND NEEDAM</t>
  </si>
  <si>
    <t>CCR27</t>
  </si>
  <si>
    <t>CCR65</t>
  </si>
  <si>
    <t>KAROLI (DRDE)</t>
  </si>
  <si>
    <t>CCR62</t>
  </si>
  <si>
    <t>BRD51</t>
  </si>
  <si>
    <t>SINGHPUR ROAD</t>
  </si>
  <si>
    <t>BRD52</t>
  </si>
  <si>
    <t>BRD53</t>
  </si>
  <si>
    <t>BRD56</t>
  </si>
  <si>
    <t>BRD8</t>
  </si>
  <si>
    <t>PAWAN SUT(HURAWALI)</t>
  </si>
  <si>
    <t>BRD84</t>
  </si>
  <si>
    <t>HURAWALI RURAL</t>
  </si>
  <si>
    <t>BRD85</t>
  </si>
  <si>
    <t>BRD83</t>
  </si>
  <si>
    <t>BRD9</t>
  </si>
  <si>
    <t>BRD10</t>
  </si>
  <si>
    <t>SHIVSAI</t>
  </si>
  <si>
    <t xml:space="preserve">DB CITY </t>
  </si>
  <si>
    <t>BRD4</t>
  </si>
  <si>
    <t>DB CITY FD 1</t>
  </si>
  <si>
    <t>BRD5</t>
  </si>
  <si>
    <t>DB CITY FD 2</t>
  </si>
  <si>
    <t>BRD6</t>
  </si>
  <si>
    <t>DB CITY FD 3</t>
  </si>
  <si>
    <t>BRD7</t>
  </si>
  <si>
    <t>DB CITY FD 4</t>
  </si>
  <si>
    <t>BRD47</t>
  </si>
  <si>
    <t>(+)GARAM SADAK</t>
  </si>
  <si>
    <t>TOTAL BARADARI</t>
  </si>
  <si>
    <t>TOTAL EAST DN.</t>
  </si>
  <si>
    <t>G  . TOTAL</t>
  </si>
  <si>
    <t>33kvHTx1.015</t>
  </si>
  <si>
    <t>11kvHTx1.015</t>
  </si>
  <si>
    <t>Net LT Input</t>
  </si>
  <si>
    <t>LT inputOF Feeders</t>
  </si>
  <si>
    <t>MADHYA PRADESH MADHYA KSHETRA VIDYUT VITRAN CO LTD</t>
  </si>
  <si>
    <t>CENTRAL DIVISION, CITY CIRCLE GWALIOR</t>
  </si>
  <si>
    <t>DAILY KWH REPORT</t>
  </si>
  <si>
    <t>S.N.</t>
  </si>
  <si>
    <t>NAME OF S/S</t>
  </si>
  <si>
    <t>NAME OF FEEDERS</t>
  </si>
  <si>
    <t xml:space="preserve">KWH IMPORT </t>
  </si>
  <si>
    <t>KWH EXPORT</t>
  </si>
  <si>
    <t>KWH LOSS</t>
  </si>
  <si>
    <t>% LOSS</t>
  </si>
  <si>
    <t>33KV Main1</t>
  </si>
  <si>
    <t>scada</t>
  </si>
  <si>
    <t>stm</t>
  </si>
  <si>
    <t>33kV Main2</t>
  </si>
  <si>
    <t>diff</t>
  </si>
  <si>
    <t>11KV DAL BAZAAR</t>
  </si>
  <si>
    <t>11KV SHINDE KI CHAWNI</t>
  </si>
  <si>
    <t>11KV GKT</t>
  </si>
  <si>
    <t>11KV INDOOR</t>
  </si>
  <si>
    <t>33KV Main2</t>
  </si>
  <si>
    <t>11KV ROYAL HUNDAI</t>
  </si>
  <si>
    <t>11KV RURAL</t>
  </si>
  <si>
    <t xml:space="preserve">11KV INDUSTRIAL </t>
  </si>
  <si>
    <t>33KV MAIN1</t>
  </si>
  <si>
    <t>33KV MAIN2</t>
  </si>
  <si>
    <t>11KV KAMAL SINGH BAGH</t>
  </si>
  <si>
    <t>11KV RAM QUI</t>
  </si>
  <si>
    <t>11KV RAM MANDIR</t>
  </si>
  <si>
    <t>POLYTECNIC</t>
  </si>
  <si>
    <t>11 KV HARISHANKAR PURAM</t>
  </si>
  <si>
    <t>11 KV MANDRE KI MATA</t>
  </si>
  <si>
    <t>11 KV PARAS VIHAR</t>
  </si>
  <si>
    <t>11KV SHANKAR CHOWK</t>
  </si>
  <si>
    <t>11 KV KRISHNA MANDIR</t>
  </si>
  <si>
    <t>11 KV JIWAJI GANJ</t>
  </si>
  <si>
    <t>NEW GORKHI</t>
  </si>
  <si>
    <t>11 KV DAULATGANJ</t>
  </si>
  <si>
    <t>11 KV TARAGANJ</t>
  </si>
  <si>
    <t>11 KV SARAFA</t>
  </si>
  <si>
    <t>=</t>
  </si>
  <si>
    <t>RAJPAYEGA</t>
  </si>
  <si>
    <t>11KV NAYA BAZAAR</t>
  </si>
  <si>
    <t>11KV KATORA TAL</t>
  </si>
  <si>
    <t>11KV HOSPITAL</t>
  </si>
  <si>
    <t>33KV MAIN 1</t>
  </si>
  <si>
    <t>33KV MAIN 2</t>
  </si>
  <si>
    <t xml:space="preserve">11KV LAXMIGANJ </t>
  </si>
  <si>
    <t>11KV AMANPURA</t>
  </si>
  <si>
    <t>11KV RAMJI KA PURA</t>
  </si>
  <si>
    <t>11KV HANUMAAN CHOURAHA</t>
  </si>
  <si>
    <t>11KV RAM DWARA</t>
  </si>
  <si>
    <t>11KV MAHADJI NAGAR-1</t>
  </si>
  <si>
    <t>11KV MAHADJI NAGAR-2</t>
  </si>
  <si>
    <t>11KV GREEN SOUTH AVENUE-1</t>
  </si>
  <si>
    <t>11KV GREEN SOUTH AVENUE-2</t>
  </si>
  <si>
    <t>33 KV MAIN-2</t>
  </si>
  <si>
    <t>34 KV MAIN-3</t>
  </si>
  <si>
    <t>11KV MP NAGAR</t>
  </si>
  <si>
    <t>11KV CHETAKPURI</t>
  </si>
  <si>
    <t>11KV SCIENCE COLLEGE</t>
  </si>
  <si>
    <t>11KV SHRI RAM COLONY</t>
  </si>
  <si>
    <t>11KV MADHAV NAGAR</t>
  </si>
  <si>
    <t>CHIRWAI NAKA</t>
  </si>
  <si>
    <t>33KV MAIN-1</t>
  </si>
  <si>
    <t>11KV FEEDER-1</t>
  </si>
  <si>
    <t>11KV FEEDER-2</t>
  </si>
  <si>
    <t>PARAMASHISH ESTATE</t>
  </si>
  <si>
    <t>PARAMASHISH-1</t>
  </si>
  <si>
    <t>PARAMASHISH-2</t>
  </si>
  <si>
    <t>NEW SARIKA NAGAR</t>
  </si>
  <si>
    <t>11KV SAI NAGAR</t>
  </si>
  <si>
    <t>11KV MAHRA</t>
  </si>
  <si>
    <t>11KV NEW SARIKA NAGAR</t>
  </si>
  <si>
    <t>11KV NARAYAN VIHAR</t>
  </si>
  <si>
    <t>11KV GOLE KA MANDIR</t>
  </si>
  <si>
    <t xml:space="preserve">DARPAN COLONY </t>
  </si>
  <si>
    <t>11KV KUMAR PURA</t>
  </si>
  <si>
    <t>11KV SIVAJI NAGAR</t>
  </si>
  <si>
    <t>11KV M-BLOCK</t>
  </si>
  <si>
    <t>11KV INDRA NAGAR</t>
  </si>
  <si>
    <t xml:space="preserve">C P COLONY </t>
  </si>
  <si>
    <t>33KV MAIN3</t>
  </si>
  <si>
    <t>11KV S L P COLONY</t>
  </si>
  <si>
    <t>11KV CP COLONY</t>
  </si>
  <si>
    <t>11KV BANSHI PURA</t>
  </si>
  <si>
    <t>11KV GAUSHALA-1</t>
  </si>
  <si>
    <t>11KV KHATIK MOHALLA</t>
  </si>
  <si>
    <t>11KV THANDI SADAK</t>
  </si>
  <si>
    <t>11KV SINGPUR</t>
  </si>
  <si>
    <t>11KV SADAR BAZAAR</t>
  </si>
  <si>
    <t>11KV ARYAR NAAR</t>
  </si>
  <si>
    <t>DB CITY</t>
  </si>
  <si>
    <t>33KV MAIN-2</t>
  </si>
  <si>
    <t>11KV FEEDER 1</t>
  </si>
  <si>
    <t>11KV FEEDER 2</t>
  </si>
  <si>
    <t>11KV FEEDER 3</t>
  </si>
  <si>
    <t>11KV FEEDER 4</t>
  </si>
  <si>
    <t>DD NAGAR NEW</t>
  </si>
  <si>
    <t>11KV BSF COLONY</t>
  </si>
  <si>
    <t>11KV D-SECTOR</t>
  </si>
  <si>
    <t>11KV F-SECTOR</t>
  </si>
  <si>
    <t>11KV G-SECTOR</t>
  </si>
  <si>
    <t>11KV C-SECTOR</t>
  </si>
  <si>
    <t>DD NAGAR old</t>
  </si>
  <si>
    <t>33KV MAIN-3</t>
  </si>
  <si>
    <t>11KV KUNJ VIHAR</t>
  </si>
  <si>
    <t>11KV B SECTOR</t>
  </si>
  <si>
    <t>11KV TANKI</t>
  </si>
  <si>
    <t>11KV BSF NEW</t>
  </si>
  <si>
    <t>11KV KOTHARI</t>
  </si>
  <si>
    <t>11KV A- SECTOR</t>
  </si>
  <si>
    <t>HURAWALUI</t>
  </si>
  <si>
    <t>11KV HURAWALI</t>
  </si>
  <si>
    <t>11KV MOHANPUR</t>
  </si>
  <si>
    <t>11KV SIROLE</t>
  </si>
  <si>
    <t>11KV PAWAN SUT</t>
  </si>
  <si>
    <t>33KV MAIN4</t>
  </si>
  <si>
    <t>33KV MAIN5</t>
  </si>
  <si>
    <t>11KV BIRLA NAGAR</t>
  </si>
  <si>
    <t>11KV RESIDENCY</t>
  </si>
  <si>
    <t>11KV MORAR CITY</t>
  </si>
  <si>
    <t>11KV FISHERY</t>
  </si>
  <si>
    <t>11KV INDUS SECTOR-A</t>
  </si>
  <si>
    <t>11KV INDUS SECTOR-B</t>
  </si>
  <si>
    <t>11KV MES</t>
  </si>
  <si>
    <t>11KV GAYATRI VIHAR</t>
  </si>
  <si>
    <t>X0976596</t>
  </si>
  <si>
    <t>11KV SURESH NAGAR</t>
  </si>
  <si>
    <t>11KV MELA</t>
  </si>
  <si>
    <t>11KV RACE COURSE</t>
  </si>
  <si>
    <t>11KV SHASTRI NAGAR</t>
  </si>
  <si>
    <t>11KV INDRAMANI NAGAR</t>
  </si>
  <si>
    <t>11KV DARPAN COLONY</t>
  </si>
  <si>
    <t>11KV THATIPUR</t>
  </si>
  <si>
    <t>11KV MAL ROAD</t>
  </si>
  <si>
    <t>11KV CIVIL HOSPITAL</t>
  </si>
  <si>
    <t>11KV NADI PARTAL</t>
  </si>
  <si>
    <t>11KV 7 N O.CHOURAHA</t>
  </si>
  <si>
    <t>11KV GARAM SADAK</t>
  </si>
  <si>
    <t>11KV BHATIYA COMPLEX</t>
  </si>
  <si>
    <t>11KV SHATABDIPURAM</t>
  </si>
  <si>
    <t>11KV KRISHNA NAGAR</t>
  </si>
  <si>
    <t>11KV SIDHESHWAR NAGAR</t>
  </si>
  <si>
    <t>11KV BANK COLONY</t>
  </si>
  <si>
    <t>11KV TRAPTI NAGAR</t>
  </si>
  <si>
    <t>11KV FEEDER-3</t>
  </si>
  <si>
    <t>SCINDHIYA NAGAR</t>
  </si>
  <si>
    <t>11KV SCINDHIYA NAGAR</t>
  </si>
  <si>
    <t>11KV RAJYA KARAMCARI</t>
  </si>
  <si>
    <t>11KV VIVEKANAND NEEDAM</t>
  </si>
  <si>
    <t>KESARBAG</t>
  </si>
  <si>
    <t>11KV A BLOCK</t>
  </si>
  <si>
    <t>11KV B BLOCK</t>
  </si>
  <si>
    <t>11KV D BLOCK</t>
  </si>
  <si>
    <t>11KV SHUBHANJALIPURAM</t>
  </si>
  <si>
    <t>11KV ADITYAPURAM</t>
  </si>
  <si>
    <t>11KV ADARSH NAGAR</t>
  </si>
  <si>
    <t>SHATABDIPURAM PASE-2</t>
  </si>
  <si>
    <t>11KV O-BLOCK</t>
  </si>
  <si>
    <t>11KV PHASE-1</t>
  </si>
  <si>
    <t>11KV PHASE-2</t>
  </si>
  <si>
    <t>11KV MANTAL HOSPITAL</t>
  </si>
  <si>
    <t>11KV  DRP LINE</t>
  </si>
  <si>
    <t>11KV GHOSHI PURA</t>
  </si>
  <si>
    <t>11KV JAGNAPURA</t>
  </si>
  <si>
    <t>11KV DHUMESHWAR NAGAR</t>
  </si>
  <si>
    <t>11KV RAM NAGAR</t>
  </si>
  <si>
    <t>11KV  PREM NAGAR</t>
  </si>
  <si>
    <t>11KV TANSEN NAGAR</t>
  </si>
  <si>
    <t>11KV AARA MILL</t>
  </si>
  <si>
    <t>11KV SHYAM NAGAR</t>
  </si>
  <si>
    <t>11KV SANJAY NAGAR</t>
  </si>
  <si>
    <t>11KV RESHAM VIHAR</t>
  </si>
  <si>
    <t>IND.BIRLA NAGAR</t>
  </si>
  <si>
    <t>11KV SBI</t>
  </si>
  <si>
    <t>11KV  INDUSTRIAL</t>
  </si>
  <si>
    <t>11KV RP COLONY</t>
  </si>
  <si>
    <t>KAANCHMILL</t>
  </si>
  <si>
    <t>11KV TIKONIYA</t>
  </si>
  <si>
    <t>11KV SHITLA MATA MANDIR</t>
  </si>
  <si>
    <t>11KV  KAANCHMILL</t>
  </si>
  <si>
    <t>11KV IND. KAANCHMILL</t>
  </si>
  <si>
    <t>11KV CITY</t>
  </si>
  <si>
    <t>11KV  RAJA KI MANDI</t>
  </si>
  <si>
    <t>11KV MANGLESHWAR</t>
  </si>
  <si>
    <t>11KV  HATHIYAPUR</t>
  </si>
  <si>
    <t>11KV MOTIJHEEL</t>
  </si>
  <si>
    <t>11KV ANAND NAGAR</t>
  </si>
  <si>
    <t>11KV SHEEL NAGAR</t>
  </si>
  <si>
    <t>11KV SATYANARAYAN NAGAR</t>
  </si>
  <si>
    <t>11KV JALALPUR</t>
  </si>
  <si>
    <t>11KV SEWAGE</t>
  </si>
  <si>
    <t>11KV CHAR SAHAR KA NAKA</t>
  </si>
  <si>
    <t>11KV VAISHNO PURAM</t>
  </si>
  <si>
    <t>11KV FORT</t>
  </si>
  <si>
    <t>11KV GHASMANDI</t>
  </si>
  <si>
    <t>11KV KOTESHWAR</t>
  </si>
  <si>
    <t>11KV SHABD PRATAP ASHRAM</t>
  </si>
  <si>
    <t>11KV VINAY NAGAR</t>
  </si>
  <si>
    <t>11KV CHANDAN NAGAR</t>
  </si>
  <si>
    <t>11KV JAIL</t>
  </si>
  <si>
    <t>11KV RAMPURI</t>
  </si>
  <si>
    <t>11KV KALI MATA</t>
  </si>
  <si>
    <t>11KV SHRI VIHAR</t>
  </si>
  <si>
    <t>Q0480764</t>
  </si>
  <si>
    <t>11KV  INDUSTRIAL-1</t>
  </si>
  <si>
    <t>11KV  ANAND NAGAR</t>
  </si>
  <si>
    <t>11KV  INDUSTRIAL-2</t>
  </si>
  <si>
    <t>11KV  TPN-1</t>
  </si>
  <si>
    <t>11KV  TPN-2</t>
  </si>
  <si>
    <t>11KV TPN-3</t>
  </si>
  <si>
    <t>PHOOLBAGH</t>
  </si>
  <si>
    <t>11KV PADAV</t>
  </si>
  <si>
    <t>11KV SEWA NAGAR</t>
  </si>
  <si>
    <t xml:space="preserve">11KV MOTIMAHAL </t>
  </si>
  <si>
    <t>11KV CHAMDA MILL</t>
  </si>
  <si>
    <t>11KV LOHAMANDI</t>
  </si>
  <si>
    <t>11KV SINDHE KI CHHAWANI</t>
  </si>
  <si>
    <t>11KV NAI SADAK</t>
  </si>
  <si>
    <t>11KV MAHILA POLYTECNIC</t>
  </si>
  <si>
    <t>GARMENT PARK</t>
  </si>
  <si>
    <t>11KV MAIN1</t>
  </si>
  <si>
    <t>GUDA GUDI KA NAKA</t>
  </si>
  <si>
    <t>11KV VAISHNO VIHAR</t>
  </si>
  <si>
    <t>11KV  SHITLA MATA</t>
  </si>
  <si>
    <t>11KV KAJANCHI BABA</t>
  </si>
  <si>
    <t>11KV BODHYA NAGAR</t>
  </si>
  <si>
    <t>11KV SINDHI COLONY</t>
  </si>
  <si>
    <t>11KV HANUMAN TAKIZ</t>
  </si>
  <si>
    <t>11KV NADARIYA KI MATA</t>
  </si>
  <si>
    <t>11KV MAMA KA BAZAR</t>
  </si>
  <si>
    <t>11KV HARKOTA</t>
  </si>
  <si>
    <t>11KV GIRWAI</t>
  </si>
  <si>
    <t>11KV VISHNU COLONY</t>
  </si>
  <si>
    <t>11KV HANUMAN NAGAR</t>
  </si>
  <si>
    <t>11KV APAGANJ</t>
  </si>
  <si>
    <t>11KV LALA KA BAZAAR</t>
  </si>
  <si>
    <t>11KV WORKSHOP</t>
  </si>
  <si>
    <t>11KV JANAKGANJ</t>
  </si>
  <si>
    <t>11KV LAXMIGANJ</t>
  </si>
  <si>
    <t>11KV A.B ROAD</t>
  </si>
  <si>
    <t>11KV BELDAR KA PURA</t>
  </si>
  <si>
    <t>11KV TIGHRA</t>
  </si>
  <si>
    <t>11KV AWADHPURA</t>
  </si>
  <si>
    <t>11KV PORTIZ</t>
  </si>
  <si>
    <t>11KV TAKSAL</t>
  </si>
  <si>
    <t>11KV JAWAHAR NAGAR</t>
  </si>
  <si>
    <t>11KV KAMPOO</t>
  </si>
  <si>
    <t>11KV GUDA</t>
  </si>
  <si>
    <t>11KV TANKI ROAD</t>
  </si>
  <si>
    <t>11KV PARK</t>
  </si>
  <si>
    <t>11KV S.KAMPOO</t>
  </si>
  <si>
    <t>11KV GOMTI KI FADI</t>
  </si>
  <si>
    <t xml:space="preserve"> KAMPOO</t>
  </si>
  <si>
    <t>11 KV HUZRAT</t>
  </si>
  <si>
    <t>11KV TILAK NAGAR</t>
  </si>
  <si>
    <t>11KV GORKHI</t>
  </si>
  <si>
    <t>11 KV NAGDEVATA MANDIR</t>
  </si>
  <si>
    <t>11KV DIDWANA OLI</t>
  </si>
  <si>
    <t>TERAH BATALLION</t>
  </si>
  <si>
    <t>33KV  MAIN1</t>
  </si>
  <si>
    <t>11KV BATALLION</t>
  </si>
  <si>
    <t>11KV PITHAMPURA</t>
  </si>
  <si>
    <t>11KV AMARKANTAK</t>
  </si>
  <si>
    <t>11KV SHRUTI ENCLAVE</t>
  </si>
  <si>
    <t>33 I/C STADIUM</t>
  </si>
  <si>
    <t>33 I/C DARPAN-II</t>
  </si>
  <si>
    <t>33 I/C FEEDER</t>
  </si>
  <si>
    <t>33 I/C MELA KALPI BRIDGE</t>
  </si>
  <si>
    <t>33 I/C SHARMA FARM</t>
  </si>
  <si>
    <t>33 I/C GOL PAHADIYA TIGHRA</t>
  </si>
  <si>
    <t>FORMAT C</t>
  </si>
  <si>
    <t xml:space="preserve">CALCULATION OF SYSTEM LOSSES AT 33/11KV </t>
  </si>
  <si>
    <t>7.2 (mperc)</t>
  </si>
  <si>
    <t>Name of Circle</t>
  </si>
  <si>
    <t>Particulars</t>
  </si>
  <si>
    <t>Units</t>
  </si>
  <si>
    <t>Remarks</t>
  </si>
  <si>
    <t>CITY CIRCLE GWALIOR</t>
  </si>
  <si>
    <r>
      <rPr>
        <b/>
        <sz val="10"/>
        <rFont val="Arial"/>
        <family val="2"/>
        <charset val="1"/>
      </rPr>
      <t>A</t>
    </r>
    <r>
      <rPr>
        <sz val="10"/>
        <rFont val="Arial"/>
        <family val="2"/>
        <charset val="1"/>
      </rPr>
      <t>. Total Energy delivered into 33KV system from EHV S/s &amp; other generators</t>
    </r>
  </si>
  <si>
    <r>
      <rPr>
        <b/>
        <sz val="10"/>
        <rFont val="Arial"/>
        <family val="2"/>
        <charset val="1"/>
      </rPr>
      <t>B</t>
    </r>
    <r>
      <rPr>
        <sz val="10"/>
        <rFont val="Arial"/>
        <family val="2"/>
        <charset val="1"/>
      </rPr>
      <t>. Energy sold by HT direct sale at 33KV</t>
    </r>
  </si>
  <si>
    <r>
      <rPr>
        <b/>
        <sz val="10"/>
        <rFont val="Arial"/>
        <family val="2"/>
        <charset val="1"/>
      </rPr>
      <t>C</t>
    </r>
    <r>
      <rPr>
        <sz val="10"/>
        <rFont val="Arial"/>
        <family val="2"/>
        <charset val="1"/>
      </rPr>
      <t>.  Energy delivered into 11KV &amp; LT from 33/11KV S/s</t>
    </r>
  </si>
  <si>
    <r>
      <rPr>
        <b/>
        <sz val="10"/>
        <rFont val="Arial"/>
        <family val="2"/>
        <charset val="1"/>
      </rPr>
      <t>D</t>
    </r>
    <r>
      <rPr>
        <sz val="10"/>
        <rFont val="Arial"/>
        <family val="2"/>
        <charset val="1"/>
      </rPr>
      <t>.  Losses A-(B+C)</t>
    </r>
  </si>
  <si>
    <r>
      <rPr>
        <b/>
        <sz val="10"/>
        <rFont val="Arial"/>
        <family val="2"/>
        <charset val="1"/>
      </rPr>
      <t>E</t>
    </r>
    <r>
      <rPr>
        <sz val="10"/>
        <rFont val="Arial"/>
        <family val="2"/>
        <charset val="1"/>
      </rPr>
      <t>.  % Losses (Dx100/A)</t>
    </r>
  </si>
  <si>
    <t>7.3 (mperc)</t>
  </si>
  <si>
    <r>
      <rPr>
        <b/>
        <sz val="10"/>
        <rFont val="Arial"/>
        <family val="2"/>
        <charset val="1"/>
      </rPr>
      <t>A</t>
    </r>
    <r>
      <rPr>
        <sz val="10"/>
        <rFont val="Arial"/>
        <family val="2"/>
        <charset val="1"/>
      </rPr>
      <t>.   Total Energy delivered into 11 KV &amp; LT distribution  system from 33/11 KV S/s As per Annexure</t>
    </r>
  </si>
  <si>
    <r>
      <rPr>
        <b/>
        <sz val="10"/>
        <rFont val="Arial"/>
        <family val="2"/>
        <charset val="1"/>
      </rPr>
      <t>B</t>
    </r>
    <r>
      <rPr>
        <sz val="10"/>
        <rFont val="Arial"/>
        <family val="2"/>
        <charset val="1"/>
      </rPr>
      <t>.  Energy delivered into 11KV distribution system from EHT S/s &amp; other sources (11 KV Im &amp; Expo )</t>
    </r>
  </si>
  <si>
    <r>
      <rPr>
        <b/>
        <sz val="10"/>
        <rFont val="Arial"/>
        <family val="2"/>
        <charset val="1"/>
      </rPr>
      <t>C</t>
    </r>
    <r>
      <rPr>
        <sz val="10"/>
        <rFont val="Arial"/>
        <family val="2"/>
        <charset val="1"/>
      </rPr>
      <t>.  Total Energy</t>
    </r>
  </si>
  <si>
    <r>
      <rPr>
        <b/>
        <sz val="10"/>
        <rFont val="Arial"/>
        <family val="2"/>
        <charset val="1"/>
      </rPr>
      <t>D</t>
    </r>
    <r>
      <rPr>
        <sz val="10"/>
        <rFont val="Arial"/>
        <family val="2"/>
        <charset val="1"/>
      </rPr>
      <t>.  Energy sold 11KV HTC</t>
    </r>
  </si>
  <si>
    <r>
      <rPr>
        <b/>
        <sz val="10"/>
        <rFont val="Arial"/>
        <family val="2"/>
        <charset val="1"/>
      </rPr>
      <t>E</t>
    </r>
    <r>
      <rPr>
        <sz val="10"/>
        <rFont val="Arial"/>
        <family val="2"/>
        <charset val="1"/>
      </rPr>
      <t>.  Energy sold in LT system</t>
    </r>
  </si>
  <si>
    <r>
      <rPr>
        <b/>
        <sz val="10"/>
        <rFont val="Arial"/>
        <family val="2"/>
        <charset val="1"/>
      </rPr>
      <t>F</t>
    </r>
    <r>
      <rPr>
        <sz val="10"/>
        <rFont val="Arial"/>
        <family val="2"/>
        <charset val="1"/>
      </rPr>
      <t xml:space="preserve"> Total Sale (D+E)</t>
    </r>
  </si>
  <si>
    <r>
      <rPr>
        <b/>
        <sz val="10"/>
        <rFont val="Arial"/>
        <family val="2"/>
        <charset val="1"/>
      </rPr>
      <t>G</t>
    </r>
    <r>
      <rPr>
        <sz val="10"/>
        <rFont val="Arial"/>
        <family val="2"/>
        <charset val="1"/>
      </rPr>
      <t>. Difference (C-F)</t>
    </r>
  </si>
  <si>
    <r>
      <rPr>
        <b/>
        <sz val="10"/>
        <rFont val="Arial"/>
        <family val="2"/>
        <charset val="1"/>
      </rPr>
      <t>H.</t>
    </r>
    <r>
      <rPr>
        <sz val="10"/>
        <rFont val="Arial"/>
        <family val="2"/>
        <charset val="1"/>
      </rPr>
      <t xml:space="preserve"> Losses = Gx100/C</t>
    </r>
  </si>
  <si>
    <t>DETAILS OF INDUSTRIAL INPUT CITY CIRCLE  GWALIOR</t>
  </si>
  <si>
    <t>NAME OF S/S.</t>
  </si>
  <si>
    <t xml:space="preserve">NAME OF
 MONTH </t>
  </si>
  <si>
    <t xml:space="preserve">NAME OF 
132SUBSTATION  </t>
  </si>
  <si>
    <t>INPUT</t>
  </si>
  <si>
    <t>Net Unit</t>
  </si>
  <si>
    <t>NAME OF 33 KV FEEDER</t>
  </si>
  <si>
    <t>HT UNIT</t>
  </si>
  <si>
    <t>OPEN ACCESS UNIT</t>
  </si>
  <si>
    <t>EXPORT UNIT</t>
  </si>
  <si>
    <t xml:space="preserve"> MAHAD JI NAGAR</t>
  </si>
  <si>
    <t>CHIRWAI</t>
  </si>
  <si>
    <t xml:space="preserve"> BARAGHATA</t>
  </si>
  <si>
    <t>BARAGHATA (CITY-I)</t>
  </si>
  <si>
    <t>SAF(CITY-II)</t>
  </si>
  <si>
    <t>SINDHIYANAGAR (BARAGHATA)</t>
  </si>
  <si>
    <t xml:space="preserve">GORKHI </t>
  </si>
  <si>
    <t xml:space="preserve">POLYTECHNIC(SAF) </t>
  </si>
  <si>
    <t>Monopole-1</t>
  </si>
  <si>
    <t>Monopole-2</t>
  </si>
  <si>
    <t>SARIKA NAGAR</t>
  </si>
  <si>
    <t>C.P. COLONY</t>
  </si>
  <si>
    <t>Gol Pahadia</t>
  </si>
  <si>
    <t>Gol Pahadia (M.J)</t>
  </si>
  <si>
    <t>Gol Pahadia (TIGHRA)</t>
  </si>
  <si>
    <t>SHATABDIPURAM - PHASE-2</t>
  </si>
  <si>
    <t>D.D.NAGAR(NEW)</t>
  </si>
  <si>
    <t>D.D.NAGAR(OLD)</t>
  </si>
  <si>
    <t>D.D.NAGAR</t>
  </si>
  <si>
    <t>33KV KALPI BRIDGE/</t>
  </si>
  <si>
    <t>INDUSTRIAL STATE</t>
  </si>
  <si>
    <t>EXPORT 33 KV</t>
  </si>
  <si>
    <t>EXPORT 11 KV &amp; LT</t>
  </si>
  <si>
    <t>TOTAL EXPORT</t>
  </si>
  <si>
    <t>NET INPUT AT 33 KV FEEDER</t>
  </si>
  <si>
    <t>NET INPUT CIRCLE</t>
  </si>
  <si>
    <t>33 KV FEEDER NET I/P- HT INPUT</t>
  </si>
  <si>
    <t>NET INPUT AT 33/11 KV S/S</t>
  </si>
  <si>
    <t>% 33 KV FEEDER LOSS</t>
  </si>
  <si>
    <t>Go Bottom</t>
  </si>
  <si>
    <t>MP MADHYA KSHETRA VIDYUT VITARAN CO. LTD.</t>
  </si>
  <si>
    <t>Page 1</t>
  </si>
  <si>
    <t>Provisional HT R-15 Statement for the month of August-2017</t>
  </si>
  <si>
    <t>Region:</t>
  </si>
  <si>
    <t>GWALIOR REGION</t>
  </si>
  <si>
    <t>  Circle:</t>
  </si>
  <si>
    <t>GWALIOR CITY CIR</t>
  </si>
  <si>
    <t>Category</t>
  </si>
  <si>
    <t>URBAN AREA</t>
  </si>
  <si>
    <t>Consumers</t>
  </si>
  <si>
    <t>Defective Meters</t>
  </si>
  <si>
    <t>Conn. Load</t>
  </si>
  <si>
    <t>Sold Units</t>
  </si>
  <si>
    <t>Fixed Charges</t>
  </si>
  <si>
    <t>Energy Charges</t>
  </si>
  <si>
    <t>GoMP Subsidy</t>
  </si>
  <si>
    <t>Previous Arrears</t>
  </si>
  <si>
    <t>(Nos.)</t>
  </si>
  <si>
    <t>(Kw)</t>
  </si>
  <si>
    <t>(KwH)</t>
  </si>
  <si>
    <t>(Rs.)</t>
  </si>
  <si>
    <t>13.   HT INDUSTRIAL</t>
  </si>
  <si>
    <t>  13.1  11 KV SUPPLY</t>
  </si>
  <si>
    <t>    13.15  OTHER INDUSTRY</t>
  </si>
  <si>
    <t> 49 </t>
  </si>
  <si>
    <t> 1 </t>
  </si>
  <si>
    <t> 7417 </t>
  </si>
  <si>
    <t> 1452779 </t>
  </si>
  <si>
    <t> 2521560 </t>
  </si>
  <si>
    <t> 9249213 </t>
  </si>
  <si>
    <t> 11770773 </t>
  </si>
  <si>
    <t>   </t>
  </si>
  <si>
    <t> 2869569 </t>
  </si>
  <si>
    <t>Subgroup Total</t>
  </si>
  <si>
    <t>  13.2  33 KV SUPPLY</t>
  </si>
  <si>
    <t>    13.24  TEXTILES</t>
  </si>
  <si>
    <t> 2 </t>
  </si>
  <si>
    <t> 828 </t>
  </si>
  <si>
    <t> 154278 </t>
  </si>
  <si>
    <t> 422280 </t>
  </si>
  <si>
    <t> 889712 </t>
  </si>
  <si>
    <t> 1311992 </t>
  </si>
  <si>
    <t> 2323289 </t>
  </si>
  <si>
    <t>    13.25  OTHER INDUSTRY</t>
  </si>
  <si>
    <t> 31 </t>
  </si>
  <si>
    <t> 7283 </t>
  </si>
  <si>
    <t> 1973802 </t>
  </si>
  <si>
    <t> 3966231 </t>
  </si>
  <si>
    <t> 11645434 </t>
  </si>
  <si>
    <t> 15611665 </t>
  </si>
  <si>
    <t> 6306444 </t>
  </si>
  <si>
    <t> 33 </t>
  </si>
  <si>
    <t> 8111 </t>
  </si>
  <si>
    <t> 2128080 </t>
  </si>
  <si>
    <t> 4388511 </t>
  </si>
  <si>
    <t> 12535146 </t>
  </si>
  <si>
    <t> 16923657 </t>
  </si>
  <si>
    <t> 8629733 </t>
  </si>
  <si>
    <t>Group Total</t>
  </si>
  <si>
    <t> 82 </t>
  </si>
  <si>
    <t> 15528 </t>
  </si>
  <si>
    <t> 3580859 </t>
  </si>
  <si>
    <t> 6910071 </t>
  </si>
  <si>
    <t> 21784359 </t>
  </si>
  <si>
    <t> 28694430 </t>
  </si>
  <si>
    <t> 11499302 </t>
  </si>
  <si>
    <t>14.   NON-INDUSTRIAL</t>
  </si>
  <si>
    <t>  14.1  VOLTAGE WISE</t>
  </si>
  <si>
    <t>    14.11   11 KV SUPPLY</t>
  </si>
  <si>
    <t> 51 </t>
  </si>
  <si>
    <t> 7835 </t>
  </si>
  <si>
    <t> 1915779 </t>
  </si>
  <si>
    <t> 2424780 </t>
  </si>
  <si>
    <t> 12669317 </t>
  </si>
  <si>
    <t> 15094097 </t>
  </si>
  <si>
    <t> 2626514 </t>
  </si>
  <si>
    <t>    14.12   33 KV SUPPLY</t>
  </si>
  <si>
    <t> 40 </t>
  </si>
  <si>
    <t> 16454 </t>
  </si>
  <si>
    <t> 4820701 </t>
  </si>
  <si>
    <t> 7879460 </t>
  </si>
  <si>
    <t> 30223193 </t>
  </si>
  <si>
    <t> 38102653 </t>
  </si>
  <si>
    <t> 1162359 </t>
  </si>
  <si>
    <t> 91 </t>
  </si>
  <si>
    <t> 24289 </t>
  </si>
  <si>
    <t> 6736480 </t>
  </si>
  <si>
    <t> 10304240 </t>
  </si>
  <si>
    <t> 42892510 </t>
  </si>
  <si>
    <t> 53196750 </t>
  </si>
  <si>
    <t> 3788873 </t>
  </si>
  <si>
    <t>17.   HT PUBLIC W/W</t>
  </si>
  <si>
    <t>  17.1  VOLTAGE WISE</t>
  </si>
  <si>
    <t>    17.12   33 KV SUPPLY</t>
  </si>
  <si>
    <t> 3 </t>
  </si>
  <si>
    <t> 2610 </t>
  </si>
  <si>
    <t> 1305449 </t>
  </si>
  <si>
    <t> 744210 </t>
  </si>
  <si>
    <t> 6733074 </t>
  </si>
  <si>
    <t> 7477284 </t>
  </si>
  <si>
    <t>    17.13   11 KV SUPPLY</t>
  </si>
  <si>
    <t> 180 </t>
  </si>
  <si>
    <t> 24847 </t>
  </si>
  <si>
    <t> 59450 </t>
  </si>
  <si>
    <t> 162822 </t>
  </si>
  <si>
    <t> 222272 </t>
  </si>
  <si>
    <t> 4 </t>
  </si>
  <si>
    <t> 2790 </t>
  </si>
  <si>
    <t> 1330296 </t>
  </si>
  <si>
    <t> 803660 </t>
  </si>
  <si>
    <t> 6895896 </t>
  </si>
  <si>
    <t> 7699556 </t>
  </si>
  <si>
    <t>18.   BULK SUPPLY EX</t>
  </si>
  <si>
    <t>  18.1  VOLTAGE WISE</t>
  </si>
  <si>
    <t>    18.11   11 KV SUPPLY</t>
  </si>
  <si>
    <t> 113 </t>
  </si>
  <si>
    <t> 31632 </t>
  </si>
  <si>
    <t> 32770 </t>
  </si>
  <si>
    <t> 188527 </t>
  </si>
  <si>
    <t> 221297 </t>
  </si>
  <si>
    <t>    18.12   33 KV SUPPLY</t>
  </si>
  <si>
    <t> 90 </t>
  </si>
  <si>
    <t> 12620 </t>
  </si>
  <si>
    <t> 27900 </t>
  </si>
  <si>
    <t> 72589 </t>
  </si>
  <si>
    <t> 100489 </t>
  </si>
  <si>
    <t> 203 </t>
  </si>
  <si>
    <t> 44252 </t>
  </si>
  <si>
    <t> 60670 </t>
  </si>
  <si>
    <t> 261116 </t>
  </si>
  <si>
    <t> 321786 </t>
  </si>
  <si>
    <t>19.   TOWNSHIP RC</t>
  </si>
  <si>
    <t>  19.2  OTHERS</t>
  </si>
  <si>
    <t>    19.22   33 KV SUPPLY</t>
  </si>
  <si>
    <t> 6 </t>
  </si>
  <si>
    <t> 4703 </t>
  </si>
  <si>
    <t> 1773234 </t>
  </si>
  <si>
    <t> 1536353 </t>
  </si>
  <si>
    <t> 10281828 </t>
  </si>
  <si>
    <t> 11818181 </t>
  </si>
  <si>
    <t> 2105789 </t>
  </si>
  <si>
    <t>    19.23   11 KV SUPPLY</t>
  </si>
  <si>
    <t> 72850 </t>
  </si>
  <si>
    <t> 66410 </t>
  </si>
  <si>
    <t> 438528 </t>
  </si>
  <si>
    <t> 504938 </t>
  </si>
  <si>
    <t> 7 </t>
  </si>
  <si>
    <t> 4883 </t>
  </si>
  <si>
    <t> 1846084 </t>
  </si>
  <si>
    <t> 1602763 </t>
  </si>
  <si>
    <t> 10720356 </t>
  </si>
  <si>
    <t> 12323119 </t>
  </si>
  <si>
    <t>20.   MISC. REVENUE</t>
  </si>
  <si>
    <t>  20.11  METER RENT</t>
  </si>
  <si>
    <t> 308500 </t>
  </si>
  <si>
    <t>  20.12  OTHERS</t>
  </si>
  <si>
    <t> 30089 </t>
  </si>
  <si>
    <t>Go Top</t>
  </si>
  <si>
    <t>Page 2</t>
  </si>
  <si>
    <t> 338589 </t>
  </si>
  <si>
    <t>21.  SURCHARGE</t>
  </si>
  <si>
    <t> 125818 </t>
  </si>
  <si>
    <t>22.  ELECTRICITY DUTY</t>
  </si>
  <si>
    <t> 6484032 </t>
  </si>
  <si>
    <t>23.  ELECT. DEV. CESS</t>
  </si>
  <si>
    <t> 66524 </t>
  </si>
  <si>
    <t>HT Total</t>
  </si>
  <si>
    <t> 186 </t>
  </si>
  <si>
    <t> 47693 </t>
  </si>
  <si>
    <t> 13537971 </t>
  </si>
  <si>
    <t> 19681404 </t>
  </si>
  <si>
    <t> 82554237 </t>
  </si>
  <si>
    <t> 109250604 </t>
  </si>
  <si>
    <t> 17393964 </t>
  </si>
  <si>
    <t>     </t>
  </si>
  <si>
    <t>Circle Input</t>
  </si>
  <si>
    <t>LT</t>
  </si>
  <si>
    <t>11KV</t>
  </si>
  <si>
    <t>1433933 </t>
  </si>
  <si>
    <t> 959350</t>
  </si>
  <si>
    <t>31606 </t>
  </si>
  <si>
    <t xml:space="preserve"> ZONE WISE INPUT </t>
  </si>
  <si>
    <t>NOVEMBER.2023</t>
  </si>
  <si>
    <t>L.T.INPUT</t>
  </si>
  <si>
    <t>BIRLA NAGAR ZONE</t>
  </si>
  <si>
    <t>G. TOTAL</t>
  </si>
  <si>
    <t>TENTATIVE</t>
  </si>
  <si>
    <t>APRIL.2023</t>
  </si>
  <si>
    <t>Name of Division</t>
  </si>
  <si>
    <t>Name of D/c / Zone</t>
  </si>
  <si>
    <t>Name of S/s 33/11kv</t>
  </si>
  <si>
    <t>Name of 11 KV feeder</t>
  </si>
  <si>
    <t>Feeder type (CHQ/DHQ/THQ/Rural/Mixed/IRR)</t>
  </si>
  <si>
    <t>Reading</t>
  </si>
  <si>
    <t>Multiflying Factor</t>
  </si>
  <si>
    <t>Consumption</t>
  </si>
  <si>
    <t>Assessed Units (inLU)</t>
  </si>
  <si>
    <t>Input Units  (in LU)</t>
  </si>
  <si>
    <t>SR</t>
  </si>
  <si>
    <t>FR</t>
  </si>
  <si>
    <t>(12x13)</t>
  </si>
  <si>
    <t>CHQ</t>
  </si>
  <si>
    <t xml:space="preserve"> GORKHI</t>
  </si>
  <si>
    <t xml:space="preserve"> TARA GANJ</t>
  </si>
  <si>
    <t>MPE24363</t>
  </si>
  <si>
    <t xml:space="preserve"> SARAFA</t>
  </si>
  <si>
    <t>MPE15900</t>
  </si>
  <si>
    <t>MPC47429</t>
  </si>
  <si>
    <t xml:space="preserve"> JIWAJI GANJ</t>
  </si>
  <si>
    <t>SHINDE KI CHHAWANI</t>
  </si>
  <si>
    <t xml:space="preserve"> KRISHNA MANDIR</t>
  </si>
  <si>
    <t xml:space="preserve"> RAMAJI PURA</t>
  </si>
  <si>
    <t xml:space="preserve"> AMANPURA</t>
  </si>
  <si>
    <t xml:space="preserve"> LAXMIGANJ 4POLE</t>
  </si>
  <si>
    <t xml:space="preserve"> NAI SADAK</t>
  </si>
  <si>
    <t xml:space="preserve"> S.K.CHHAWANI</t>
  </si>
  <si>
    <t>CHIRWAI INDUSTRIAL FDR NO.2</t>
  </si>
  <si>
    <t xml:space="preserve"> HARKOTA</t>
  </si>
  <si>
    <t xml:space="preserve"> GIRWAI</t>
  </si>
  <si>
    <t xml:space="preserve"> MELA</t>
  </si>
  <si>
    <t xml:space="preserve"> A SECTOR</t>
  </si>
  <si>
    <t xml:space="preserve"> MAHARAJA COMPLEX</t>
  </si>
  <si>
    <t xml:space="preserve"> B.SECT(ADITYAPURAM)</t>
  </si>
  <si>
    <t>G SECTER NEW</t>
  </si>
  <si>
    <t xml:space="preserve"> KRISHNA NAGAR</t>
  </si>
  <si>
    <t xml:space="preserve"> SIDDHESHWAR NAGAR</t>
  </si>
  <si>
    <t>BHATIYA COMPLEX</t>
  </si>
  <si>
    <t xml:space="preserve"> D.B.CITY</t>
  </si>
  <si>
    <t xml:space="preserve"> D.B.CITY SECTOR NO.1 </t>
  </si>
  <si>
    <t xml:space="preserve"> D.B.CITY SECTOR NO.2</t>
  </si>
  <si>
    <t xml:space="preserve"> D.B.CITY SECTOR NO.3</t>
  </si>
  <si>
    <t xml:space="preserve"> D.B.CITY SECTOR NO.4</t>
  </si>
  <si>
    <t>Khatik Mohalla</t>
  </si>
  <si>
    <t xml:space="preserve"> GOLE KA MANDIR</t>
  </si>
  <si>
    <t xml:space="preserve"> NARAYAN VIHAR</t>
  </si>
  <si>
    <t>SHATABDI PURAM PHASE-2</t>
  </si>
  <si>
    <t>TANSEN</t>
  </si>
  <si>
    <t>MPE13165</t>
  </si>
  <si>
    <t xml:space="preserve"> READYMADE GARMENT PARKFEEDER NO. 1</t>
  </si>
  <si>
    <t xml:space="preserve"> READYMADE GARMENT PARKFEEDER NO. 2</t>
  </si>
  <si>
    <t xml:space="preserve"> READYMADE GARMENT PARKFEEDER NO. 3</t>
  </si>
  <si>
    <t>Name of EHV S/s</t>
  </si>
  <si>
    <t>Name of 33 KV feeder</t>
  </si>
  <si>
    <t>Feeder type (CHQ/DHQ/THQ/Rural/)</t>
  </si>
  <si>
    <t>220 KV S/S MAHALGAON Gwalioir</t>
  </si>
  <si>
    <t>MONOPOLE-1</t>
  </si>
  <si>
    <t>MONOPOLE-2</t>
  </si>
  <si>
    <t>33KV KALPI BRIDGE</t>
  </si>
  <si>
    <t>132 KV GOL PAHADIA  (TIGHRA)</t>
  </si>
  <si>
    <t>GOL PAHADIA  (TIGHRA)</t>
  </si>
  <si>
    <t>GIRWAI(SIKANDAR KAMPOO)</t>
  </si>
  <si>
    <t>220 KV GWALIOR  CITY -II</t>
  </si>
  <si>
    <t xml:space="preserve">SAF </t>
  </si>
  <si>
    <t>m block</t>
  </si>
  <si>
    <t>kumarpura</t>
  </si>
  <si>
    <t>O BLOCK</t>
  </si>
  <si>
    <t>bsf</t>
  </si>
  <si>
    <t>KOTHARI</t>
  </si>
  <si>
    <t>bsf2</t>
  </si>
  <si>
    <t>NAGDAVTA</t>
  </si>
  <si>
    <t>94257-90126</t>
  </si>
  <si>
    <t>85160-51166</t>
  </si>
  <si>
    <t>83191-60184</t>
  </si>
  <si>
    <t>YADAV COLONY</t>
  </si>
  <si>
    <t>RESAMPURA</t>
  </si>
  <si>
    <t>SEPTEMBER.2023</t>
  </si>
  <si>
    <t>G-SECTOR-2</t>
  </si>
  <si>
    <t>(-)UNIVERSITY</t>
  </si>
  <si>
    <t>4.10.23</t>
  </si>
  <si>
    <t>20.10.23</t>
  </si>
  <si>
    <t>21.10.23</t>
  </si>
  <si>
    <t>08.10.23</t>
  </si>
  <si>
    <t>daulatganj</t>
  </si>
  <si>
    <t>nagdavta</t>
  </si>
  <si>
    <t>PARAM ASHISH FDR NO.1</t>
  </si>
  <si>
    <t>STATEMENT SHOWING FEEDER WISE INPUT FOR AUGUST-2024 MPMKVVCO.LTD. BHOPAL</t>
  </si>
  <si>
    <t>H2421038920</t>
  </si>
  <si>
    <t>H2421038921</t>
  </si>
  <si>
    <t xml:space="preserve">THE REGISTRAR JIWAJI UNIVERSITY </t>
  </si>
  <si>
    <t>COMMISSIONER NAGAR NIGAM</t>
  </si>
  <si>
    <t>pts tighra</t>
  </si>
  <si>
    <t>OCT.2024</t>
  </si>
  <si>
    <t>BADNAPURA</t>
  </si>
  <si>
    <t>Q0855050</t>
  </si>
  <si>
    <t>Q0855053</t>
  </si>
  <si>
    <t>CPS40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</si>
</sst>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164" formatCode="0.00000"/>
    <numFmt numFmtId="165" formatCode="0.0"/>
    <numFmt numFmtId="166" formatCode="0.000"/>
    <numFmt numFmtId="167" formatCode="0.0000000000000"/>
    <numFmt numFmtId="168" formatCode="0.000%"/>
    <numFmt numFmtId="169" formatCode="_(* #,##0.00_);_(* \(#,##0.00\);_(* \-??_);_(@_)"/>
    <numFmt numFmtId="170" formatCode="mm/yy"/>
    <numFmt numFmtId="171" formatCode="_(* #,##0.0000_);_(* \(#,##0.0000\);_(* \-??_);_(@_)"/>
    <numFmt numFmtId="172" formatCode="0.000000000"/>
    <numFmt numFmtId="173" formatCode="0.0000%"/>
    <numFmt numFmtId="174" formatCode="0.0%"/>
    <numFmt numFmtId="175" formatCode="d\ mmm\ yy"/>
    <numFmt numFmtId="176" formatCode="0.0000"/>
    <numFmt numFmtId="177" formatCode="0.000000000000"/>
    <numFmt numFmtId="178" formatCode="0.0000000000"/>
    <numFmt numFmtId="179" formatCode="0.0000000"/>
  </numFmts>
  <fonts count="137">
    <font>
      <sz val="11"/>
      <color rgb="FF000000"/>
      <name val="Calibri"/>
      <family val="2"/>
      <charset val="1"/>
    </font>
    <font>
      <sz val="10"/>
      <name val="Arial"/>
      <family val="2"/>
      <charset val="1"/>
    </font>
    <font>
      <sz val="12"/>
      <name val="宋体"/>
      <charset val="134"/>
    </font>
    <font>
      <b/>
      <sz val="18"/>
      <name val="Arial"/>
      <family val="2"/>
      <charset val="1"/>
    </font>
    <font>
      <b/>
      <sz val="12"/>
      <name val="Arial"/>
      <family val="2"/>
      <charset val="1"/>
    </font>
    <font>
      <b/>
      <sz val="10"/>
      <name val="Arial"/>
      <family val="2"/>
      <charset val="1"/>
    </font>
    <font>
      <sz val="10"/>
      <color rgb="FF000000"/>
      <name val="Arial"/>
      <family val="2"/>
      <charset val="1"/>
    </font>
    <font>
      <sz val="10"/>
      <color rgb="FFFF0000"/>
      <name val="Arial"/>
      <family val="2"/>
      <charset val="1"/>
    </font>
    <font>
      <sz val="8"/>
      <color rgb="FF000000"/>
      <name val="Arial"/>
      <family val="2"/>
      <charset val="1"/>
    </font>
    <font>
      <sz val="8"/>
      <name val="Arial"/>
      <family val="2"/>
      <charset val="1"/>
    </font>
    <font>
      <b/>
      <sz val="10"/>
      <color rgb="FF000000"/>
      <name val="Arial"/>
      <family val="2"/>
      <charset val="1"/>
    </font>
    <font>
      <sz val="8"/>
      <name val="Calibri"/>
      <family val="2"/>
      <charset val="1"/>
    </font>
    <font>
      <b/>
      <sz val="10"/>
      <color rgb="FFFF0000"/>
      <name val="Arial"/>
      <family val="2"/>
      <charset val="1"/>
    </font>
    <font>
      <b/>
      <sz val="11"/>
      <name val="Calibri"/>
      <family val="2"/>
      <charset val="1"/>
    </font>
    <font>
      <sz val="12"/>
      <name val="Calibri"/>
      <family val="2"/>
      <charset val="1"/>
    </font>
    <font>
      <sz val="10"/>
      <name val="Arial Black"/>
      <family val="2"/>
      <charset val="1"/>
    </font>
    <font>
      <sz val="14"/>
      <name val="Arial Black"/>
      <family val="2"/>
      <charset val="1"/>
    </font>
    <font>
      <sz val="11"/>
      <name val="Arial Black"/>
      <family val="2"/>
      <charset val="1"/>
    </font>
    <font>
      <sz val="10"/>
      <color rgb="FFFF0000"/>
      <name val="Arial Black"/>
      <family val="2"/>
      <charset val="1"/>
    </font>
    <font>
      <b/>
      <sz val="16"/>
      <name val="Arial"/>
      <family val="2"/>
      <charset val="1"/>
    </font>
    <font>
      <b/>
      <sz val="10"/>
      <name val="Century Gothic"/>
      <family val="2"/>
      <charset val="1"/>
    </font>
    <font>
      <b/>
      <sz val="11"/>
      <color rgb="FF000000"/>
      <name val="Calibri"/>
      <family val="2"/>
      <charset val="1"/>
    </font>
    <font>
      <b/>
      <sz val="9"/>
      <name val="Arial"/>
      <family val="2"/>
      <charset val="1"/>
    </font>
    <font>
      <b/>
      <sz val="11"/>
      <name val="Arial"/>
      <family val="2"/>
      <charset val="1"/>
    </font>
    <font>
      <b/>
      <sz val="9"/>
      <color rgb="FF000000"/>
      <name val="Arial"/>
      <family val="2"/>
      <charset val="1"/>
    </font>
    <font>
      <b/>
      <sz val="11"/>
      <color rgb="FF000000"/>
      <name val="Arial"/>
      <family val="2"/>
      <charset val="1"/>
    </font>
    <font>
      <b/>
      <sz val="11"/>
      <color rgb="FFFF0000"/>
      <name val="Arial"/>
      <family val="2"/>
      <charset val="1"/>
    </font>
    <font>
      <b/>
      <sz val="9"/>
      <color rgb="FFFF0000"/>
      <name val="Arial"/>
      <family val="2"/>
      <charset val="1"/>
    </font>
    <font>
      <b/>
      <sz val="9"/>
      <color rgb="FF1F497D"/>
      <name val="Arial"/>
      <family val="2"/>
      <charset val="1"/>
    </font>
    <font>
      <b/>
      <sz val="9"/>
      <color rgb="FF00B050"/>
      <name val="Arial"/>
      <family val="2"/>
      <charset val="1"/>
    </font>
    <font>
      <b/>
      <sz val="8"/>
      <name val="Arial"/>
      <family val="2"/>
      <charset val="1"/>
    </font>
    <font>
      <sz val="9"/>
      <name val="Arial"/>
      <family val="2"/>
      <charset val="1"/>
    </font>
    <font>
      <b/>
      <sz val="12"/>
      <name val="Calibri"/>
      <family val="2"/>
      <charset val="1"/>
    </font>
    <font>
      <b/>
      <sz val="12"/>
      <color rgb="FFFF0000"/>
      <name val="Arial"/>
      <family val="2"/>
      <charset val="1"/>
    </font>
    <font>
      <b/>
      <sz val="12"/>
      <color rgb="FF000000"/>
      <name val="Calibri"/>
      <family val="2"/>
      <charset val="1"/>
    </font>
    <font>
      <sz val="11"/>
      <name val="Arial"/>
      <family val="2"/>
      <charset val="1"/>
    </font>
    <font>
      <sz val="11"/>
      <name val="Calibri"/>
      <family val="2"/>
      <charset val="1"/>
    </font>
    <font>
      <sz val="12"/>
      <name val="Arial"/>
      <family val="2"/>
      <charset val="1"/>
    </font>
    <font>
      <b/>
      <sz val="14"/>
      <name val="Arial"/>
      <family val="2"/>
      <charset val="1"/>
    </font>
    <font>
      <sz val="12"/>
      <color rgb="FF000000"/>
      <name val="Calibri"/>
      <family val="2"/>
      <charset val="1"/>
    </font>
    <font>
      <sz val="12"/>
      <color rgb="FFFF0000"/>
      <name val="Arial"/>
      <family val="2"/>
      <charset val="1"/>
    </font>
    <font>
      <sz val="11"/>
      <color rgb="FF000000"/>
      <name val="Arial"/>
      <family val="2"/>
      <charset val="1"/>
    </font>
    <font>
      <b/>
      <sz val="11"/>
      <color rgb="FF0070C0"/>
      <name val="Calibri"/>
      <family val="2"/>
      <charset val="1"/>
    </font>
    <font>
      <b/>
      <sz val="8"/>
      <color rgb="FFFF0000"/>
      <name val="Arial"/>
      <family val="2"/>
      <charset val="1"/>
    </font>
    <font>
      <sz val="11"/>
      <color rgb="FFFF0000"/>
      <name val="Calibri"/>
      <family val="2"/>
      <charset val="1"/>
    </font>
    <font>
      <b/>
      <sz val="8"/>
      <color rgb="FF0070C0"/>
      <name val="Arial"/>
      <family val="2"/>
      <charset val="1"/>
    </font>
    <font>
      <b/>
      <sz val="8"/>
      <color rgb="FF00B050"/>
      <name val="Arial"/>
      <family val="2"/>
      <charset val="1"/>
    </font>
    <font>
      <sz val="8"/>
      <color rgb="FF7030A0"/>
      <name val="Arial"/>
      <family val="2"/>
      <charset val="1"/>
    </font>
    <font>
      <sz val="8"/>
      <color rgb="FFFF0000"/>
      <name val="Arial"/>
      <family val="2"/>
      <charset val="1"/>
    </font>
    <font>
      <b/>
      <i/>
      <u/>
      <sz val="10"/>
      <name val="Arial"/>
      <family val="2"/>
      <charset val="1"/>
    </font>
    <font>
      <sz val="10"/>
      <color rgb="FF0070C0"/>
      <name val="Arial"/>
      <family val="2"/>
      <charset val="1"/>
    </font>
    <font>
      <sz val="14"/>
      <color rgb="FF000000"/>
      <name val="Calibri"/>
      <family val="2"/>
      <charset val="1"/>
    </font>
    <font>
      <b/>
      <sz val="11"/>
      <color rgb="FF3333FF"/>
      <name val="Calibri"/>
      <family val="2"/>
      <charset val="1"/>
    </font>
    <font>
      <b/>
      <sz val="10"/>
      <color rgb="FF000000"/>
      <name val="Calibri"/>
      <family val="2"/>
      <charset val="1"/>
    </font>
    <font>
      <sz val="10"/>
      <name val="Calibri"/>
      <family val="2"/>
      <charset val="1"/>
    </font>
    <font>
      <i/>
      <sz val="11"/>
      <name val="Calibri"/>
      <family val="2"/>
      <charset val="1"/>
    </font>
    <font>
      <sz val="10"/>
      <color rgb="FF000000"/>
      <name val="Calibri"/>
      <family val="2"/>
      <charset val="1"/>
    </font>
    <font>
      <b/>
      <sz val="11"/>
      <color rgb="FFFF0000"/>
      <name val="Calibri"/>
      <family val="2"/>
      <charset val="1"/>
    </font>
    <font>
      <b/>
      <sz val="10"/>
      <name val="Calibri"/>
      <family val="2"/>
      <charset val="1"/>
    </font>
    <font>
      <b/>
      <sz val="10"/>
      <color rgb="FFFF0000"/>
      <name val="Calibri"/>
      <family val="2"/>
      <charset val="1"/>
    </font>
    <font>
      <b/>
      <sz val="12"/>
      <color rgb="FFFF0000"/>
      <name val="Calibri"/>
      <family val="2"/>
      <charset val="1"/>
    </font>
    <font>
      <sz val="9"/>
      <color rgb="FF000000"/>
      <name val="Arial"/>
      <family val="2"/>
      <charset val="1"/>
    </font>
    <font>
      <b/>
      <sz val="16"/>
      <name val="Calibri"/>
      <family val="2"/>
      <charset val="1"/>
    </font>
    <font>
      <b/>
      <sz val="14"/>
      <color rgb="FF000000"/>
      <name val="Calibri"/>
      <family val="2"/>
      <charset val="1"/>
    </font>
    <font>
      <b/>
      <sz val="8"/>
      <color rgb="FF000000"/>
      <name val="Calibri"/>
      <family val="2"/>
      <charset val="1"/>
    </font>
    <font>
      <b/>
      <sz val="12"/>
      <color rgb="FF000000"/>
      <name val="Times New Roman"/>
      <family val="1"/>
      <charset val="1"/>
    </font>
    <font>
      <b/>
      <sz val="12"/>
      <name val="Times New Roman"/>
      <family val="1"/>
      <charset val="1"/>
    </font>
    <font>
      <b/>
      <sz val="12"/>
      <color rgb="FFFF0000"/>
      <name val="Times New Roman"/>
      <family val="1"/>
      <charset val="1"/>
    </font>
    <font>
      <b/>
      <sz val="11"/>
      <color rgb="FFFF0000"/>
      <name val="Times New Roman"/>
      <family val="1"/>
      <charset val="1"/>
    </font>
    <font>
      <sz val="11"/>
      <color rgb="FF0070C0"/>
      <name val="Calibri"/>
      <family val="2"/>
      <charset val="1"/>
    </font>
    <font>
      <b/>
      <sz val="16"/>
      <color rgb="FF000000"/>
      <name val="Times New Roman"/>
      <family val="1"/>
      <charset val="1"/>
    </font>
    <font>
      <sz val="8"/>
      <color rgb="FF000000"/>
      <name val="Calibri"/>
      <family val="2"/>
      <charset val="1"/>
    </font>
    <font>
      <b/>
      <sz val="14"/>
      <name val="Calibri"/>
      <family val="2"/>
      <charset val="1"/>
    </font>
    <font>
      <sz val="20"/>
      <color rgb="FFFF0000"/>
      <name val="Arial"/>
      <family val="2"/>
      <charset val="1"/>
    </font>
    <font>
      <b/>
      <sz val="20"/>
      <color rgb="FF000000"/>
      <name val="Arial"/>
      <family val="2"/>
      <charset val="1"/>
    </font>
    <font>
      <sz val="20"/>
      <color rgb="FF000000"/>
      <name val="Arial"/>
      <family val="2"/>
      <charset val="1"/>
    </font>
    <font>
      <b/>
      <sz val="20"/>
      <color rgb="FF000000"/>
      <name val="Calibri"/>
      <family val="2"/>
      <charset val="1"/>
    </font>
    <font>
      <sz val="20"/>
      <color rgb="FF000000"/>
      <name val="Calibri"/>
      <family val="2"/>
      <charset val="1"/>
    </font>
    <font>
      <sz val="12"/>
      <color rgb="FF000000"/>
      <name val="Kruti Dev 010"/>
      <charset val="1"/>
    </font>
    <font>
      <b/>
      <sz val="10"/>
      <color rgb="FF953735"/>
      <name val="Arial"/>
      <family val="2"/>
      <charset val="1"/>
    </font>
    <font>
      <b/>
      <sz val="9"/>
      <color rgb="FF0D0D0D"/>
      <name val="Arial"/>
      <family val="2"/>
      <charset val="1"/>
    </font>
    <font>
      <b/>
      <u/>
      <sz val="10"/>
      <color rgb="FF000000"/>
      <name val="Arial"/>
      <family val="2"/>
      <charset val="1"/>
    </font>
    <font>
      <u/>
      <sz val="10"/>
      <name val="Arial"/>
      <family val="2"/>
      <charset val="1"/>
    </font>
    <font>
      <u/>
      <sz val="10"/>
      <color rgb="FF000000"/>
      <name val="Arial"/>
      <family val="2"/>
      <charset val="1"/>
    </font>
    <font>
      <b/>
      <u/>
      <sz val="10"/>
      <name val="Arial"/>
      <family val="2"/>
      <charset val="1"/>
    </font>
    <font>
      <sz val="5"/>
      <name val="Calibri"/>
      <family val="2"/>
      <charset val="1"/>
    </font>
    <font>
      <sz val="10"/>
      <color rgb="FF558ED5"/>
      <name val="Arial"/>
      <family val="2"/>
      <charset val="1"/>
    </font>
    <font>
      <sz val="11"/>
      <color rgb="FF000000"/>
      <name val="Cambria"/>
      <family val="1"/>
      <charset val="1"/>
    </font>
    <font>
      <sz val="6"/>
      <name val="Arial"/>
      <family val="2"/>
      <charset val="1"/>
    </font>
    <font>
      <sz val="5"/>
      <name val="Arial"/>
      <family val="2"/>
      <charset val="1"/>
    </font>
    <font>
      <sz val="10"/>
      <color rgb="FF0D0D0D"/>
      <name val="Arial"/>
      <family val="2"/>
      <charset val="1"/>
    </font>
    <font>
      <sz val="11"/>
      <color rgb="FF000000"/>
      <name val="Times New Roman"/>
      <family val="1"/>
      <charset val="1"/>
    </font>
    <font>
      <sz val="7"/>
      <name val="Arial"/>
      <family val="2"/>
      <charset val="1"/>
    </font>
    <font>
      <b/>
      <u/>
      <sz val="10"/>
      <color rgb="FFC00000"/>
      <name val="Arial"/>
      <family val="2"/>
      <charset val="1"/>
    </font>
    <font>
      <sz val="18"/>
      <color rgb="FF000000"/>
      <name val="Calibri"/>
      <family val="2"/>
      <charset val="1"/>
    </font>
    <font>
      <b/>
      <sz val="9"/>
      <color rgb="FF000000"/>
      <name val="Calibri"/>
      <family val="2"/>
      <charset val="1"/>
    </font>
    <font>
      <b/>
      <sz val="16"/>
      <color rgb="FF000000"/>
      <name val="Calibri"/>
      <family val="2"/>
      <charset val="1"/>
    </font>
    <font>
      <sz val="14"/>
      <name val="Calibri"/>
      <family val="2"/>
      <charset val="1"/>
    </font>
    <font>
      <b/>
      <sz val="8"/>
      <name val="Calibri"/>
      <family val="2"/>
      <charset val="1"/>
    </font>
    <font>
      <b/>
      <sz val="14"/>
      <color rgb="FFFF0000"/>
      <name val="Calibri"/>
      <family val="2"/>
      <charset val="1"/>
    </font>
    <font>
      <sz val="9"/>
      <name val="Calibri"/>
      <family val="2"/>
      <charset val="1"/>
    </font>
    <font>
      <b/>
      <sz val="18"/>
      <name val="Calibri"/>
      <family val="2"/>
      <charset val="1"/>
    </font>
    <font>
      <sz val="8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i/>
      <sz val="8"/>
      <name val="Calibri"/>
      <family val="2"/>
      <charset val="1"/>
    </font>
    <font>
      <i/>
      <sz val="11"/>
      <color rgb="FFFF0000"/>
      <name val="Calibri"/>
      <family val="2"/>
      <charset val="1"/>
    </font>
    <font>
      <sz val="12"/>
      <color rgb="FFFF0000"/>
      <name val="Calibri"/>
      <family val="2"/>
      <charset val="1"/>
    </font>
    <font>
      <sz val="9"/>
      <color rgb="FF000000"/>
      <name val="Calibri"/>
      <family val="2"/>
      <charset val="1"/>
    </font>
    <font>
      <b/>
      <sz val="12"/>
      <color rgb="FF000000"/>
      <name val="Cambria"/>
      <family val="1"/>
      <charset val="1"/>
    </font>
    <font>
      <sz val="12"/>
      <color rgb="FF000000"/>
      <name val="Cambria"/>
      <family val="1"/>
      <charset val="1"/>
    </font>
    <font>
      <sz val="12"/>
      <name val="Cambria"/>
      <family val="1"/>
      <charset val="1"/>
    </font>
    <font>
      <b/>
      <sz val="12"/>
      <color rgb="FF000000"/>
      <name val="宋体"/>
      <charset val="134"/>
    </font>
    <font>
      <b/>
      <sz val="12"/>
      <name val="Cambria"/>
      <family val="1"/>
      <charset val="1"/>
    </font>
    <font>
      <b/>
      <sz val="14"/>
      <color rgb="FF000000"/>
      <name val="Arial"/>
      <family val="2"/>
      <charset val="1"/>
    </font>
    <font>
      <sz val="11"/>
      <color rgb="FF00B0F0"/>
      <name val="Calibri"/>
      <family val="2"/>
      <charset val="1"/>
    </font>
    <font>
      <sz val="10"/>
      <color rgb="FFFF0000"/>
      <name val="Calibri"/>
      <family val="2"/>
      <charset val="1"/>
    </font>
    <font>
      <b/>
      <sz val="10"/>
      <color rgb="FF000000"/>
      <name val="Times New Roman"/>
      <charset val="1"/>
    </font>
    <font>
      <u/>
      <sz val="9.9"/>
      <color rgb="FF0000FF"/>
      <name val="Calibri"/>
      <family val="2"/>
      <charset val="1"/>
    </font>
    <font>
      <b/>
      <u/>
      <sz val="10"/>
      <color rgb="FF000000"/>
      <name val="Times New Roman"/>
      <charset val="1"/>
    </font>
    <font>
      <sz val="10"/>
      <color rgb="FF000000"/>
      <name val="Times New Roman"/>
      <charset val="1"/>
    </font>
    <font>
      <sz val="14"/>
      <color rgb="FF333333"/>
      <name val="Verdana"/>
      <family val="2"/>
      <charset val="1"/>
    </font>
    <font>
      <b/>
      <sz val="10"/>
      <color rgb="FF333333"/>
      <name val="Times New Roman"/>
      <charset val="1"/>
    </font>
    <font>
      <b/>
      <sz val="18"/>
      <color rgb="FF000000"/>
      <name val="Calibri"/>
      <family val="2"/>
      <charset val="1"/>
    </font>
    <font>
      <sz val="11"/>
      <color rgb="FF000000"/>
      <name val="Calibri"/>
      <family val="2"/>
      <charset val="1"/>
    </font>
    <font>
      <sz val="10"/>
      <name val="Arial"/>
      <family val="2"/>
    </font>
    <font>
      <sz val="10"/>
      <name val="Calibri"/>
      <family val="2"/>
      <scheme val="minor"/>
    </font>
    <font>
      <sz val="10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12"/>
      <color theme="1"/>
      <name val="Arial"/>
      <family val="2"/>
    </font>
    <font>
      <b/>
      <sz val="9"/>
      <color theme="1"/>
      <name val="Arial"/>
      <family val="2"/>
    </font>
    <font>
      <b/>
      <sz val="12"/>
      <name val="Arial"/>
      <family val="2"/>
    </font>
    <font>
      <b/>
      <sz val="9"/>
      <name val="Arial"/>
      <family val="2"/>
    </font>
    <font>
      <sz val="11"/>
      <name val="Calibri"/>
      <family val="2"/>
      <scheme val="minor"/>
    </font>
    <font>
      <sz val="9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rgb="FFFFFFFF"/>
        <bgColor rgb="FFF7F7F7"/>
      </patternFill>
    </fill>
    <fill>
      <patternFill patternType="solid">
        <fgColor rgb="FFFFFF00"/>
        <bgColor rgb="FFFFFF00"/>
      </patternFill>
    </fill>
    <fill>
      <patternFill patternType="solid">
        <fgColor rgb="FFFCD5B5"/>
        <bgColor rgb="FFFFC7CE"/>
      </patternFill>
    </fill>
    <fill>
      <patternFill patternType="solid">
        <fgColor rgb="FFF2F2F2"/>
        <bgColor rgb="FFF7F7F7"/>
      </patternFill>
    </fill>
    <fill>
      <patternFill patternType="solid">
        <fgColor rgb="FFE6B9B8"/>
        <bgColor rgb="FFFAC090"/>
      </patternFill>
    </fill>
    <fill>
      <patternFill patternType="solid">
        <fgColor rgb="FFC4BD97"/>
        <bgColor rgb="FFCCCCCC"/>
      </patternFill>
    </fill>
    <fill>
      <patternFill patternType="solid">
        <fgColor rgb="FF7F7F7F"/>
        <bgColor rgb="FF558ED5"/>
      </patternFill>
    </fill>
    <fill>
      <patternFill patternType="solid">
        <fgColor rgb="FFDDD9C3"/>
        <bgColor rgb="FFCCCCCC"/>
      </patternFill>
    </fill>
    <fill>
      <patternFill patternType="solid">
        <fgColor rgb="FFFFC000"/>
        <bgColor rgb="FFFF9900"/>
      </patternFill>
    </fill>
    <fill>
      <patternFill patternType="solid">
        <fgColor rgb="FFE6E6E6"/>
        <bgColor rgb="FFF2F2F2"/>
      </patternFill>
    </fill>
    <fill>
      <patternFill patternType="solid">
        <fgColor rgb="FFF7F7F7"/>
        <bgColor rgb="FFF2F2F2"/>
      </patternFill>
    </fill>
    <fill>
      <patternFill patternType="solid">
        <fgColor rgb="FFB7DEE8"/>
        <bgColor rgb="FFCCCCCC"/>
      </patternFill>
    </fill>
    <fill>
      <patternFill patternType="solid">
        <fgColor rgb="FF0070C0"/>
        <bgColor rgb="FF008080"/>
      </patternFill>
    </fill>
    <fill>
      <patternFill patternType="solid">
        <fgColor rgb="FFFAC090"/>
        <bgColor rgb="FFE6B9B8"/>
      </patternFill>
    </fill>
    <fill>
      <patternFill patternType="solid">
        <fgColor rgb="FF93CDDD"/>
        <bgColor rgb="FFB7DEE8"/>
      </patternFill>
    </fill>
    <fill>
      <patternFill patternType="solid">
        <fgColor rgb="FF00B050"/>
        <bgColor rgb="FF008080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rgb="FFF7F7F7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0">
    <xf numFmtId="0" fontId="0" fillId="0" borderId="0"/>
    <xf numFmtId="169" fontId="123" fillId="0" borderId="0" applyBorder="0" applyProtection="0"/>
    <xf numFmtId="9" fontId="123" fillId="0" borderId="0" applyBorder="0" applyProtection="0"/>
    <xf numFmtId="0" fontId="117" fillId="0" borderId="0" applyBorder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</cellStyleXfs>
  <cellXfs count="1443">
    <xf numFmtId="0" fontId="0" fillId="0" borderId="0" xfId="0"/>
    <xf numFmtId="0" fontId="0" fillId="0" borderId="0" xfId="0" applyAlignment="1">
      <alignment vertical="center"/>
    </xf>
    <xf numFmtId="49" fontId="4" fillId="0" borderId="2" xfId="0" applyNumberFormat="1" applyFont="1" applyBorder="1" applyAlignment="1">
      <alignment vertical="center"/>
    </xf>
    <xf numFmtId="49" fontId="4" fillId="0" borderId="3" xfId="0" applyNumberFormat="1" applyFont="1" applyBorder="1" applyAlignment="1">
      <alignment vertical="center"/>
    </xf>
    <xf numFmtId="49" fontId="4" fillId="0" borderId="4" xfId="0" applyNumberFormat="1" applyFont="1" applyBorder="1" applyAlignment="1">
      <alignment vertical="center"/>
    </xf>
    <xf numFmtId="0" fontId="4" fillId="0" borderId="1" xfId="0" applyFont="1" applyBorder="1" applyAlignment="1">
      <alignment vertical="center"/>
    </xf>
    <xf numFmtId="0" fontId="5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vertical="center"/>
    </xf>
    <xf numFmtId="0" fontId="6" fillId="3" borderId="2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vertical="center"/>
    </xf>
    <xf numFmtId="1" fontId="1" fillId="3" borderId="4" xfId="0" applyNumberFormat="1" applyFont="1" applyFill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1" fontId="1" fillId="2" borderId="1" xfId="0" applyNumberFormat="1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0" borderId="1" xfId="0" applyFont="1" applyBorder="1" applyAlignment="1">
      <alignment vertical="center"/>
    </xf>
    <xf numFmtId="1" fontId="1" fillId="0" borderId="1" xfId="0" applyNumberFormat="1" applyFont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left" vertical="center" wrapText="1"/>
    </xf>
    <xf numFmtId="1" fontId="1" fillId="2" borderId="4" xfId="0" applyNumberFormat="1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1" fontId="6" fillId="2" borderId="1" xfId="0" applyNumberFormat="1" applyFont="1" applyFill="1" applyBorder="1" applyAlignment="1">
      <alignment vertical="center"/>
    </xf>
    <xf numFmtId="0" fontId="9" fillId="0" borderId="5" xfId="0" applyFont="1" applyBorder="1" applyAlignment="1">
      <alignment horizontal="center" vertical="center" wrapText="1"/>
    </xf>
    <xf numFmtId="1" fontId="5" fillId="3" borderId="1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vertical="center"/>
    </xf>
    <xf numFmtId="1" fontId="5" fillId="3" borderId="2" xfId="0" applyNumberFormat="1" applyFont="1" applyFill="1" applyBorder="1" applyAlignment="1">
      <alignment horizontal="center" vertical="center"/>
    </xf>
    <xf numFmtId="1" fontId="10" fillId="2" borderId="1" xfId="0" applyNumberFormat="1" applyFont="1" applyFill="1" applyBorder="1" applyAlignment="1">
      <alignment vertical="center"/>
    </xf>
    <xf numFmtId="1" fontId="5" fillId="2" borderId="4" xfId="0" applyNumberFormat="1" applyFont="1" applyFill="1" applyBorder="1" applyAlignment="1">
      <alignment horizontal="center" vertical="center"/>
    </xf>
    <xf numFmtId="1" fontId="1" fillId="0" borderId="1" xfId="0" applyNumberFormat="1" applyFont="1" applyBorder="1" applyAlignment="1">
      <alignment vertical="center"/>
    </xf>
    <xf numFmtId="0" fontId="9" fillId="0" borderId="6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vertical="center"/>
    </xf>
    <xf numFmtId="1" fontId="6" fillId="2" borderId="2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1" fillId="2" borderId="3" xfId="0" applyFont="1" applyFill="1" applyBorder="1" applyAlignment="1">
      <alignment horizontal="center" vertical="center"/>
    </xf>
    <xf numFmtId="1" fontId="6" fillId="3" borderId="1" xfId="0" applyNumberFormat="1" applyFont="1" applyFill="1" applyBorder="1" applyAlignment="1">
      <alignment horizontal="center" vertical="center"/>
    </xf>
    <xf numFmtId="0" fontId="7" fillId="2" borderId="1" xfId="0" applyFont="1" applyFill="1" applyBorder="1" applyAlignment="1">
      <alignment vertical="center"/>
    </xf>
    <xf numFmtId="0" fontId="9" fillId="0" borderId="1" xfId="0" applyFont="1" applyBorder="1" applyAlignment="1">
      <alignment vertical="center" wrapText="1"/>
    </xf>
    <xf numFmtId="0" fontId="11" fillId="0" borderId="1" xfId="0" applyFont="1" applyBorder="1" applyAlignment="1">
      <alignment vertical="center"/>
    </xf>
    <xf numFmtId="1" fontId="7" fillId="2" borderId="2" xfId="0" applyNumberFormat="1" applyFont="1" applyFill="1" applyBorder="1" applyAlignment="1">
      <alignment horizontal="center" vertical="center"/>
    </xf>
    <xf numFmtId="0" fontId="6" fillId="2" borderId="3" xfId="0" applyFont="1" applyFill="1" applyBorder="1" applyAlignment="1">
      <alignment vertical="center"/>
    </xf>
    <xf numFmtId="0" fontId="6" fillId="2" borderId="4" xfId="0" applyFont="1" applyFill="1" applyBorder="1" applyAlignment="1">
      <alignment vertical="center"/>
    </xf>
    <xf numFmtId="2" fontId="6" fillId="2" borderId="1" xfId="0" applyNumberFormat="1" applyFont="1" applyFill="1" applyBorder="1" applyAlignment="1">
      <alignment vertical="center"/>
    </xf>
    <xf numFmtId="0" fontId="10" fillId="2" borderId="1" xfId="0" applyFont="1" applyFill="1" applyBorder="1" applyAlignment="1">
      <alignment vertical="center"/>
    </xf>
    <xf numFmtId="1" fontId="5" fillId="3" borderId="3" xfId="0" applyNumberFormat="1" applyFont="1" applyFill="1" applyBorder="1" applyAlignment="1">
      <alignment horizontal="center" vertical="center"/>
    </xf>
    <xf numFmtId="1" fontId="5" fillId="3" borderId="4" xfId="0" applyNumberFormat="1" applyFont="1" applyFill="1" applyBorder="1" applyAlignment="1">
      <alignment horizontal="center" vertical="center"/>
    </xf>
    <xf numFmtId="1" fontId="1" fillId="2" borderId="1" xfId="0" applyNumberFormat="1" applyFont="1" applyFill="1" applyBorder="1" applyAlignment="1">
      <alignment vertical="center"/>
    </xf>
    <xf numFmtId="0" fontId="1" fillId="3" borderId="1" xfId="0" applyFont="1" applyFill="1" applyBorder="1" applyAlignment="1">
      <alignment vertical="center"/>
    </xf>
    <xf numFmtId="0" fontId="7" fillId="2" borderId="2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vertical="center" wrapText="1"/>
    </xf>
    <xf numFmtId="1" fontId="12" fillId="2" borderId="3" xfId="0" applyNumberFormat="1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1" fontId="5" fillId="2" borderId="3" xfId="0" applyNumberFormat="1" applyFont="1" applyFill="1" applyBorder="1" applyAlignment="1">
      <alignment horizontal="center" vertical="center"/>
    </xf>
    <xf numFmtId="0" fontId="6" fillId="0" borderId="5" xfId="0" applyFont="1" applyBorder="1" applyAlignment="1">
      <alignment vertical="center"/>
    </xf>
    <xf numFmtId="0" fontId="6" fillId="2" borderId="2" xfId="0" applyFont="1" applyFill="1" applyBorder="1" applyAlignment="1">
      <alignment vertical="center"/>
    </xf>
    <xf numFmtId="0" fontId="5" fillId="2" borderId="3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 textRotation="90"/>
    </xf>
    <xf numFmtId="0" fontId="5" fillId="2" borderId="1" xfId="0" applyFont="1" applyFill="1" applyBorder="1" applyAlignment="1">
      <alignment horizontal="center" vertical="center"/>
    </xf>
    <xf numFmtId="1" fontId="5" fillId="0" borderId="1" xfId="0" applyNumberFormat="1" applyFont="1" applyBorder="1" applyAlignment="1">
      <alignment vertical="center"/>
    </xf>
    <xf numFmtId="1" fontId="4" fillId="0" borderId="1" xfId="0" applyNumberFormat="1" applyFont="1" applyBorder="1" applyAlignment="1">
      <alignment horizontal="center" vertical="center"/>
    </xf>
    <xf numFmtId="1" fontId="0" fillId="0" borderId="0" xfId="0" applyNumberFormat="1" applyAlignment="1">
      <alignment vertical="center"/>
    </xf>
    <xf numFmtId="0" fontId="5" fillId="0" borderId="1" xfId="0" applyFont="1" applyBorder="1" applyAlignment="1">
      <alignment horizontal="center" vertical="center" textRotation="90"/>
    </xf>
    <xf numFmtId="0" fontId="1" fillId="0" borderId="6" xfId="0" applyFont="1" applyBorder="1" applyAlignment="1">
      <alignment vertical="center"/>
    </xf>
    <xf numFmtId="1" fontId="1" fillId="2" borderId="3" xfId="0" applyNumberFormat="1" applyFont="1" applyFill="1" applyBorder="1" applyAlignment="1">
      <alignment horizontal="center" vertical="center"/>
    </xf>
    <xf numFmtId="1" fontId="4" fillId="4" borderId="1" xfId="0" applyNumberFormat="1" applyFont="1" applyFill="1" applyBorder="1" applyAlignment="1">
      <alignment horizontal="center" vertical="center"/>
    </xf>
    <xf numFmtId="1" fontId="6" fillId="0" borderId="1" xfId="0" applyNumberFormat="1" applyFont="1" applyBorder="1" applyAlignment="1">
      <alignment vertical="center"/>
    </xf>
    <xf numFmtId="0" fontId="6" fillId="0" borderId="6" xfId="0" applyFont="1" applyBorder="1" applyAlignment="1">
      <alignment vertical="center"/>
    </xf>
    <xf numFmtId="0" fontId="6" fillId="0" borderId="2" xfId="0" applyFont="1" applyBorder="1" applyAlignment="1">
      <alignment vertical="center"/>
    </xf>
    <xf numFmtId="0" fontId="1" fillId="0" borderId="4" xfId="0" applyFont="1" applyBorder="1" applyAlignment="1">
      <alignment vertical="center"/>
    </xf>
    <xf numFmtId="0" fontId="13" fillId="0" borderId="1" xfId="0" applyFont="1" applyBorder="1" applyAlignment="1">
      <alignment horizontal="justify" vertical="center" wrapText="1"/>
    </xf>
    <xf numFmtId="1" fontId="1" fillId="0" borderId="1" xfId="0" applyNumberFormat="1" applyFont="1" applyBorder="1" applyAlignment="1">
      <alignment horizontal="center" vertical="center" wrapText="1"/>
    </xf>
    <xf numFmtId="0" fontId="6" fillId="0" borderId="1" xfId="0" applyFont="1" applyBorder="1" applyAlignment="1">
      <alignment vertical="center" wrapText="1"/>
    </xf>
    <xf numFmtId="0" fontId="6" fillId="0" borderId="1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1" fontId="0" fillId="0" borderId="0" xfId="0" applyNumberFormat="1"/>
    <xf numFmtId="2" fontId="0" fillId="0" borderId="0" xfId="0" applyNumberFormat="1"/>
    <xf numFmtId="0" fontId="15" fillId="0" borderId="2" xfId="0" applyFont="1" applyBorder="1" applyAlignment="1" applyProtection="1">
      <protection locked="0"/>
    </xf>
    <xf numFmtId="0" fontId="16" fillId="0" borderId="3" xfId="0" applyFont="1" applyBorder="1" applyAlignment="1" applyProtection="1">
      <protection locked="0"/>
    </xf>
    <xf numFmtId="49" fontId="17" fillId="0" borderId="3" xfId="0" applyNumberFormat="1" applyFont="1" applyBorder="1" applyAlignment="1" applyProtection="1">
      <protection locked="0"/>
    </xf>
    <xf numFmtId="0" fontId="18" fillId="0" borderId="4" xfId="0" applyFont="1" applyBorder="1" applyAlignment="1" applyProtection="1">
      <protection locked="0"/>
    </xf>
    <xf numFmtId="0" fontId="20" fillId="0" borderId="1" xfId="0" applyFont="1" applyBorder="1" applyAlignment="1" applyProtection="1">
      <alignment horizontal="center"/>
      <protection locked="0"/>
    </xf>
    <xf numFmtId="0" fontId="5" fillId="0" borderId="1" xfId="0" applyFont="1" applyBorder="1" applyAlignment="1" applyProtection="1">
      <alignment horizontal="center"/>
      <protection locked="0"/>
    </xf>
    <xf numFmtId="0" fontId="5" fillId="2" borderId="1" xfId="0" applyFont="1" applyFill="1" applyBorder="1" applyAlignment="1" applyProtection="1">
      <alignment horizontal="center"/>
      <protection locked="0"/>
    </xf>
    <xf numFmtId="0" fontId="5" fillId="2" borderId="1" xfId="0" applyFont="1" applyFill="1" applyBorder="1" applyAlignment="1">
      <alignment horizontal="center"/>
    </xf>
    <xf numFmtId="0" fontId="10" fillId="2" borderId="1" xfId="0" applyFont="1" applyFill="1" applyBorder="1" applyAlignment="1" applyProtection="1">
      <alignment horizontal="center"/>
      <protection locked="0"/>
    </xf>
    <xf numFmtId="0" fontId="21" fillId="0" borderId="1" xfId="0" applyFont="1" applyBorder="1" applyAlignment="1" applyProtection="1">
      <alignment horizontal="center"/>
      <protection locked="0"/>
    </xf>
    <xf numFmtId="0" fontId="21" fillId="0" borderId="1" xfId="0" applyFont="1" applyBorder="1" applyProtection="1">
      <protection locked="0"/>
    </xf>
    <xf numFmtId="0" fontId="10" fillId="2" borderId="1" xfId="0" applyFont="1" applyFill="1" applyBorder="1" applyAlignment="1">
      <alignment horizontal="center"/>
    </xf>
    <xf numFmtId="164" fontId="21" fillId="2" borderId="1" xfId="0" applyNumberFormat="1" applyFont="1" applyFill="1" applyBorder="1"/>
    <xf numFmtId="0" fontId="21" fillId="0" borderId="1" xfId="0" applyFont="1" applyBorder="1" applyAlignment="1" applyProtection="1">
      <alignment horizontal="center" wrapText="1"/>
      <protection locked="0"/>
    </xf>
    <xf numFmtId="0" fontId="5" fillId="0" borderId="1" xfId="0" applyFont="1" applyBorder="1" applyAlignment="1" applyProtection="1">
      <alignment horizontal="center" wrapText="1"/>
      <protection locked="0"/>
    </xf>
    <xf numFmtId="0" fontId="5" fillId="2" borderId="1" xfId="0" applyFont="1" applyFill="1" applyBorder="1" applyAlignment="1" applyProtection="1">
      <alignment horizontal="center" wrapText="1"/>
      <protection locked="0"/>
    </xf>
    <xf numFmtId="0" fontId="21" fillId="2" borderId="1" xfId="0" applyFont="1" applyFill="1" applyBorder="1" applyAlignment="1">
      <alignment horizontal="center" wrapText="1"/>
    </xf>
    <xf numFmtId="0" fontId="22" fillId="0" borderId="1" xfId="0" applyFont="1" applyBorder="1" applyAlignment="1" applyProtection="1">
      <alignment horizontal="center" wrapText="1"/>
      <protection locked="0"/>
    </xf>
    <xf numFmtId="0" fontId="22" fillId="0" borderId="1" xfId="0" applyFont="1" applyBorder="1" applyAlignment="1" applyProtection="1">
      <alignment horizontal="left" wrapText="1"/>
      <protection locked="0"/>
    </xf>
    <xf numFmtId="2" fontId="23" fillId="2" borderId="1" xfId="0" applyNumberFormat="1" applyFont="1" applyFill="1" applyBorder="1" applyAlignment="1" applyProtection="1">
      <alignment horizontal="center" wrapText="1"/>
      <protection locked="0"/>
    </xf>
    <xf numFmtId="0" fontId="24" fillId="0" borderId="1" xfId="0" applyFont="1" applyBorder="1" applyAlignment="1" applyProtection="1">
      <alignment horizontal="center" wrapText="1"/>
      <protection locked="0"/>
    </xf>
    <xf numFmtId="0" fontId="24" fillId="0" borderId="1" xfId="0" applyFont="1" applyBorder="1" applyAlignment="1" applyProtection="1">
      <alignment horizontal="left" wrapText="1"/>
      <protection locked="0"/>
    </xf>
    <xf numFmtId="2" fontId="25" fillId="2" borderId="1" xfId="0" applyNumberFormat="1" applyFont="1" applyFill="1" applyBorder="1" applyAlignment="1" applyProtection="1">
      <alignment horizontal="center" wrapText="1"/>
      <protection locked="0"/>
    </xf>
    <xf numFmtId="2" fontId="25" fillId="2" borderId="1" xfId="0" applyNumberFormat="1" applyFont="1" applyFill="1" applyBorder="1" applyAlignment="1">
      <alignment horizontal="center" wrapText="1"/>
    </xf>
    <xf numFmtId="2" fontId="23" fillId="2" borderId="1" xfId="0" applyNumberFormat="1" applyFont="1" applyFill="1" applyBorder="1" applyAlignment="1">
      <alignment horizontal="center" wrapText="1"/>
    </xf>
    <xf numFmtId="2" fontId="23" fillId="2" borderId="1" xfId="0" applyNumberFormat="1" applyFont="1" applyFill="1" applyBorder="1" applyAlignment="1" applyProtection="1">
      <alignment horizontal="center" wrapText="1"/>
    </xf>
    <xf numFmtId="2" fontId="25" fillId="2" borderId="1" xfId="0" applyNumberFormat="1" applyFont="1" applyFill="1" applyBorder="1" applyAlignment="1" applyProtection="1">
      <alignment horizontal="center" wrapText="1"/>
    </xf>
    <xf numFmtId="2" fontId="23" fillId="2" borderId="1" xfId="0" applyNumberFormat="1" applyFont="1" applyFill="1" applyBorder="1" applyAlignment="1">
      <alignment horizontal="center"/>
    </xf>
    <xf numFmtId="2" fontId="25" fillId="0" borderId="1" xfId="0" applyNumberFormat="1" applyFont="1" applyBorder="1" applyAlignment="1">
      <alignment horizontal="center"/>
    </xf>
    <xf numFmtId="2" fontId="25" fillId="2" borderId="1" xfId="0" applyNumberFormat="1" applyFont="1" applyFill="1" applyBorder="1" applyAlignment="1">
      <alignment horizontal="center" vertical="center" wrapText="1"/>
    </xf>
    <xf numFmtId="0" fontId="4" fillId="0" borderId="1" xfId="0" applyFont="1" applyBorder="1" applyAlignment="1" applyProtection="1">
      <alignment horizontal="center" wrapText="1"/>
      <protection locked="0"/>
    </xf>
    <xf numFmtId="2" fontId="26" fillId="2" borderId="1" xfId="0" applyNumberFormat="1" applyFont="1" applyFill="1" applyBorder="1" applyAlignment="1" applyProtection="1">
      <alignment horizontal="center" wrapText="1"/>
      <protection locked="0"/>
    </xf>
    <xf numFmtId="2" fontId="26" fillId="2" borderId="1" xfId="0" applyNumberFormat="1" applyFont="1" applyFill="1" applyBorder="1" applyAlignment="1">
      <alignment horizontal="center" wrapText="1"/>
    </xf>
    <xf numFmtId="2" fontId="25" fillId="3" borderId="1" xfId="0" applyNumberFormat="1" applyFont="1" applyFill="1" applyBorder="1" applyAlignment="1">
      <alignment horizontal="center"/>
    </xf>
    <xf numFmtId="2" fontId="23" fillId="3" borderId="1" xfId="0" applyNumberFormat="1" applyFont="1" applyFill="1" applyBorder="1" applyAlignment="1" applyProtection="1">
      <alignment horizontal="center" wrapText="1"/>
      <protection locked="0"/>
    </xf>
    <xf numFmtId="0" fontId="27" fillId="0" borderId="1" xfId="0" applyFont="1" applyBorder="1" applyAlignment="1" applyProtection="1">
      <alignment horizontal="center" wrapText="1"/>
      <protection locked="0"/>
    </xf>
    <xf numFmtId="0" fontId="28" fillId="0" borderId="1" xfId="0" applyFont="1" applyBorder="1" applyAlignment="1" applyProtection="1">
      <alignment horizontal="center" wrapText="1"/>
      <protection locked="0"/>
    </xf>
    <xf numFmtId="2" fontId="25" fillId="2" borderId="1" xfId="0" applyNumberFormat="1" applyFont="1" applyFill="1" applyBorder="1" applyAlignment="1" applyProtection="1">
      <alignment horizontal="center"/>
      <protection locked="0"/>
    </xf>
    <xf numFmtId="0" fontId="29" fillId="0" borderId="1" xfId="0" applyFont="1" applyBorder="1" applyAlignment="1" applyProtection="1">
      <alignment horizontal="center" wrapText="1"/>
      <protection locked="0"/>
    </xf>
    <xf numFmtId="0" fontId="30" fillId="0" borderId="1" xfId="0" applyFont="1" applyBorder="1" applyAlignment="1" applyProtection="1">
      <alignment horizontal="center" wrapText="1"/>
      <protection locked="0"/>
    </xf>
    <xf numFmtId="2" fontId="26" fillId="2" borderId="1" xfId="0" applyNumberFormat="1" applyFont="1" applyFill="1" applyBorder="1" applyAlignment="1" applyProtection="1">
      <alignment horizontal="center" wrapText="1"/>
    </xf>
    <xf numFmtId="2" fontId="25" fillId="0" borderId="1" xfId="0" applyNumberFormat="1" applyFont="1" applyBorder="1" applyAlignment="1">
      <alignment horizontal="center" wrapText="1"/>
    </xf>
    <xf numFmtId="2" fontId="23" fillId="3" borderId="1" xfId="0" applyNumberFormat="1" applyFont="1" applyFill="1" applyBorder="1" applyAlignment="1">
      <alignment horizontal="center" wrapText="1"/>
    </xf>
    <xf numFmtId="2" fontId="25" fillId="3" borderId="1" xfId="0" applyNumberFormat="1" applyFont="1" applyFill="1" applyBorder="1" applyAlignment="1">
      <alignment horizontal="center" wrapText="1"/>
    </xf>
    <xf numFmtId="2" fontId="25" fillId="2" borderId="5" xfId="0" applyNumberFormat="1" applyFont="1" applyFill="1" applyBorder="1" applyAlignment="1" applyProtection="1">
      <alignment horizontal="center" wrapText="1"/>
    </xf>
    <xf numFmtId="0" fontId="0" fillId="0" borderId="1" xfId="0" applyBorder="1"/>
    <xf numFmtId="0" fontId="31" fillId="0" borderId="1" xfId="0" applyFont="1" applyBorder="1" applyAlignment="1" applyProtection="1">
      <alignment horizontal="center" wrapText="1"/>
      <protection locked="0"/>
    </xf>
    <xf numFmtId="0" fontId="0" fillId="5" borderId="0" xfId="0" applyFill="1" applyAlignment="1">
      <alignment horizontal="center" vertical="center"/>
    </xf>
    <xf numFmtId="0" fontId="0" fillId="0" borderId="0" xfId="0" applyAlignment="1">
      <alignment horizontal="center"/>
    </xf>
    <xf numFmtId="0" fontId="4" fillId="0" borderId="1" xfId="0" applyFont="1" applyBorder="1" applyAlignment="1">
      <alignment horizontal="center"/>
    </xf>
    <xf numFmtId="49" fontId="19" fillId="0" borderId="2" xfId="0" applyNumberFormat="1" applyFont="1" applyBorder="1" applyAlignment="1"/>
    <xf numFmtId="0" fontId="19" fillId="0" borderId="1" xfId="0" applyFont="1" applyBorder="1" applyAlignment="1">
      <alignment horizontal="center"/>
    </xf>
    <xf numFmtId="0" fontId="19" fillId="0" borderId="2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5" borderId="1" xfId="0" applyFont="1" applyFill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/>
    </xf>
    <xf numFmtId="0" fontId="5" fillId="5" borderId="7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left" vertical="center" wrapText="1"/>
    </xf>
    <xf numFmtId="14" fontId="32" fillId="0" borderId="1" xfId="0" applyNumberFormat="1" applyFont="1" applyBorder="1" applyAlignment="1">
      <alignment horizontal="center" vertical="center" wrapText="1"/>
    </xf>
    <xf numFmtId="14" fontId="32" fillId="5" borderId="1" xfId="0" applyNumberFormat="1" applyFont="1" applyFill="1" applyBorder="1" applyAlignment="1">
      <alignment horizontal="center" vertical="center" wrapText="1"/>
    </xf>
    <xf numFmtId="1" fontId="0" fillId="0" borderId="1" xfId="0" applyNumberFormat="1" applyBorder="1"/>
    <xf numFmtId="164" fontId="0" fillId="0" borderId="1" xfId="0" applyNumberFormat="1" applyBorder="1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6" xfId="0" applyBorder="1"/>
    <xf numFmtId="0" fontId="1" fillId="3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 vertical="center"/>
    </xf>
    <xf numFmtId="0" fontId="1" fillId="0" borderId="10" xfId="0" applyFont="1" applyBorder="1" applyAlignment="1">
      <alignment horizontal="center"/>
    </xf>
    <xf numFmtId="1" fontId="1" fillId="3" borderId="1" xfId="0" applyNumberFormat="1" applyFont="1" applyFill="1" applyBorder="1" applyAlignment="1">
      <alignment horizontal="center"/>
    </xf>
    <xf numFmtId="1" fontId="1" fillId="0" borderId="1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164" fontId="0" fillId="0" borderId="0" xfId="0" applyNumberFormat="1"/>
    <xf numFmtId="0" fontId="5" fillId="4" borderId="1" xfId="0" applyFont="1" applyFill="1" applyBorder="1"/>
    <xf numFmtId="0" fontId="1" fillId="4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5" fillId="0" borderId="1" xfId="0" applyFont="1" applyBorder="1" applyAlignment="1">
      <alignment horizontal="left"/>
    </xf>
    <xf numFmtId="0" fontId="33" fillId="0" borderId="1" xfId="0" applyFont="1" applyBorder="1" applyAlignment="1">
      <alignment horizontal="center"/>
    </xf>
    <xf numFmtId="0" fontId="34" fillId="0" borderId="1" xfId="0" applyFont="1" applyBorder="1"/>
    <xf numFmtId="0" fontId="35" fillId="0" borderId="1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10" fontId="0" fillId="0" borderId="0" xfId="0" applyNumberFormat="1"/>
    <xf numFmtId="0" fontId="0" fillId="0" borderId="1" xfId="0" applyFont="1" applyBorder="1" applyAlignment="1">
      <alignment horizontal="center" vertical="center"/>
    </xf>
    <xf numFmtId="0" fontId="1" fillId="0" borderId="6" xfId="0" applyFont="1" applyBorder="1"/>
    <xf numFmtId="0" fontId="1" fillId="0" borderId="6" xfId="0" applyFont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6" xfId="0" applyBorder="1" applyAlignment="1"/>
    <xf numFmtId="1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Border="1" applyAlignment="1"/>
    <xf numFmtId="0" fontId="0" fillId="0" borderId="5" xfId="0" applyBorder="1" applyAlignment="1">
      <alignment horizontal="center"/>
    </xf>
    <xf numFmtId="0" fontId="0" fillId="2" borderId="1" xfId="0" applyFill="1" applyBorder="1" applyAlignment="1">
      <alignment horizontal="center"/>
    </xf>
    <xf numFmtId="1" fontId="0" fillId="0" borderId="5" xfId="0" applyNumberFormat="1" applyBorder="1" applyAlignment="1">
      <alignment horizontal="center"/>
    </xf>
    <xf numFmtId="0" fontId="36" fillId="2" borderId="1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5" fillId="2" borderId="0" xfId="0" applyFont="1" applyFill="1" applyBorder="1" applyAlignment="1">
      <alignment horizontal="center"/>
    </xf>
    <xf numFmtId="0" fontId="1" fillId="2" borderId="0" xfId="0" applyFont="1" applyFill="1" applyBorder="1" applyAlignment="1">
      <alignment horizontal="center"/>
    </xf>
    <xf numFmtId="0" fontId="1" fillId="2" borderId="1" xfId="0" applyFont="1" applyFill="1" applyBorder="1"/>
    <xf numFmtId="0" fontId="10" fillId="6" borderId="1" xfId="0" applyFont="1" applyFill="1" applyBorder="1"/>
    <xf numFmtId="0" fontId="10" fillId="6" borderId="1" xfId="0" applyFont="1" applyFill="1" applyBorder="1" applyAlignment="1">
      <alignment horizontal="center"/>
    </xf>
    <xf numFmtId="0" fontId="25" fillId="6" borderId="1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center"/>
    </xf>
    <xf numFmtId="0" fontId="0" fillId="0" borderId="5" xfId="0" applyBorder="1"/>
    <xf numFmtId="0" fontId="5" fillId="2" borderId="1" xfId="0" applyFont="1" applyFill="1" applyBorder="1"/>
    <xf numFmtId="0" fontId="23" fillId="2" borderId="1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0" fontId="0" fillId="3" borderId="0" xfId="0" applyFill="1"/>
    <xf numFmtId="0" fontId="0" fillId="2" borderId="1" xfId="0" applyFill="1" applyBorder="1"/>
    <xf numFmtId="0" fontId="5" fillId="6" borderId="1" xfId="0" applyFont="1" applyFill="1" applyBorder="1"/>
    <xf numFmtId="0" fontId="1" fillId="6" borderId="1" xfId="0" applyFont="1" applyFill="1" applyBorder="1" applyAlignment="1">
      <alignment horizontal="center"/>
    </xf>
    <xf numFmtId="0" fontId="23" fillId="6" borderId="1" xfId="0" applyFont="1" applyFill="1" applyBorder="1" applyAlignment="1">
      <alignment horizontal="center"/>
    </xf>
    <xf numFmtId="0" fontId="0" fillId="0" borderId="5" xfId="0" applyBorder="1" applyAlignment="1">
      <alignment horizontal="center" vertical="center"/>
    </xf>
    <xf numFmtId="0" fontId="5" fillId="0" borderId="1" xfId="0" applyFont="1" applyBorder="1"/>
    <xf numFmtId="10" fontId="5" fillId="0" borderId="1" xfId="2" applyNumberFormat="1" applyFont="1" applyBorder="1" applyAlignment="1" applyProtection="1">
      <alignment horizontal="center"/>
    </xf>
    <xf numFmtId="1" fontId="1" fillId="5" borderId="1" xfId="0" applyNumberFormat="1" applyFont="1" applyFill="1" applyBorder="1" applyAlignment="1">
      <alignment horizontal="center" vertical="center"/>
    </xf>
    <xf numFmtId="1" fontId="37" fillId="0" borderId="1" xfId="0" applyNumberFormat="1" applyFont="1" applyBorder="1" applyAlignment="1">
      <alignment horizontal="center"/>
    </xf>
    <xf numFmtId="0" fontId="5" fillId="2" borderId="2" xfId="0" applyFont="1" applyFill="1" applyBorder="1" applyAlignment="1">
      <alignment horizontal="center"/>
    </xf>
    <xf numFmtId="1" fontId="4" fillId="0" borderId="1" xfId="0" applyNumberFormat="1" applyFont="1" applyBorder="1" applyAlignment="1">
      <alignment horizontal="center"/>
    </xf>
    <xf numFmtId="10" fontId="1" fillId="0" borderId="2" xfId="2" applyNumberFormat="1" applyFont="1" applyBorder="1" applyAlignment="1" applyProtection="1">
      <alignment horizontal="center"/>
    </xf>
    <xf numFmtId="9" fontId="1" fillId="0" borderId="2" xfId="2" applyFont="1" applyBorder="1" applyAlignment="1" applyProtection="1">
      <alignment horizontal="center"/>
    </xf>
    <xf numFmtId="0" fontId="0" fillId="0" borderId="1" xfId="0" applyFont="1" applyBorder="1" applyAlignment="1">
      <alignment vertical="center"/>
    </xf>
    <xf numFmtId="0" fontId="0" fillId="0" borderId="1" xfId="0" applyBorder="1" applyAlignment="1">
      <alignment horizontal="left" vertical="center"/>
    </xf>
    <xf numFmtId="0" fontId="10" fillId="4" borderId="1" xfId="0" applyFont="1" applyFill="1" applyBorder="1"/>
    <xf numFmtId="0" fontId="10" fillId="4" borderId="1" xfId="0" applyFont="1" applyFill="1" applyBorder="1" applyAlignment="1">
      <alignment horizontal="center"/>
    </xf>
    <xf numFmtId="165" fontId="10" fillId="2" borderId="1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10" fontId="5" fillId="0" borderId="2" xfId="2" applyNumberFormat="1" applyFont="1" applyBorder="1" applyAlignment="1" applyProtection="1">
      <alignment horizontal="center"/>
    </xf>
    <xf numFmtId="1" fontId="0" fillId="0" borderId="0" xfId="0" applyNumberFormat="1" applyAlignment="1">
      <alignment horizontal="center"/>
    </xf>
    <xf numFmtId="0" fontId="38" fillId="0" borderId="7" xfId="0" applyFont="1" applyBorder="1" applyAlignment="1">
      <alignment horizontal="right" vertical="center" textRotation="90" wrapText="1"/>
    </xf>
    <xf numFmtId="0" fontId="38" fillId="0" borderId="6" xfId="0" applyFont="1" applyBorder="1" applyAlignment="1">
      <alignment horizontal="right" vertical="center" textRotation="90" wrapText="1"/>
    </xf>
    <xf numFmtId="0" fontId="1" fillId="2" borderId="2" xfId="0" applyFont="1" applyFill="1" applyBorder="1" applyAlignment="1">
      <alignment horizontal="center"/>
    </xf>
    <xf numFmtId="0" fontId="4" fillId="0" borderId="2" xfId="0" applyFont="1" applyBorder="1" applyAlignment="1"/>
    <xf numFmtId="0" fontId="19" fillId="0" borderId="3" xfId="0" applyFont="1" applyBorder="1" applyAlignment="1"/>
    <xf numFmtId="0" fontId="19" fillId="5" borderId="3" xfId="0" applyFont="1" applyFill="1" applyBorder="1" applyAlignment="1">
      <alignment horizontal="center" vertical="center"/>
    </xf>
    <xf numFmtId="49" fontId="4" fillId="0" borderId="3" xfId="0" applyNumberFormat="1" applyFont="1" applyBorder="1" applyAlignment="1"/>
    <xf numFmtId="49" fontId="5" fillId="0" borderId="1" xfId="0" applyNumberFormat="1" applyFont="1" applyBorder="1" applyAlignment="1">
      <alignment horizontal="center"/>
    </xf>
    <xf numFmtId="0" fontId="5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left"/>
    </xf>
    <xf numFmtId="0" fontId="1" fillId="0" borderId="1" xfId="0" applyFont="1" applyBorder="1" applyAlignment="1">
      <alignment horizontal="left" vertical="center"/>
    </xf>
    <xf numFmtId="0" fontId="1" fillId="0" borderId="2" xfId="0" applyFont="1" applyBorder="1" applyAlignment="1">
      <alignment horizontal="left" vertical="center"/>
    </xf>
    <xf numFmtId="0" fontId="1" fillId="0" borderId="2" xfId="0" applyFont="1" applyBorder="1" applyAlignment="1">
      <alignment horizontal="left"/>
    </xf>
    <xf numFmtId="0" fontId="6" fillId="0" borderId="1" xfId="0" applyFont="1" applyBorder="1" applyAlignment="1">
      <alignment horizontal="left"/>
    </xf>
    <xf numFmtId="0" fontId="1" fillId="0" borderId="2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left"/>
    </xf>
    <xf numFmtId="0" fontId="5" fillId="2" borderId="1" xfId="0" applyFont="1" applyFill="1" applyBorder="1" applyAlignment="1">
      <alignment horizontal="left"/>
    </xf>
    <xf numFmtId="1" fontId="1" fillId="0" borderId="2" xfId="0" applyNumberFormat="1" applyFont="1" applyBorder="1" applyAlignment="1">
      <alignment horizontal="left"/>
    </xf>
    <xf numFmtId="0" fontId="1" fillId="2" borderId="1" xfId="0" applyFont="1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2" fontId="31" fillId="0" borderId="1" xfId="0" applyNumberFormat="1" applyFont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1" fontId="33" fillId="0" borderId="1" xfId="0" applyNumberFormat="1" applyFon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2" fontId="1" fillId="2" borderId="1" xfId="0" applyNumberFormat="1" applyFont="1" applyFill="1" applyBorder="1" applyAlignment="1">
      <alignment horizontal="center"/>
    </xf>
    <xf numFmtId="0" fontId="0" fillId="0" borderId="1" xfId="0" applyFont="1" applyBorder="1" applyAlignment="1">
      <alignment horizontal="left"/>
    </xf>
    <xf numFmtId="2" fontId="1" fillId="0" borderId="1" xfId="0" applyNumberFormat="1" applyFont="1" applyBorder="1" applyAlignment="1">
      <alignment horizontal="center"/>
    </xf>
    <xf numFmtId="0" fontId="5" fillId="7" borderId="1" xfId="0" applyFont="1" applyFill="1" applyBorder="1" applyAlignment="1">
      <alignment horizontal="left"/>
    </xf>
    <xf numFmtId="0" fontId="1" fillId="8" borderId="1" xfId="0" applyFont="1" applyFill="1" applyBorder="1" applyAlignment="1">
      <alignment horizontal="center"/>
    </xf>
    <xf numFmtId="0" fontId="5" fillId="7" borderId="1" xfId="0" applyFont="1" applyFill="1" applyBorder="1" applyAlignment="1">
      <alignment horizontal="center"/>
    </xf>
    <xf numFmtId="0" fontId="0" fillId="0" borderId="0" xfId="0" applyBorder="1" applyAlignment="1"/>
    <xf numFmtId="0" fontId="0" fillId="0" borderId="0" xfId="0" applyBorder="1" applyAlignment="1">
      <alignment vertical="center"/>
    </xf>
    <xf numFmtId="0" fontId="0" fillId="0" borderId="0" xfId="0" applyBorder="1"/>
    <xf numFmtId="0" fontId="6" fillId="0" borderId="1" xfId="0" applyFont="1" applyBorder="1"/>
    <xf numFmtId="2" fontId="35" fillId="0" borderId="1" xfId="0" applyNumberFormat="1" applyFont="1" applyBorder="1" applyAlignment="1">
      <alignment horizontal="left"/>
    </xf>
    <xf numFmtId="1" fontId="1" fillId="2" borderId="1" xfId="0" applyNumberFormat="1" applyFont="1" applyFill="1" applyBorder="1" applyAlignment="1">
      <alignment horizontal="left"/>
    </xf>
    <xf numFmtId="165" fontId="35" fillId="0" borderId="1" xfId="0" applyNumberFormat="1" applyFont="1" applyBorder="1" applyAlignment="1">
      <alignment horizontal="left"/>
    </xf>
    <xf numFmtId="167" fontId="1" fillId="2" borderId="1" xfId="0" applyNumberFormat="1" applyFont="1" applyFill="1" applyBorder="1" applyAlignment="1">
      <alignment horizontal="left"/>
    </xf>
    <xf numFmtId="165" fontId="1" fillId="2" borderId="1" xfId="0" applyNumberFormat="1" applyFont="1" applyFill="1" applyBorder="1" applyAlignment="1">
      <alignment horizontal="center"/>
    </xf>
    <xf numFmtId="2" fontId="1" fillId="2" borderId="3" xfId="0" applyNumberFormat="1" applyFont="1" applyFill="1" applyBorder="1" applyAlignment="1">
      <alignment horizontal="center"/>
    </xf>
    <xf numFmtId="165" fontId="0" fillId="0" borderId="1" xfId="0" applyNumberFormat="1" applyBorder="1"/>
    <xf numFmtId="2" fontId="0" fillId="0" borderId="1" xfId="0" applyNumberFormat="1" applyBorder="1" applyAlignment="1">
      <alignment horizontal="center"/>
    </xf>
    <xf numFmtId="0" fontId="5" fillId="6" borderId="1" xfId="0" applyFont="1" applyFill="1" applyBorder="1" applyAlignment="1">
      <alignment horizontal="left"/>
    </xf>
    <xf numFmtId="0" fontId="1" fillId="6" borderId="1" xfId="0" applyFont="1" applyFill="1" applyBorder="1" applyAlignment="1">
      <alignment horizontal="left"/>
    </xf>
    <xf numFmtId="165" fontId="5" fillId="2" borderId="1" xfId="0" applyNumberFormat="1" applyFont="1" applyFill="1" applyBorder="1" applyAlignment="1">
      <alignment horizontal="center"/>
    </xf>
    <xf numFmtId="0" fontId="5" fillId="2" borderId="6" xfId="0" applyFont="1" applyFill="1" applyBorder="1" applyAlignment="1">
      <alignment horizontal="left"/>
    </xf>
    <xf numFmtId="0" fontId="5" fillId="5" borderId="6" xfId="0" applyFont="1" applyFill="1" applyBorder="1" applyAlignment="1">
      <alignment horizontal="center" vertical="center"/>
    </xf>
    <xf numFmtId="1" fontId="4" fillId="2" borderId="6" xfId="0" applyNumberFormat="1" applyFont="1" applyFill="1" applyBorder="1" applyAlignment="1">
      <alignment horizontal="center"/>
    </xf>
    <xf numFmtId="10" fontId="5" fillId="2" borderId="6" xfId="2" applyNumberFormat="1" applyFont="1" applyFill="1" applyBorder="1" applyAlignment="1" applyProtection="1">
      <alignment horizontal="center"/>
    </xf>
    <xf numFmtId="0" fontId="5" fillId="2" borderId="0" xfId="2" applyNumberFormat="1" applyFont="1" applyFill="1" applyBorder="1" applyAlignment="1" applyProtection="1">
      <alignment horizontal="center"/>
    </xf>
    <xf numFmtId="2" fontId="1" fillId="0" borderId="1" xfId="0" applyNumberFormat="1" applyFont="1" applyBorder="1" applyAlignment="1">
      <alignment horizontal="left"/>
    </xf>
    <xf numFmtId="1" fontId="35" fillId="2" borderId="1" xfId="0" applyNumberFormat="1" applyFont="1" applyFill="1" applyBorder="1" applyAlignment="1">
      <alignment horizontal="center"/>
    </xf>
    <xf numFmtId="0" fontId="5" fillId="2" borderId="0" xfId="0" applyFont="1" applyFill="1" applyBorder="1" applyAlignment="1">
      <alignment horizontal="left"/>
    </xf>
    <xf numFmtId="1" fontId="4" fillId="2" borderId="1" xfId="0" applyNumberFormat="1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1" xfId="0" applyFont="1" applyBorder="1" applyAlignment="1">
      <alignment horizontal="left"/>
    </xf>
    <xf numFmtId="0" fontId="4" fillId="5" borderId="1" xfId="0" applyFont="1" applyFill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/>
    </xf>
    <xf numFmtId="0" fontId="5" fillId="0" borderId="0" xfId="0" applyFont="1" applyBorder="1" applyAlignment="1">
      <alignment horizontal="left" vertical="center" wrapText="1"/>
    </xf>
    <xf numFmtId="0" fontId="4" fillId="0" borderId="0" xfId="0" applyFont="1" applyBorder="1" applyAlignment="1">
      <alignment horizontal="left" vertical="center" wrapText="1"/>
    </xf>
    <xf numFmtId="0" fontId="5" fillId="5" borderId="1" xfId="0" applyFont="1" applyFill="1" applyBorder="1" applyAlignment="1">
      <alignment horizontal="center" vertical="center" wrapText="1"/>
    </xf>
    <xf numFmtId="0" fontId="37" fillId="0" borderId="0" xfId="0" applyFont="1" applyBorder="1"/>
    <xf numFmtId="0" fontId="1" fillId="0" borderId="0" xfId="0" applyFont="1" applyBorder="1"/>
    <xf numFmtId="0" fontId="39" fillId="0" borderId="0" xfId="0" applyFont="1" applyBorder="1" applyAlignment="1">
      <alignment vertical="top" wrapText="1"/>
    </xf>
    <xf numFmtId="0" fontId="0" fillId="5" borderId="1" xfId="0" applyFill="1" applyBorder="1" applyAlignment="1">
      <alignment horizontal="center" vertical="center"/>
    </xf>
    <xf numFmtId="0" fontId="1" fillId="0" borderId="5" xfId="0" applyFont="1" applyBorder="1"/>
    <xf numFmtId="0" fontId="0" fillId="2" borderId="1" xfId="0" applyFill="1" applyBorder="1" applyAlignment="1">
      <alignment horizontal="center" vertical="center"/>
    </xf>
    <xf numFmtId="0" fontId="0" fillId="0" borderId="5" xfId="0" applyBorder="1" applyAlignment="1">
      <alignment vertical="top" wrapText="1"/>
    </xf>
    <xf numFmtId="0" fontId="0" fillId="2" borderId="11" xfId="0" applyFill="1" applyBorder="1" applyAlignment="1">
      <alignment vertical="top" wrapText="1"/>
    </xf>
    <xf numFmtId="0" fontId="40" fillId="0" borderId="1" xfId="0" applyFont="1" applyBorder="1" applyAlignment="1">
      <alignment horizontal="center"/>
    </xf>
    <xf numFmtId="0" fontId="0" fillId="0" borderId="6" xfId="0" applyBorder="1" applyAlignment="1">
      <alignment vertical="top" wrapText="1"/>
    </xf>
    <xf numFmtId="0" fontId="1" fillId="0" borderId="0" xfId="0" applyFont="1" applyBorder="1" applyAlignment="1">
      <alignment horizontal="center"/>
    </xf>
    <xf numFmtId="0" fontId="41" fillId="2" borderId="1" xfId="0" applyFont="1" applyFill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0" fontId="1" fillId="5" borderId="1" xfId="0" applyFont="1" applyFill="1" applyBorder="1" applyAlignment="1">
      <alignment horizontal="center"/>
    </xf>
    <xf numFmtId="0" fontId="1" fillId="6" borderId="0" xfId="0" applyFont="1" applyFill="1" applyBorder="1" applyAlignment="1">
      <alignment horizontal="center"/>
    </xf>
    <xf numFmtId="0" fontId="1" fillId="4" borderId="1" xfId="0" applyFont="1" applyFill="1" applyBorder="1"/>
    <xf numFmtId="0" fontId="1" fillId="6" borderId="1" xfId="0" applyFont="1" applyFill="1" applyBorder="1"/>
    <xf numFmtId="1" fontId="41" fillId="2" borderId="1" xfId="0" applyNumberFormat="1" applyFont="1" applyFill="1" applyBorder="1" applyAlignment="1">
      <alignment horizontal="center"/>
    </xf>
    <xf numFmtId="1" fontId="1" fillId="2" borderId="3" xfId="0" applyNumberFormat="1" applyFont="1" applyFill="1" applyBorder="1" applyAlignment="1">
      <alignment horizontal="center"/>
    </xf>
    <xf numFmtId="168" fontId="1" fillId="0" borderId="0" xfId="2" applyNumberFormat="1" applyFont="1" applyBorder="1" applyAlignment="1" applyProtection="1">
      <alignment horizontal="center"/>
    </xf>
    <xf numFmtId="1" fontId="42" fillId="2" borderId="1" xfId="0" applyNumberFormat="1" applyFont="1" applyFill="1" applyBorder="1"/>
    <xf numFmtId="0" fontId="5" fillId="0" borderId="11" xfId="0" applyFont="1" applyBorder="1" applyAlignment="1">
      <alignment horizontal="right" vertical="center" textRotation="90" wrapText="1"/>
    </xf>
    <xf numFmtId="0" fontId="5" fillId="0" borderId="6" xfId="0" applyFont="1" applyBorder="1" applyAlignment="1">
      <alignment horizontal="right" vertical="center" textRotation="90" wrapText="1"/>
    </xf>
    <xf numFmtId="0" fontId="1" fillId="4" borderId="0" xfId="0" applyFont="1" applyFill="1" applyBorder="1"/>
    <xf numFmtId="1" fontId="0" fillId="5" borderId="0" xfId="0" applyNumberFormat="1" applyFill="1" applyAlignment="1">
      <alignment horizontal="center" vertical="center"/>
    </xf>
    <xf numFmtId="1" fontId="0" fillId="4" borderId="0" xfId="0" applyNumberFormat="1" applyFill="1"/>
    <xf numFmtId="1" fontId="21" fillId="0" borderId="0" xfId="0" applyNumberFormat="1" applyFont="1"/>
    <xf numFmtId="1" fontId="5" fillId="0" borderId="4" xfId="0" applyNumberFormat="1" applyFont="1" applyBorder="1" applyAlignment="1">
      <alignment horizontal="right"/>
    </xf>
    <xf numFmtId="1" fontId="42" fillId="3" borderId="0" xfId="0" applyNumberFormat="1" applyFont="1" applyFill="1"/>
    <xf numFmtId="1" fontId="5" fillId="0" borderId="1" xfId="0" applyNumberFormat="1" applyFont="1" applyBorder="1" applyAlignment="1">
      <alignment horizontal="center"/>
    </xf>
    <xf numFmtId="2" fontId="0" fillId="0" borderId="1" xfId="0" applyNumberFormat="1" applyBorder="1"/>
    <xf numFmtId="0" fontId="0" fillId="0" borderId="1" xfId="0" applyBorder="1"/>
    <xf numFmtId="20" fontId="0" fillId="0" borderId="1" xfId="0" applyNumberFormat="1" applyBorder="1"/>
    <xf numFmtId="0" fontId="0" fillId="0" borderId="0" xfId="0" applyAlignment="1">
      <alignment horizontal="left"/>
    </xf>
    <xf numFmtId="0" fontId="19" fillId="0" borderId="1" xfId="0" applyFont="1" applyBorder="1" applyAlignment="1">
      <alignment vertical="top"/>
    </xf>
    <xf numFmtId="0" fontId="19" fillId="0" borderId="0" xfId="0" applyFont="1" applyBorder="1" applyAlignment="1">
      <alignment horizontal="center"/>
    </xf>
    <xf numFmtId="0" fontId="4" fillId="0" borderId="1" xfId="0" applyFont="1" applyBorder="1" applyAlignment="1"/>
    <xf numFmtId="0" fontId="5" fillId="0" borderId="0" xfId="0" applyFont="1" applyBorder="1" applyAlignment="1">
      <alignment horizontal="left"/>
    </xf>
    <xf numFmtId="0" fontId="30" fillId="0" borderId="1" xfId="0" applyFont="1" applyBorder="1" applyAlignment="1">
      <alignment horizontal="center" vertical="center" wrapText="1"/>
    </xf>
    <xf numFmtId="0" fontId="30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center" vertical="center" wrapText="1"/>
    </xf>
    <xf numFmtId="0" fontId="10" fillId="0" borderId="1" xfId="0" applyFont="1" applyBorder="1"/>
    <xf numFmtId="0" fontId="0" fillId="0" borderId="1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4" fontId="1" fillId="2" borderId="1" xfId="0" applyNumberFormat="1" applyFont="1" applyFill="1" applyBorder="1" applyAlignment="1">
      <alignment horizontal="center"/>
    </xf>
    <xf numFmtId="14" fontId="1" fillId="0" borderId="1" xfId="0" applyNumberFormat="1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0" fontId="0" fillId="9" borderId="1" xfId="0" applyFill="1" applyBorder="1" applyAlignment="1">
      <alignment horizontal="center"/>
    </xf>
    <xf numFmtId="0" fontId="31" fillId="0" borderId="1" xfId="0" applyFont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1" fontId="12" fillId="0" borderId="1" xfId="0" applyNumberFormat="1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30" fillId="2" borderId="1" xfId="0" applyFont="1" applyFill="1" applyBorder="1"/>
    <xf numFmtId="165" fontId="5" fillId="3" borderId="1" xfId="0" applyNumberFormat="1" applyFont="1" applyFill="1" applyBorder="1" applyAlignment="1">
      <alignment horizontal="center"/>
    </xf>
    <xf numFmtId="0" fontId="43" fillId="0" borderId="4" xfId="0" applyFont="1" applyBorder="1" applyAlignment="1">
      <alignment horizontal="center"/>
    </xf>
    <xf numFmtId="0" fontId="9" fillId="2" borderId="1" xfId="0" applyFont="1" applyFill="1" applyBorder="1"/>
    <xf numFmtId="0" fontId="41" fillId="9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44" fillId="3" borderId="1" xfId="0" applyFont="1" applyFill="1" applyBorder="1" applyAlignment="1">
      <alignment horizontal="left"/>
    </xf>
    <xf numFmtId="0" fontId="36" fillId="3" borderId="1" xfId="0" applyFont="1" applyFill="1" applyBorder="1" applyAlignment="1">
      <alignment horizontal="left"/>
    </xf>
    <xf numFmtId="2" fontId="36" fillId="3" borderId="1" xfId="0" applyNumberFormat="1" applyFont="1" applyFill="1" applyBorder="1" applyAlignment="1">
      <alignment horizontal="center"/>
    </xf>
    <xf numFmtId="1" fontId="5" fillId="2" borderId="1" xfId="0" applyNumberFormat="1" applyFont="1" applyFill="1" applyBorder="1" applyAlignment="1">
      <alignment horizontal="center"/>
    </xf>
    <xf numFmtId="0" fontId="43" fillId="0" borderId="7" xfId="0" applyFont="1" applyBorder="1" applyAlignment="1">
      <alignment horizontal="center"/>
    </xf>
    <xf numFmtId="0" fontId="45" fillId="0" borderId="4" xfId="0" applyFont="1" applyBorder="1" applyAlignment="1">
      <alignment horizontal="center"/>
    </xf>
    <xf numFmtId="0" fontId="36" fillId="0" borderId="1" xfId="0" applyFont="1" applyBorder="1" applyAlignment="1">
      <alignment horizontal="left"/>
    </xf>
    <xf numFmtId="1" fontId="41" fillId="9" borderId="1" xfId="0" applyNumberFormat="1" applyFont="1" applyFill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46" fillId="0" borderId="4" xfId="0" applyFont="1" applyBorder="1" applyAlignment="1">
      <alignment horizontal="center"/>
    </xf>
    <xf numFmtId="0" fontId="30" fillId="0" borderId="1" xfId="0" applyFont="1" applyBorder="1"/>
    <xf numFmtId="0" fontId="41" fillId="3" borderId="1" xfId="0" applyFont="1" applyFill="1" applyBorder="1" applyAlignment="1">
      <alignment horizontal="center"/>
    </xf>
    <xf numFmtId="1" fontId="41" fillId="3" borderId="1" xfId="0" applyNumberFormat="1" applyFont="1" applyFill="1" applyBorder="1" applyAlignment="1">
      <alignment horizontal="center"/>
    </xf>
    <xf numFmtId="0" fontId="9" fillId="0" borderId="1" xfId="0" applyFont="1" applyBorder="1"/>
    <xf numFmtId="0" fontId="9" fillId="0" borderId="4" xfId="0" applyFont="1" applyBorder="1" applyAlignment="1">
      <alignment horizontal="center"/>
    </xf>
    <xf numFmtId="165" fontId="1" fillId="0" borderId="1" xfId="0" applyNumberFormat="1" applyFont="1" applyBorder="1" applyAlignment="1">
      <alignment horizontal="center"/>
    </xf>
    <xf numFmtId="1" fontId="1" fillId="0" borderId="4" xfId="0" applyNumberFormat="1" applyFont="1" applyBorder="1" applyAlignment="1">
      <alignment horizontal="center"/>
    </xf>
    <xf numFmtId="0" fontId="47" fillId="0" borderId="4" xfId="0" applyFont="1" applyBorder="1" applyAlignment="1">
      <alignment horizontal="center"/>
    </xf>
    <xf numFmtId="2" fontId="36" fillId="3" borderId="1" xfId="0" applyNumberFormat="1" applyFont="1" applyFill="1" applyBorder="1" applyAlignment="1">
      <alignment horizontal="center" vertical="center"/>
    </xf>
    <xf numFmtId="1" fontId="21" fillId="0" borderId="1" xfId="0" applyNumberFormat="1" applyFont="1" applyBorder="1" applyAlignment="1">
      <alignment horizontal="center"/>
    </xf>
    <xf numFmtId="0" fontId="48" fillId="0" borderId="4" xfId="0" applyFont="1" applyBorder="1" applyAlignment="1">
      <alignment horizontal="center"/>
    </xf>
    <xf numFmtId="0" fontId="49" fillId="0" borderId="1" xfId="0" applyFont="1" applyBorder="1" applyAlignment="1">
      <alignment vertical="top" wrapText="1"/>
    </xf>
    <xf numFmtId="0" fontId="9" fillId="0" borderId="1" xfId="0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1" xfId="0" applyFont="1" applyBorder="1" applyAlignment="1">
      <alignment horizontal="left"/>
    </xf>
    <xf numFmtId="2" fontId="5" fillId="0" borderId="1" xfId="0" applyNumberFormat="1" applyFont="1" applyBorder="1" applyAlignment="1">
      <alignment horizontal="center"/>
    </xf>
    <xf numFmtId="0" fontId="50" fillId="0" borderId="4" xfId="0" applyFont="1" applyBorder="1" applyAlignment="1">
      <alignment horizontal="center"/>
    </xf>
    <xf numFmtId="0" fontId="21" fillId="0" borderId="1" xfId="0" applyFont="1" applyBorder="1" applyAlignment="1">
      <alignment horizontal="left"/>
    </xf>
    <xf numFmtId="0" fontId="12" fillId="0" borderId="1" xfId="0" applyFont="1" applyBorder="1" applyAlignment="1">
      <alignment horizontal="center"/>
    </xf>
    <xf numFmtId="0" fontId="12" fillId="0" borderId="0" xfId="0" applyFont="1" applyBorder="1"/>
    <xf numFmtId="0" fontId="41" fillId="0" borderId="0" xfId="0" applyFont="1" applyAlignment="1">
      <alignment horizontal="center"/>
    </xf>
    <xf numFmtId="0" fontId="41" fillId="0" borderId="0" xfId="0" applyFont="1" applyAlignment="1">
      <alignment horizontal="right"/>
    </xf>
    <xf numFmtId="0" fontId="41" fillId="0" borderId="0" xfId="0" applyFont="1" applyAlignment="1">
      <alignment horizontal="left"/>
    </xf>
    <xf numFmtId="0" fontId="0" fillId="2" borderId="0" xfId="0" applyFill="1"/>
    <xf numFmtId="49" fontId="51" fillId="0" borderId="0" xfId="0" applyNumberFormat="1" applyFont="1" applyAlignment="1">
      <alignment horizontal="center" vertical="center"/>
    </xf>
    <xf numFmtId="49" fontId="52" fillId="10" borderId="1" xfId="0" applyNumberFormat="1" applyFont="1" applyFill="1" applyBorder="1" applyAlignment="1" applyProtection="1">
      <alignment horizontal="center" vertical="center" wrapText="1"/>
      <protection locked="0"/>
    </xf>
    <xf numFmtId="0" fontId="41" fillId="0" borderId="1" xfId="0" applyFont="1" applyBorder="1" applyAlignment="1">
      <alignment horizontal="center" vertical="center"/>
    </xf>
    <xf numFmtId="0" fontId="25" fillId="11" borderId="1" xfId="0" applyFont="1" applyFill="1" applyBorder="1" applyAlignment="1">
      <alignment horizontal="center" vertical="center" wrapText="1"/>
    </xf>
    <xf numFmtId="1" fontId="25" fillId="11" borderId="1" xfId="0" applyNumberFormat="1" applyFont="1" applyFill="1" applyBorder="1" applyAlignment="1">
      <alignment horizontal="center" vertical="center" wrapText="1"/>
    </xf>
    <xf numFmtId="0" fontId="52" fillId="10" borderId="1" xfId="0" applyFont="1" applyFill="1" applyBorder="1" applyAlignment="1" applyProtection="1">
      <alignment horizontal="center" vertical="center" wrapText="1"/>
      <protection locked="0"/>
    </xf>
    <xf numFmtId="0" fontId="0" fillId="2" borderId="0" xfId="0" applyFill="1"/>
    <xf numFmtId="0" fontId="41" fillId="0" borderId="1" xfId="0" applyFont="1" applyBorder="1" applyAlignment="1">
      <alignment horizontal="center"/>
    </xf>
    <xf numFmtId="0" fontId="41" fillId="2" borderId="1" xfId="0" applyFont="1" applyFill="1" applyBorder="1" applyAlignment="1">
      <alignment horizontal="center" wrapText="1"/>
    </xf>
    <xf numFmtId="1" fontId="41" fillId="2" borderId="1" xfId="0" applyNumberFormat="1" applyFont="1" applyFill="1" applyBorder="1" applyAlignment="1">
      <alignment horizontal="right" wrapText="1"/>
    </xf>
    <xf numFmtId="0" fontId="0" fillId="0" borderId="1" xfId="0" applyFont="1" applyBorder="1" applyProtection="1"/>
    <xf numFmtId="0" fontId="41" fillId="12" borderId="1" xfId="0" applyFont="1" applyFill="1" applyBorder="1" applyAlignment="1">
      <alignment horizontal="right" wrapText="1"/>
    </xf>
    <xf numFmtId="0" fontId="0" fillId="13" borderId="1" xfId="0" applyFont="1" applyFill="1" applyBorder="1" applyProtection="1"/>
    <xf numFmtId="0" fontId="36" fillId="0" borderId="1" xfId="0" applyFont="1" applyBorder="1" applyProtection="1"/>
    <xf numFmtId="1" fontId="41" fillId="3" borderId="1" xfId="0" applyNumberFormat="1" applyFont="1" applyFill="1" applyBorder="1" applyAlignment="1">
      <alignment horizontal="right" wrapText="1"/>
    </xf>
    <xf numFmtId="0" fontId="0" fillId="3" borderId="1" xfId="0" applyFont="1" applyFill="1" applyBorder="1" applyProtection="1"/>
    <xf numFmtId="0" fontId="41" fillId="3" borderId="1" xfId="0" applyFont="1" applyFill="1" applyBorder="1" applyAlignment="1">
      <alignment horizontal="center" wrapText="1"/>
    </xf>
    <xf numFmtId="0" fontId="41" fillId="3" borderId="1" xfId="0" applyFont="1" applyFill="1" applyBorder="1" applyAlignment="1">
      <alignment horizontal="right" wrapText="1"/>
    </xf>
    <xf numFmtId="0" fontId="41" fillId="2" borderId="1" xfId="0" applyFont="1" applyFill="1" applyBorder="1" applyAlignment="1">
      <alignment horizontal="left" wrapText="1"/>
    </xf>
    <xf numFmtId="0" fontId="0" fillId="2" borderId="1" xfId="0" applyFont="1" applyFill="1" applyBorder="1" applyProtection="1"/>
    <xf numFmtId="0" fontId="0" fillId="0" borderId="1" xfId="0" applyFont="1" applyBorder="1" applyAlignment="1"/>
    <xf numFmtId="0" fontId="39" fillId="3" borderId="1" xfId="0" applyFont="1" applyFill="1" applyBorder="1"/>
    <xf numFmtId="1" fontId="41" fillId="12" borderId="1" xfId="0" applyNumberFormat="1" applyFont="1" applyFill="1" applyBorder="1" applyAlignment="1">
      <alignment horizontal="right" wrapText="1"/>
    </xf>
    <xf numFmtId="0" fontId="41" fillId="12" borderId="1" xfId="0" applyFont="1" applyFill="1" applyBorder="1" applyAlignment="1">
      <alignment horizontal="center" wrapText="1"/>
    </xf>
    <xf numFmtId="0" fontId="0" fillId="0" borderId="1" xfId="0" applyFont="1" applyBorder="1" applyAlignment="1" applyProtection="1">
      <alignment wrapText="1"/>
    </xf>
    <xf numFmtId="0" fontId="36" fillId="3" borderId="1" xfId="0" applyFont="1" applyFill="1" applyBorder="1" applyProtection="1"/>
    <xf numFmtId="0" fontId="35" fillId="3" borderId="1" xfId="9" applyFont="1" applyFill="1" applyBorder="1" applyAlignment="1"/>
    <xf numFmtId="0" fontId="41" fillId="10" borderId="1" xfId="0" applyFont="1" applyFill="1" applyBorder="1" applyAlignment="1">
      <alignment horizontal="center"/>
    </xf>
    <xf numFmtId="0" fontId="41" fillId="10" borderId="1" xfId="0" applyFont="1" applyFill="1" applyBorder="1" applyAlignment="1">
      <alignment horizontal="center" wrapText="1"/>
    </xf>
    <xf numFmtId="1" fontId="41" fillId="10" borderId="1" xfId="0" applyNumberFormat="1" applyFont="1" applyFill="1" applyBorder="1" applyAlignment="1">
      <alignment horizontal="right" wrapText="1"/>
    </xf>
    <xf numFmtId="0" fontId="36" fillId="10" borderId="1" xfId="0" applyFont="1" applyFill="1" applyBorder="1" applyProtection="1"/>
    <xf numFmtId="0" fontId="41" fillId="10" borderId="1" xfId="0" applyFont="1" applyFill="1" applyBorder="1" applyAlignment="1">
      <alignment horizontal="right" wrapText="1"/>
    </xf>
    <xf numFmtId="0" fontId="0" fillId="10" borderId="0" xfId="0" applyFill="1"/>
    <xf numFmtId="0" fontId="36" fillId="13" borderId="1" xfId="0" applyFont="1" applyFill="1" applyBorder="1" applyProtection="1"/>
    <xf numFmtId="0" fontId="41" fillId="2" borderId="1" xfId="0" applyFont="1" applyFill="1" applyBorder="1" applyAlignment="1">
      <alignment horizontal="right" wrapText="1"/>
    </xf>
    <xf numFmtId="0" fontId="36" fillId="0" borderId="1" xfId="0" applyFont="1" applyBorder="1" applyAlignment="1" applyProtection="1">
      <alignment vertical="center"/>
    </xf>
    <xf numFmtId="0" fontId="0" fillId="13" borderId="1" xfId="0" applyFont="1" applyFill="1" applyBorder="1" applyAlignment="1" applyProtection="1">
      <alignment wrapText="1"/>
    </xf>
    <xf numFmtId="0" fontId="41" fillId="2" borderId="1" xfId="0" applyFont="1" applyFill="1" applyBorder="1" applyAlignment="1">
      <alignment horizontal="center" vertical="center" wrapText="1"/>
    </xf>
    <xf numFmtId="0" fontId="44" fillId="0" borderId="1" xfId="0" applyFont="1" applyBorder="1" applyProtection="1"/>
    <xf numFmtId="1" fontId="41" fillId="2" borderId="1" xfId="0" applyNumberFormat="1" applyFont="1" applyFill="1" applyBorder="1" applyAlignment="1">
      <alignment horizontal="center" wrapText="1"/>
    </xf>
    <xf numFmtId="0" fontId="0" fillId="10" borderId="1" xfId="0" applyFont="1" applyFill="1" applyBorder="1" applyAlignment="1">
      <alignment horizontal="center"/>
    </xf>
    <xf numFmtId="0" fontId="0" fillId="10" borderId="1" xfId="0" applyFill="1" applyBorder="1"/>
    <xf numFmtId="0" fontId="0" fillId="10" borderId="1" xfId="0" applyFont="1" applyFill="1" applyBorder="1" applyProtection="1"/>
    <xf numFmtId="1" fontId="41" fillId="10" borderId="1" xfId="0" applyNumberFormat="1" applyFont="1" applyFill="1" applyBorder="1" applyAlignment="1">
      <alignment horizontal="center" wrapText="1"/>
    </xf>
    <xf numFmtId="0" fontId="0" fillId="0" borderId="1" xfId="0" applyFont="1" applyBorder="1" applyAlignment="1" applyProtection="1">
      <alignment vertical="center"/>
    </xf>
    <xf numFmtId="0" fontId="0" fillId="0" borderId="1" xfId="0" applyFont="1" applyBorder="1" applyAlignment="1">
      <alignment wrapText="1"/>
    </xf>
    <xf numFmtId="0" fontId="36" fillId="0" borderId="1" xfId="0" applyFont="1" applyBorder="1"/>
    <xf numFmtId="0" fontId="0" fillId="0" borderId="1" xfId="0" applyFont="1" applyBorder="1" applyAlignment="1" applyProtection="1">
      <alignment horizontal="right"/>
    </xf>
    <xf numFmtId="1" fontId="41" fillId="2" borderId="1" xfId="0" applyNumberFormat="1" applyFont="1" applyFill="1" applyBorder="1" applyAlignment="1">
      <alignment horizontal="right" vertical="center" wrapText="1"/>
    </xf>
    <xf numFmtId="0" fontId="0" fillId="0" borderId="1" xfId="0" applyFont="1" applyBorder="1" applyAlignment="1" applyProtection="1"/>
    <xf numFmtId="0" fontId="41" fillId="2" borderId="1" xfId="0" applyFont="1" applyFill="1" applyBorder="1" applyAlignment="1">
      <alignment horizontal="right" vertical="center" wrapText="1"/>
    </xf>
    <xf numFmtId="0" fontId="0" fillId="0" borderId="1" xfId="0" applyFont="1" applyBorder="1" applyAlignment="1">
      <alignment horizontal="right"/>
    </xf>
    <xf numFmtId="0" fontId="0" fillId="0" borderId="1" xfId="0" applyFont="1" applyBorder="1" applyAlignment="1" applyProtection="1">
      <alignment horizontal="center"/>
    </xf>
    <xf numFmtId="0" fontId="0" fillId="0" borderId="5" xfId="0" applyFont="1" applyBorder="1" applyAlignment="1" applyProtection="1">
      <alignment horizontal="center"/>
    </xf>
    <xf numFmtId="0" fontId="0" fillId="2" borderId="5" xfId="0" applyFill="1" applyBorder="1"/>
    <xf numFmtId="0" fontId="0" fillId="0" borderId="5" xfId="0" applyFont="1" applyBorder="1" applyProtection="1"/>
    <xf numFmtId="0" fontId="0" fillId="0" borderId="1" xfId="1" applyNumberFormat="1" applyFont="1" applyBorder="1" applyAlignment="1" applyProtection="1">
      <alignment horizontal="center"/>
      <protection locked="0"/>
    </xf>
    <xf numFmtId="0" fontId="0" fillId="0" borderId="4" xfId="0" applyFont="1" applyBorder="1" applyAlignment="1" applyProtection="1">
      <alignment horizontal="center"/>
    </xf>
    <xf numFmtId="0" fontId="0" fillId="3" borderId="1" xfId="0" applyFont="1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0" fillId="0" borderId="6" xfId="0" applyFont="1" applyBorder="1" applyAlignment="1">
      <alignment horizontal="center"/>
    </xf>
    <xf numFmtId="0" fontId="0" fillId="0" borderId="6" xfId="0" applyFont="1" applyBorder="1" applyAlignment="1">
      <alignment horizontal="left"/>
    </xf>
    <xf numFmtId="0" fontId="0" fillId="2" borderId="6" xfId="0" applyFont="1" applyFill="1" applyBorder="1" applyAlignment="1">
      <alignment horizontal="left"/>
    </xf>
    <xf numFmtId="0" fontId="0" fillId="0" borderId="6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/>
    </xf>
    <xf numFmtId="1" fontId="25" fillId="0" borderId="1" xfId="0" applyNumberFormat="1" applyFont="1" applyBorder="1" applyAlignment="1">
      <alignment horizontal="right"/>
    </xf>
    <xf numFmtId="0" fontId="25" fillId="0" borderId="1" xfId="0" applyFont="1" applyBorder="1" applyAlignment="1">
      <alignment horizontal="left"/>
    </xf>
    <xf numFmtId="0" fontId="25" fillId="0" borderId="1" xfId="0" applyFont="1" applyBorder="1" applyAlignment="1">
      <alignment horizontal="right"/>
    </xf>
    <xf numFmtId="49" fontId="21" fillId="0" borderId="1" xfId="0" applyNumberFormat="1" applyFont="1" applyBorder="1" applyAlignment="1">
      <alignment vertical="top" wrapText="1"/>
    </xf>
    <xf numFmtId="49" fontId="0" fillId="0" borderId="0" xfId="0" applyNumberFormat="1"/>
    <xf numFmtId="0" fontId="21" fillId="0" borderId="1" xfId="0" applyFont="1" applyBorder="1" applyAlignment="1">
      <alignment horizontal="center" vertical="top" wrapText="1"/>
    </xf>
    <xf numFmtId="0" fontId="53" fillId="0" borderId="1" xfId="0" applyFont="1" applyBorder="1" applyAlignment="1">
      <alignment horizontal="center" vertical="top" wrapText="1"/>
    </xf>
    <xf numFmtId="0" fontId="21" fillId="0" borderId="1" xfId="0" applyFont="1" applyBorder="1" applyAlignment="1">
      <alignment vertical="top" wrapText="1"/>
    </xf>
    <xf numFmtId="0" fontId="21" fillId="0" borderId="1" xfId="0" applyFont="1" applyBorder="1" applyAlignment="1">
      <alignment vertical="top"/>
    </xf>
    <xf numFmtId="0" fontId="21" fillId="2" borderId="1" xfId="0" applyFont="1" applyFill="1" applyBorder="1" applyAlignment="1">
      <alignment vertical="top" wrapText="1"/>
    </xf>
    <xf numFmtId="0" fontId="21" fillId="0" borderId="1" xfId="0" applyFont="1" applyBorder="1"/>
    <xf numFmtId="0" fontId="54" fillId="0" borderId="1" xfId="0" applyFont="1" applyBorder="1" applyAlignment="1">
      <alignment horizontal="justify" wrapText="1"/>
    </xf>
    <xf numFmtId="0" fontId="36" fillId="2" borderId="1" xfId="1" applyNumberFormat="1" applyFont="1" applyFill="1" applyBorder="1" applyAlignment="1" applyProtection="1">
      <alignment horizontal="center"/>
      <protection locked="0"/>
    </xf>
    <xf numFmtId="0" fontId="22" fillId="0" borderId="1" xfId="0" applyFont="1" applyBorder="1" applyAlignment="1">
      <alignment horizontal="center" vertical="center" wrapText="1"/>
    </xf>
    <xf numFmtId="0" fontId="0" fillId="0" borderId="1" xfId="0" applyFont="1" applyBorder="1"/>
    <xf numFmtId="0" fontId="44" fillId="2" borderId="1" xfId="1" applyNumberFormat="1" applyFont="1" applyFill="1" applyBorder="1" applyAlignment="1" applyProtection="1">
      <alignment horizontal="center"/>
      <protection locked="0"/>
    </xf>
    <xf numFmtId="0" fontId="41" fillId="12" borderId="13" xfId="0" applyFont="1" applyFill="1" applyBorder="1" applyAlignment="1">
      <alignment horizontal="right" wrapText="1"/>
    </xf>
    <xf numFmtId="0" fontId="41" fillId="12" borderId="13" xfId="0" applyFont="1" applyFill="1" applyBorder="1" applyAlignment="1">
      <alignment horizontal="center" wrapText="1"/>
    </xf>
    <xf numFmtId="0" fontId="56" fillId="12" borderId="13" xfId="0" applyFont="1" applyFill="1" applyBorder="1" applyAlignment="1">
      <alignment horizontal="left" wrapText="1"/>
    </xf>
    <xf numFmtId="0" fontId="44" fillId="0" borderId="1" xfId="0" applyFont="1" applyBorder="1"/>
    <xf numFmtId="0" fontId="41" fillId="12" borderId="13" xfId="0" applyFont="1" applyFill="1" applyBorder="1" applyAlignment="1">
      <alignment horizontal="right" vertical="center" wrapText="1"/>
    </xf>
    <xf numFmtId="0" fontId="41" fillId="12" borderId="13" xfId="0" applyFont="1" applyFill="1" applyBorder="1" applyAlignment="1">
      <alignment horizontal="center" vertical="center" wrapText="1"/>
    </xf>
    <xf numFmtId="0" fontId="56" fillId="12" borderId="13" xfId="0" applyFont="1" applyFill="1" applyBorder="1" applyAlignment="1">
      <alignment horizontal="left" vertical="center" wrapText="1"/>
    </xf>
    <xf numFmtId="0" fontId="57" fillId="0" borderId="1" xfId="0" applyFont="1" applyBorder="1" applyAlignment="1">
      <alignment vertical="center"/>
    </xf>
    <xf numFmtId="0" fontId="44" fillId="2" borderId="1" xfId="1" applyNumberFormat="1" applyFont="1" applyFill="1" applyBorder="1" applyAlignment="1" applyProtection="1">
      <alignment horizontal="center" vertical="center"/>
      <protection locked="0"/>
    </xf>
    <xf numFmtId="0" fontId="58" fillId="0" borderId="1" xfId="0" applyFont="1" applyBorder="1" applyAlignment="1">
      <alignment horizontal="justify" wrapText="1"/>
    </xf>
    <xf numFmtId="0" fontId="57" fillId="0" borderId="1" xfId="0" applyFont="1" applyBorder="1"/>
    <xf numFmtId="0" fontId="57" fillId="2" borderId="1" xfId="0" applyFont="1" applyFill="1" applyBorder="1" applyAlignment="1">
      <alignment horizontal="center" wrapText="1"/>
    </xf>
    <xf numFmtId="0" fontId="41" fillId="2" borderId="13" xfId="0" applyFont="1" applyFill="1" applyBorder="1" applyAlignment="1">
      <alignment horizontal="right" wrapText="1"/>
    </xf>
    <xf numFmtId="0" fontId="39" fillId="0" borderId="0" xfId="0" applyFont="1" applyAlignment="1">
      <alignment vertical="center"/>
    </xf>
    <xf numFmtId="0" fontId="8" fillId="12" borderId="1" xfId="0" applyFont="1" applyFill="1" applyBorder="1" applyAlignment="1">
      <alignment horizontal="left" wrapText="1" readingOrder="1"/>
    </xf>
    <xf numFmtId="0" fontId="0" fillId="0" borderId="13" xfId="0" applyFont="1" applyBorder="1"/>
    <xf numFmtId="0" fontId="36" fillId="0" borderId="1" xfId="0" applyFont="1" applyBorder="1" applyAlignment="1">
      <alignment horizontal="center" vertical="center" wrapText="1"/>
    </xf>
    <xf numFmtId="0" fontId="22" fillId="0" borderId="6" xfId="0" applyFont="1" applyBorder="1" applyAlignment="1">
      <alignment horizontal="center" vertical="center" wrapText="1"/>
    </xf>
    <xf numFmtId="1" fontId="56" fillId="2" borderId="1" xfId="0" applyNumberFormat="1" applyFont="1" applyFill="1" applyBorder="1" applyAlignment="1">
      <alignment horizontal="right" wrapText="1"/>
    </xf>
    <xf numFmtId="1" fontId="56" fillId="2" borderId="1" xfId="0" applyNumberFormat="1" applyFont="1" applyFill="1" applyBorder="1" applyAlignment="1">
      <alignment horizontal="center" wrapText="1"/>
    </xf>
    <xf numFmtId="0" fontId="56" fillId="2" borderId="1" xfId="0" applyFont="1" applyFill="1" applyBorder="1" applyAlignment="1">
      <alignment horizontal="left" wrapText="1" readingOrder="1"/>
    </xf>
    <xf numFmtId="0" fontId="22" fillId="0" borderId="6" xfId="0" applyFont="1" applyBorder="1" applyAlignment="1">
      <alignment vertical="center" wrapText="1"/>
    </xf>
    <xf numFmtId="1" fontId="56" fillId="2" borderId="13" xfId="0" applyNumberFormat="1" applyFont="1" applyFill="1" applyBorder="1" applyAlignment="1">
      <alignment horizontal="right" wrapText="1"/>
    </xf>
    <xf numFmtId="1" fontId="56" fillId="2" borderId="13" xfId="0" applyNumberFormat="1" applyFont="1" applyFill="1" applyBorder="1" applyAlignment="1">
      <alignment horizontal="center" wrapText="1"/>
    </xf>
    <xf numFmtId="0" fontId="36" fillId="0" borderId="11" xfId="0" applyFont="1" applyBorder="1" applyAlignment="1">
      <alignment horizontal="center" vertical="center" wrapText="1"/>
    </xf>
    <xf numFmtId="0" fontId="22" fillId="0" borderId="11" xfId="0" applyFont="1" applyBorder="1" applyAlignment="1">
      <alignment horizontal="center" vertical="center" wrapText="1"/>
    </xf>
    <xf numFmtId="1" fontId="36" fillId="0" borderId="1" xfId="0" applyNumberFormat="1" applyFont="1" applyBorder="1" applyAlignment="1">
      <alignment horizontal="center" vertical="center" wrapText="1"/>
    </xf>
    <xf numFmtId="0" fontId="59" fillId="0" borderId="1" xfId="0" applyFont="1" applyBorder="1" applyAlignment="1">
      <alignment horizontal="justify" wrapText="1"/>
    </xf>
    <xf numFmtId="0" fontId="57" fillId="2" borderId="1" xfId="0" applyFont="1" applyFill="1" applyBorder="1" applyAlignment="1">
      <alignment horizontal="center" vertical="center" wrapText="1"/>
    </xf>
    <xf numFmtId="0" fontId="36" fillId="2" borderId="1" xfId="1" applyNumberFormat="1" applyFont="1" applyFill="1" applyBorder="1" applyAlignment="1" applyProtection="1">
      <alignment horizontal="center" vertical="center"/>
      <protection locked="0"/>
    </xf>
    <xf numFmtId="1" fontId="57" fillId="2" borderId="1" xfId="0" applyNumberFormat="1" applyFont="1" applyFill="1" applyBorder="1" applyAlignment="1">
      <alignment horizontal="center" vertical="center" wrapText="1"/>
    </xf>
    <xf numFmtId="0" fontId="44" fillId="2" borderId="1" xfId="0" applyFont="1" applyFill="1" applyBorder="1" applyAlignment="1">
      <alignment horizontal="center"/>
    </xf>
    <xf numFmtId="0" fontId="22" fillId="0" borderId="1" xfId="0" applyFont="1" applyBorder="1" applyAlignment="1">
      <alignment horizontal="left" vertical="center" wrapText="1"/>
    </xf>
    <xf numFmtId="0" fontId="44" fillId="2" borderId="1" xfId="0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right" wrapText="1"/>
    </xf>
    <xf numFmtId="0" fontId="11" fillId="0" borderId="1" xfId="0" applyFont="1" applyBorder="1" applyAlignment="1">
      <alignment horizontal="center" wrapText="1"/>
    </xf>
    <xf numFmtId="0" fontId="0" fillId="0" borderId="13" xfId="0" applyBorder="1" applyAlignment="1">
      <alignment vertical="center"/>
    </xf>
    <xf numFmtId="0" fontId="0" fillId="0" borderId="13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36" fillId="0" borderId="6" xfId="0" applyFont="1" applyBorder="1" applyAlignment="1">
      <alignment horizontal="center" vertical="center"/>
    </xf>
    <xf numFmtId="0" fontId="36" fillId="0" borderId="1" xfId="0" applyFont="1" applyBorder="1" applyAlignment="1">
      <alignment horizontal="center"/>
    </xf>
    <xf numFmtId="0" fontId="36" fillId="2" borderId="1" xfId="0" applyFont="1" applyFill="1" applyBorder="1" applyAlignment="1">
      <alignment horizontal="center" wrapText="1"/>
    </xf>
    <xf numFmtId="0" fontId="13" fillId="0" borderId="1" xfId="0" applyFont="1" applyBorder="1" applyAlignment="1">
      <alignment horizontal="center" wrapText="1"/>
    </xf>
    <xf numFmtId="0" fontId="22" fillId="0" borderId="1" xfId="0" applyFont="1" applyBorder="1" applyAlignment="1">
      <alignment horizontal="center" wrapText="1"/>
    </xf>
    <xf numFmtId="0" fontId="54" fillId="0" borderId="1" xfId="0" applyFont="1" applyBorder="1"/>
    <xf numFmtId="0" fontId="36" fillId="2" borderId="1" xfId="0" applyFont="1" applyFill="1" applyBorder="1" applyAlignment="1">
      <alignment horizontal="center" vertical="center" wrapText="1"/>
    </xf>
    <xf numFmtId="0" fontId="44" fillId="2" borderId="1" xfId="0" applyFont="1" applyFill="1" applyBorder="1" applyAlignment="1">
      <alignment horizontal="center" wrapText="1"/>
    </xf>
    <xf numFmtId="0" fontId="22" fillId="0" borderId="5" xfId="0" applyFont="1" applyBorder="1" applyAlignment="1">
      <alignment horizontal="center" vertical="center" wrapText="1"/>
    </xf>
    <xf numFmtId="0" fontId="0" fillId="0" borderId="13" xfId="0" applyBorder="1" applyAlignment="1">
      <alignment horizontal="center"/>
    </xf>
    <xf numFmtId="0" fontId="36" fillId="2" borderId="1" xfId="0" applyFont="1" applyFill="1" applyBorder="1" applyAlignment="1">
      <alignment horizontal="left" vertical="center" wrapText="1"/>
    </xf>
    <xf numFmtId="0" fontId="36" fillId="0" borderId="1" xfId="0" applyFont="1" applyBorder="1" applyAlignment="1">
      <alignment horizontal="center" vertical="center"/>
    </xf>
    <xf numFmtId="1" fontId="36" fillId="2" borderId="1" xfId="0" applyNumberFormat="1" applyFont="1" applyFill="1" applyBorder="1" applyAlignment="1">
      <alignment horizontal="left" vertical="center" wrapText="1"/>
    </xf>
    <xf numFmtId="0" fontId="54" fillId="3" borderId="1" xfId="0" applyFont="1" applyFill="1" applyBorder="1" applyAlignment="1">
      <alignment horizontal="justify" wrapText="1"/>
    </xf>
    <xf numFmtId="1" fontId="0" fillId="0" borderId="13" xfId="0" applyNumberFormat="1" applyBorder="1"/>
    <xf numFmtId="1" fontId="0" fillId="0" borderId="13" xfId="0" applyNumberFormat="1" applyBorder="1" applyAlignment="1">
      <alignment horizontal="center"/>
    </xf>
    <xf numFmtId="0" fontId="60" fillId="2" borderId="1" xfId="0" applyFont="1" applyFill="1" applyBorder="1" applyAlignment="1">
      <alignment horizontal="center" wrapText="1"/>
    </xf>
    <xf numFmtId="0" fontId="36" fillId="0" borderId="1" xfId="0" applyFont="1" applyBorder="1" applyAlignment="1">
      <alignment horizontal="center" wrapText="1"/>
    </xf>
    <xf numFmtId="0" fontId="13" fillId="0" borderId="1" xfId="0" applyFont="1" applyBorder="1" applyAlignment="1">
      <alignment horizontal="center" vertical="center" wrapText="1"/>
    </xf>
    <xf numFmtId="0" fontId="61" fillId="12" borderId="13" xfId="0" applyFont="1" applyFill="1" applyBorder="1" applyAlignment="1">
      <alignment horizontal="right" wrapText="1"/>
    </xf>
    <xf numFmtId="0" fontId="54" fillId="2" borderId="1" xfId="0" applyFont="1" applyFill="1" applyBorder="1" applyAlignment="1">
      <alignment horizontal="justify" wrapText="1"/>
    </xf>
    <xf numFmtId="0" fontId="54" fillId="2" borderId="1" xfId="0" applyFont="1" applyFill="1" applyBorder="1" applyAlignment="1">
      <alignment horizontal="left" vertical="center" wrapText="1"/>
    </xf>
    <xf numFmtId="0" fontId="0" fillId="2" borderId="5" xfId="0" applyFont="1" applyFill="1" applyBorder="1" applyProtection="1"/>
    <xf numFmtId="0" fontId="34" fillId="2" borderId="1" xfId="0" applyFont="1" applyFill="1" applyBorder="1" applyAlignment="1">
      <alignment horizontal="center" vertical="center" wrapText="1"/>
    </xf>
    <xf numFmtId="0" fontId="22" fillId="0" borderId="1" xfId="0" applyFont="1" applyBorder="1" applyAlignment="1">
      <alignment vertical="center" wrapText="1"/>
    </xf>
    <xf numFmtId="0" fontId="54" fillId="0" borderId="1" xfId="0" applyFont="1" applyBorder="1" applyAlignment="1">
      <alignment horizontal="left" wrapText="1"/>
    </xf>
    <xf numFmtId="0" fontId="0" fillId="6" borderId="1" xfId="0" applyFill="1" applyBorder="1"/>
    <xf numFmtId="0" fontId="0" fillId="6" borderId="1" xfId="0" applyFill="1" applyBorder="1" applyAlignment="1">
      <alignment horizontal="center"/>
    </xf>
    <xf numFmtId="0" fontId="58" fillId="0" borderId="1" xfId="0" applyFont="1" applyBorder="1"/>
    <xf numFmtId="0" fontId="13" fillId="2" borderId="1" xfId="0" applyFont="1" applyFill="1" applyBorder="1" applyAlignment="1">
      <alignment horizontal="center" vertical="center"/>
    </xf>
    <xf numFmtId="0" fontId="0" fillId="0" borderId="4" xfId="0" applyBorder="1"/>
    <xf numFmtId="0" fontId="57" fillId="2" borderId="1" xfId="0" applyFont="1" applyFill="1" applyBorder="1" applyAlignment="1">
      <alignment horizontal="center"/>
    </xf>
    <xf numFmtId="0" fontId="36" fillId="0" borderId="4" xfId="0" applyFont="1" applyBorder="1"/>
    <xf numFmtId="0" fontId="36" fillId="0" borderId="1" xfId="0" applyFont="1" applyBorder="1" applyAlignment="1" applyProtection="1">
      <alignment horizontal="right"/>
    </xf>
    <xf numFmtId="0" fontId="36" fillId="0" borderId="13" xfId="0" applyFont="1" applyBorder="1" applyAlignment="1" applyProtection="1">
      <alignment horizontal="right"/>
    </xf>
    <xf numFmtId="0" fontId="6" fillId="12" borderId="1" xfId="0" applyFont="1" applyFill="1" applyBorder="1" applyAlignment="1">
      <alignment horizontal="left" wrapText="1" readingOrder="1"/>
    </xf>
    <xf numFmtId="0" fontId="6" fillId="12" borderId="1" xfId="0" applyFont="1" applyFill="1" applyBorder="1" applyAlignment="1">
      <alignment horizontal="left" vertical="center" wrapText="1" readingOrder="1"/>
    </xf>
    <xf numFmtId="1" fontId="6" fillId="2" borderId="6" xfId="0" applyNumberFormat="1" applyFont="1" applyFill="1" applyBorder="1" applyAlignment="1">
      <alignment horizontal="center" wrapText="1"/>
    </xf>
    <xf numFmtId="1" fontId="41" fillId="2" borderId="6" xfId="0" applyNumberFormat="1" applyFont="1" applyFill="1" applyBorder="1" applyAlignment="1">
      <alignment horizontal="center" wrapText="1"/>
    </xf>
    <xf numFmtId="0" fontId="36" fillId="0" borderId="13" xfId="0" applyFont="1" applyBorder="1"/>
    <xf numFmtId="0" fontId="36" fillId="0" borderId="6" xfId="0" applyFont="1" applyBorder="1"/>
    <xf numFmtId="0" fontId="44" fillId="2" borderId="6" xfId="0" applyFont="1" applyFill="1" applyBorder="1" applyAlignment="1">
      <alignment horizontal="center" wrapText="1"/>
    </xf>
    <xf numFmtId="0" fontId="13" fillId="0" borderId="6" xfId="0" applyFont="1" applyBorder="1" applyAlignment="1">
      <alignment horizontal="center" vertical="center" wrapText="1"/>
    </xf>
    <xf numFmtId="0" fontId="22" fillId="2" borderId="6" xfId="0" applyFont="1" applyFill="1" applyBorder="1" applyAlignment="1">
      <alignment horizontal="center" vertical="center" wrapText="1"/>
    </xf>
    <xf numFmtId="0" fontId="0" fillId="0" borderId="13" xfId="0" applyBorder="1"/>
    <xf numFmtId="0" fontId="21" fillId="2" borderId="6" xfId="0" applyFont="1" applyFill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13" fillId="0" borderId="1" xfId="0" applyFont="1" applyBorder="1" applyAlignment="1">
      <alignment horizontal="center" vertical="center"/>
    </xf>
    <xf numFmtId="0" fontId="62" fillId="0" borderId="1" xfId="0" applyFont="1" applyBorder="1" applyAlignment="1">
      <alignment horizontal="justify" wrapText="1"/>
    </xf>
    <xf numFmtId="0" fontId="34" fillId="2" borderId="1" xfId="0" applyFont="1" applyFill="1" applyBorder="1" applyAlignment="1">
      <alignment horizontal="center"/>
    </xf>
    <xf numFmtId="1" fontId="32" fillId="0" borderId="1" xfId="0" applyNumberFormat="1" applyFont="1" applyBorder="1" applyAlignment="1">
      <alignment horizontal="center" vertical="center"/>
    </xf>
    <xf numFmtId="0" fontId="32" fillId="0" borderId="1" xfId="0" applyFont="1" applyBorder="1" applyAlignment="1">
      <alignment horizontal="center" vertical="center"/>
    </xf>
    <xf numFmtId="1" fontId="32" fillId="2" borderId="1" xfId="0" applyNumberFormat="1" applyFont="1" applyFill="1" applyBorder="1" applyAlignment="1">
      <alignment horizontal="center"/>
    </xf>
    <xf numFmtId="0" fontId="35" fillId="0" borderId="1" xfId="0" applyFont="1" applyBorder="1" applyAlignment="1">
      <alignment horizontal="left"/>
    </xf>
    <xf numFmtId="0" fontId="13" fillId="0" borderId="1" xfId="0" applyFont="1" applyBorder="1"/>
    <xf numFmtId="0" fontId="32" fillId="2" borderId="1" xfId="0" applyFont="1" applyFill="1" applyBorder="1" applyAlignment="1">
      <alignment horizontal="center"/>
    </xf>
    <xf numFmtId="0" fontId="32" fillId="0" borderId="1" xfId="0" applyFont="1" applyBorder="1" applyAlignment="1">
      <alignment horizontal="center"/>
    </xf>
    <xf numFmtId="0" fontId="63" fillId="2" borderId="1" xfId="0" applyFont="1" applyFill="1" applyBorder="1" applyAlignment="1">
      <alignment horizontal="center"/>
    </xf>
    <xf numFmtId="0" fontId="63" fillId="0" borderId="1" xfId="0" applyFont="1" applyBorder="1" applyAlignment="1">
      <alignment horizontal="center"/>
    </xf>
    <xf numFmtId="1" fontId="63" fillId="0" borderId="1" xfId="0" applyNumberFormat="1" applyFont="1" applyBorder="1" applyAlignment="1">
      <alignment horizontal="center"/>
    </xf>
    <xf numFmtId="1" fontId="63" fillId="0" borderId="11" xfId="0" applyNumberFormat="1" applyFont="1" applyBorder="1" applyAlignment="1">
      <alignment horizontal="center"/>
    </xf>
    <xf numFmtId="0" fontId="21" fillId="0" borderId="0" xfId="0" applyFont="1" applyAlignment="1">
      <alignment horizontal="center"/>
    </xf>
    <xf numFmtId="0" fontId="57" fillId="2" borderId="1" xfId="0" applyFont="1" applyFill="1" applyBorder="1" applyAlignment="1">
      <alignment horizontal="justify" wrapText="1"/>
    </xf>
    <xf numFmtId="0" fontId="39" fillId="0" borderId="1" xfId="0" applyFont="1" applyBorder="1" applyAlignment="1">
      <alignment horizontal="center"/>
    </xf>
    <xf numFmtId="0" fontId="57" fillId="3" borderId="1" xfId="0" applyFont="1" applyFill="1" applyBorder="1" applyAlignment="1">
      <alignment horizontal="justify" wrapText="1"/>
    </xf>
    <xf numFmtId="0" fontId="57" fillId="0" borderId="1" xfId="0" applyFont="1" applyBorder="1" applyAlignment="1">
      <alignment horizontal="justify" wrapText="1"/>
    </xf>
    <xf numFmtId="0" fontId="57" fillId="3" borderId="1" xfId="0" applyFont="1" applyFill="1" applyBorder="1"/>
    <xf numFmtId="0" fontId="0" fillId="0" borderId="0" xfId="0" applyAlignment="1">
      <alignment horizontal="center"/>
    </xf>
    <xf numFmtId="20" fontId="0" fillId="0" borderId="0" xfId="0" applyNumberFormat="1" applyAlignment="1">
      <alignment horizontal="center"/>
    </xf>
    <xf numFmtId="0" fontId="53" fillId="2" borderId="1" xfId="0" applyFont="1" applyFill="1" applyBorder="1" applyAlignment="1">
      <alignment horizontal="center"/>
    </xf>
    <xf numFmtId="49" fontId="21" fillId="0" borderId="0" xfId="0" applyNumberFormat="1" applyFont="1"/>
    <xf numFmtId="0" fontId="21" fillId="0" borderId="1" xfId="0" applyFont="1" applyBorder="1" applyAlignment="1">
      <alignment horizontal="center" vertical="top"/>
    </xf>
    <xf numFmtId="0" fontId="64" fillId="0" borderId="1" xfId="0" applyFont="1" applyBorder="1" applyAlignment="1">
      <alignment horizontal="center" vertical="top" wrapText="1"/>
    </xf>
    <xf numFmtId="0" fontId="41" fillId="0" borderId="1" xfId="0" applyFont="1" applyBorder="1" applyAlignment="1">
      <alignment horizontal="left" vertical="top"/>
    </xf>
    <xf numFmtId="0" fontId="21" fillId="2" borderId="1" xfId="0" applyFont="1" applyFill="1" applyBorder="1" applyAlignment="1">
      <alignment wrapText="1"/>
    </xf>
    <xf numFmtId="0" fontId="36" fillId="0" borderId="1" xfId="0" applyFont="1" applyBorder="1" applyAlignment="1">
      <alignment wrapText="1"/>
    </xf>
    <xf numFmtId="0" fontId="65" fillId="0" borderId="1" xfId="0" applyFont="1" applyBorder="1" applyAlignment="1"/>
    <xf numFmtId="0" fontId="40" fillId="6" borderId="1" xfId="0" applyFont="1" applyFill="1" applyBorder="1" applyAlignment="1">
      <alignment vertical="center"/>
    </xf>
    <xf numFmtId="0" fontId="66" fillId="3" borderId="1" xfId="0" applyFont="1" applyFill="1" applyBorder="1" applyAlignment="1">
      <alignment horizontal="center" vertical="center"/>
    </xf>
    <xf numFmtId="0" fontId="36" fillId="0" borderId="1" xfId="0" applyFont="1" applyBorder="1" applyAlignment="1">
      <alignment vertical="center" wrapText="1"/>
    </xf>
    <xf numFmtId="0" fontId="14" fillId="0" borderId="1" xfId="0" applyFont="1" applyBorder="1" applyAlignment="1"/>
    <xf numFmtId="0" fontId="40" fillId="6" borderId="1" xfId="0" applyFont="1" applyFill="1" applyBorder="1" applyAlignment="1"/>
    <xf numFmtId="0" fontId="66" fillId="0" borderId="1" xfId="0" applyFont="1" applyBorder="1" applyAlignment="1">
      <alignment horizontal="center"/>
    </xf>
    <xf numFmtId="0" fontId="67" fillId="6" borderId="1" xfId="0" applyFont="1" applyFill="1" applyBorder="1" applyAlignment="1"/>
    <xf numFmtId="0" fontId="66" fillId="3" borderId="1" xfId="0" applyFont="1" applyFill="1" applyBorder="1" applyAlignment="1">
      <alignment horizontal="center"/>
    </xf>
    <xf numFmtId="0" fontId="36" fillId="2" borderId="1" xfId="0" applyFont="1" applyFill="1" applyBorder="1" applyAlignment="1">
      <alignment horizontal="left" wrapText="1"/>
    </xf>
    <xf numFmtId="0" fontId="13" fillId="0" borderId="1" xfId="0" applyFont="1" applyBorder="1" applyAlignment="1"/>
    <xf numFmtId="0" fontId="57" fillId="0" borderId="1" xfId="0" applyFont="1" applyBorder="1" applyAlignment="1"/>
    <xf numFmtId="0" fontId="67" fillId="0" borderId="1" xfId="0" applyFont="1" applyBorder="1" applyAlignment="1"/>
    <xf numFmtId="0" fontId="54" fillId="0" borderId="1" xfId="0" applyFont="1" applyBorder="1" applyAlignment="1">
      <alignment wrapText="1"/>
    </xf>
    <xf numFmtId="0" fontId="0" fillId="0" borderId="13" xfId="0" applyFont="1" applyBorder="1" applyAlignment="1"/>
    <xf numFmtId="0" fontId="0" fillId="0" borderId="13" xfId="0" applyFont="1" applyBorder="1" applyAlignment="1">
      <alignment horizontal="center"/>
    </xf>
    <xf numFmtId="0" fontId="36" fillId="0" borderId="5" xfId="0" applyFont="1" applyBorder="1" applyAlignment="1">
      <alignment wrapText="1"/>
    </xf>
    <xf numFmtId="0" fontId="21" fillId="0" borderId="1" xfId="0" applyFont="1" applyBorder="1" applyAlignment="1"/>
    <xf numFmtId="0" fontId="66" fillId="0" borderId="6" xfId="0" applyFont="1" applyBorder="1" applyAlignment="1">
      <alignment horizontal="center" vertical="center"/>
    </xf>
    <xf numFmtId="0" fontId="36" fillId="3" borderId="1" xfId="0" applyFont="1" applyFill="1" applyBorder="1" applyAlignment="1">
      <alignment wrapText="1"/>
    </xf>
    <xf numFmtId="0" fontId="68" fillId="6" borderId="1" xfId="0" applyFont="1" applyFill="1" applyBorder="1" applyAlignment="1">
      <alignment vertical="center"/>
    </xf>
    <xf numFmtId="0" fontId="36" fillId="0" borderId="1" xfId="0" applyFont="1" applyBorder="1" applyAlignment="1" applyProtection="1">
      <alignment wrapText="1"/>
    </xf>
    <xf numFmtId="0" fontId="57" fillId="6" borderId="1" xfId="0" applyFont="1" applyFill="1" applyBorder="1" applyAlignment="1" applyProtection="1"/>
    <xf numFmtId="0" fontId="0" fillId="12" borderId="13" xfId="0" applyFont="1" applyFill="1" applyBorder="1" applyAlignment="1">
      <alignment wrapText="1"/>
    </xf>
    <xf numFmtId="0" fontId="0" fillId="12" borderId="13" xfId="0" applyFont="1" applyFill="1" applyBorder="1" applyAlignment="1">
      <alignment horizontal="center" wrapText="1"/>
    </xf>
    <xf numFmtId="0" fontId="65" fillId="6" borderId="1" xfId="0" applyFont="1" applyFill="1" applyBorder="1" applyAlignment="1"/>
    <xf numFmtId="0" fontId="13" fillId="0" borderId="6" xfId="0" applyFont="1" applyBorder="1" applyAlignment="1">
      <alignment horizontal="center"/>
    </xf>
    <xf numFmtId="0" fontId="36" fillId="0" borderId="1" xfId="0" applyFont="1" applyBorder="1" applyAlignment="1"/>
    <xf numFmtId="0" fontId="51" fillId="0" borderId="1" xfId="0" applyFont="1" applyBorder="1" applyAlignment="1"/>
    <xf numFmtId="0" fontId="63" fillId="0" borderId="1" xfId="0" applyFont="1" applyBorder="1" applyAlignment="1"/>
    <xf numFmtId="0" fontId="34" fillId="2" borderId="1" xfId="0" applyFont="1" applyFill="1" applyBorder="1" applyAlignment="1"/>
    <xf numFmtId="0" fontId="34" fillId="2" borderId="1" xfId="0" applyFont="1" applyFill="1" applyBorder="1" applyAlignment="1">
      <alignment horizontal="center" vertical="center"/>
    </xf>
    <xf numFmtId="0" fontId="35" fillId="0" borderId="1" xfId="0" applyFont="1" applyBorder="1" applyAlignment="1"/>
    <xf numFmtId="170" fontId="21" fillId="0" borderId="1" xfId="0" applyNumberFormat="1" applyFont="1" applyBorder="1" applyAlignment="1"/>
    <xf numFmtId="0" fontId="0" fillId="2" borderId="1" xfId="0" applyFont="1" applyFill="1" applyBorder="1" applyAlignment="1"/>
    <xf numFmtId="2" fontId="36" fillId="0" borderId="1" xfId="0" applyNumberFormat="1" applyFont="1" applyBorder="1" applyAlignment="1"/>
    <xf numFmtId="0" fontId="36" fillId="6" borderId="1" xfId="1" applyNumberFormat="1" applyFont="1" applyFill="1" applyBorder="1" applyAlignment="1" applyProtection="1">
      <protection locked="0"/>
    </xf>
    <xf numFmtId="0" fontId="0" fillId="2" borderId="1" xfId="0" applyFill="1" applyBorder="1" applyAlignment="1"/>
    <xf numFmtId="0" fontId="0" fillId="2" borderId="1" xfId="0" applyFont="1" applyFill="1" applyBorder="1" applyAlignment="1">
      <alignment horizontal="center"/>
    </xf>
    <xf numFmtId="0" fontId="36" fillId="2" borderId="1" xfId="0" applyFont="1" applyFill="1" applyBorder="1" applyAlignment="1"/>
    <xf numFmtId="0" fontId="32" fillId="0" borderId="6" xfId="0" applyFont="1" applyBorder="1" applyAlignment="1">
      <alignment horizontal="center" vertical="center"/>
    </xf>
    <xf numFmtId="0" fontId="32" fillId="0" borderId="6" xfId="0" applyFont="1" applyBorder="1" applyAlignment="1">
      <alignment vertical="center"/>
    </xf>
    <xf numFmtId="0" fontId="5" fillId="6" borderId="1" xfId="0" applyFont="1" applyFill="1" applyBorder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36" fillId="0" borderId="1" xfId="0" applyFont="1" applyBorder="1" applyAlignment="1">
      <alignment vertical="center"/>
    </xf>
    <xf numFmtId="0" fontId="21" fillId="2" borderId="1" xfId="0" applyFont="1" applyFill="1" applyBorder="1" applyAlignment="1"/>
    <xf numFmtId="0" fontId="21" fillId="2" borderId="1" xfId="0" applyFont="1" applyFill="1" applyBorder="1" applyAlignment="1">
      <alignment horizontal="center"/>
    </xf>
    <xf numFmtId="0" fontId="36" fillId="6" borderId="1" xfId="0" applyFont="1" applyFill="1" applyBorder="1" applyAlignment="1">
      <alignment vertical="center"/>
    </xf>
    <xf numFmtId="0" fontId="0" fillId="2" borderId="13" xfId="0" applyFont="1" applyFill="1" applyBorder="1" applyAlignment="1"/>
    <xf numFmtId="0" fontId="0" fillId="2" borderId="13" xfId="0" applyFont="1" applyFill="1" applyBorder="1" applyAlignment="1">
      <alignment horizontal="center"/>
    </xf>
    <xf numFmtId="0" fontId="6" fillId="12" borderId="14" xfId="0" applyFont="1" applyFill="1" applyBorder="1" applyAlignment="1">
      <alignment horizontal="left" wrapText="1" readingOrder="1"/>
    </xf>
    <xf numFmtId="0" fontId="0" fillId="2" borderId="13" xfId="0" applyFont="1" applyFill="1" applyBorder="1" applyAlignment="1">
      <alignment wrapText="1"/>
    </xf>
    <xf numFmtId="0" fontId="0" fillId="2" borderId="13" xfId="0" applyFont="1" applyFill="1" applyBorder="1" applyAlignment="1">
      <alignment horizontal="center" wrapText="1"/>
    </xf>
    <xf numFmtId="0" fontId="36" fillId="2" borderId="1" xfId="0" applyFont="1" applyFill="1" applyBorder="1" applyAlignment="1">
      <alignment vertical="center"/>
    </xf>
    <xf numFmtId="0" fontId="36" fillId="2" borderId="1" xfId="0" applyFont="1" applyFill="1" applyBorder="1" applyAlignment="1">
      <alignment horizontal="center" vertical="center"/>
    </xf>
    <xf numFmtId="1" fontId="0" fillId="0" borderId="1" xfId="0" applyNumberFormat="1" applyFont="1" applyBorder="1" applyAlignment="1"/>
    <xf numFmtId="1" fontId="0" fillId="0" borderId="1" xfId="0" applyNumberFormat="1" applyFont="1" applyBorder="1" applyAlignment="1">
      <alignment horizontal="center"/>
    </xf>
    <xf numFmtId="0" fontId="62" fillId="2" borderId="1" xfId="0" applyFont="1" applyFill="1" applyBorder="1" applyAlignment="1"/>
    <xf numFmtId="0" fontId="62" fillId="2" borderId="1" xfId="0" applyFont="1" applyFill="1" applyBorder="1" applyAlignment="1">
      <alignment vertical="center"/>
    </xf>
    <xf numFmtId="0" fontId="13" fillId="2" borderId="1" xfId="0" applyFont="1" applyFill="1" applyBorder="1" applyAlignment="1">
      <alignment horizontal="center"/>
    </xf>
    <xf numFmtId="0" fontId="0" fillId="14" borderId="1" xfId="0" applyFill="1" applyBorder="1" applyAlignment="1"/>
    <xf numFmtId="0" fontId="35" fillId="14" borderId="1" xfId="0" applyFont="1" applyFill="1" applyBorder="1" applyAlignment="1"/>
    <xf numFmtId="0" fontId="62" fillId="14" borderId="1" xfId="0" applyFont="1" applyFill="1" applyBorder="1" applyAlignment="1"/>
    <xf numFmtId="0" fontId="36" fillId="14" borderId="1" xfId="0" applyFont="1" applyFill="1" applyBorder="1" applyAlignment="1"/>
    <xf numFmtId="0" fontId="62" fillId="14" borderId="1" xfId="0" applyFont="1" applyFill="1" applyBorder="1" applyAlignment="1">
      <alignment vertical="center"/>
    </xf>
    <xf numFmtId="0" fontId="13" fillId="14" borderId="1" xfId="0" applyFont="1" applyFill="1" applyBorder="1" applyAlignment="1">
      <alignment horizontal="center"/>
    </xf>
    <xf numFmtId="0" fontId="67" fillId="2" borderId="1" xfId="0" applyFont="1" applyFill="1" applyBorder="1" applyAlignment="1"/>
    <xf numFmtId="0" fontId="36" fillId="0" borderId="5" xfId="0" applyFont="1" applyBorder="1" applyAlignment="1">
      <alignment vertical="center"/>
    </xf>
    <xf numFmtId="0" fontId="0" fillId="3" borderId="1" xfId="0" applyFont="1" applyFill="1" applyBorder="1" applyAlignment="1">
      <alignment horizontal="center"/>
    </xf>
    <xf numFmtId="0" fontId="41" fillId="2" borderId="13" xfId="0" applyFont="1" applyFill="1" applyBorder="1" applyAlignment="1">
      <alignment horizontal="left" wrapText="1"/>
    </xf>
    <xf numFmtId="0" fontId="36" fillId="0" borderId="6" xfId="0" applyFont="1" applyBorder="1" applyAlignment="1">
      <alignment vertical="center"/>
    </xf>
    <xf numFmtId="0" fontId="57" fillId="2" borderId="1" xfId="0" applyFont="1" applyFill="1" applyBorder="1" applyAlignment="1"/>
    <xf numFmtId="0" fontId="66" fillId="0" borderId="1" xfId="0" applyFont="1" applyBorder="1" applyAlignment="1"/>
    <xf numFmtId="0" fontId="70" fillId="2" borderId="1" xfId="0" applyFont="1" applyFill="1" applyBorder="1" applyAlignment="1"/>
    <xf numFmtId="0" fontId="66" fillId="14" borderId="1" xfId="0" applyFont="1" applyFill="1" applyBorder="1" applyAlignment="1"/>
    <xf numFmtId="0" fontId="32" fillId="14" borderId="1" xfId="0" applyFont="1" applyFill="1" applyBorder="1" applyAlignment="1">
      <alignment horizontal="center"/>
    </xf>
    <xf numFmtId="170" fontId="13" fillId="0" borderId="1" xfId="0" applyNumberFormat="1" applyFont="1" applyBorder="1" applyAlignment="1"/>
    <xf numFmtId="0" fontId="36" fillId="2" borderId="1" xfId="1" applyNumberFormat="1" applyFont="1" applyFill="1" applyBorder="1" applyAlignment="1" applyProtection="1">
      <protection locked="0"/>
    </xf>
    <xf numFmtId="0" fontId="44" fillId="0" borderId="1" xfId="0" applyFont="1" applyBorder="1" applyAlignment="1"/>
    <xf numFmtId="0" fontId="36" fillId="0" borderId="5" xfId="0" applyFont="1" applyBorder="1" applyAlignment="1">
      <alignment horizontal="center"/>
    </xf>
    <xf numFmtId="0" fontId="71" fillId="2" borderId="1" xfId="0" applyFont="1" applyFill="1" applyBorder="1" applyAlignment="1">
      <alignment wrapText="1"/>
    </xf>
    <xf numFmtId="0" fontId="36" fillId="0" borderId="4" xfId="0" applyFont="1" applyBorder="1" applyAlignment="1"/>
    <xf numFmtId="0" fontId="63" fillId="2" borderId="1" xfId="0" applyFont="1" applyFill="1" applyBorder="1" applyAlignment="1"/>
    <xf numFmtId="0" fontId="72" fillId="0" borderId="1" xfId="0" applyFont="1" applyBorder="1" applyAlignment="1">
      <alignment horizontal="center"/>
    </xf>
    <xf numFmtId="0" fontId="13" fillId="14" borderId="1" xfId="0" applyFont="1" applyFill="1" applyBorder="1" applyAlignment="1"/>
    <xf numFmtId="0" fontId="72" fillId="14" borderId="1" xfId="0" applyFont="1" applyFill="1" applyBorder="1" applyAlignment="1">
      <alignment horizontal="center"/>
    </xf>
    <xf numFmtId="0" fontId="36" fillId="0" borderId="11" xfId="0" applyFont="1" applyBorder="1" applyAlignment="1"/>
    <xf numFmtId="0" fontId="74" fillId="0" borderId="1" xfId="0" applyFont="1" applyBorder="1" applyAlignment="1">
      <alignment horizontal="center"/>
    </xf>
    <xf numFmtId="0" fontId="76" fillId="0" borderId="0" xfId="0" applyFont="1" applyBorder="1" applyAlignment="1">
      <alignment horizontal="center"/>
    </xf>
    <xf numFmtId="0" fontId="77" fillId="0" borderId="0" xfId="0" applyFont="1"/>
    <xf numFmtId="171" fontId="77" fillId="0" borderId="0" xfId="0" applyNumberFormat="1" applyFont="1"/>
    <xf numFmtId="2" fontId="76" fillId="0" borderId="0" xfId="0" applyNumberFormat="1" applyFont="1" applyBorder="1" applyAlignment="1">
      <alignment horizontal="center"/>
    </xf>
    <xf numFmtId="164" fontId="76" fillId="0" borderId="0" xfId="0" applyNumberFormat="1" applyFont="1" applyBorder="1" applyAlignment="1">
      <alignment horizontal="center"/>
    </xf>
    <xf numFmtId="2" fontId="74" fillId="0" borderId="0" xfId="0" applyNumberFormat="1" applyFont="1" applyBorder="1" applyAlignment="1">
      <alignment horizontal="center"/>
    </xf>
    <xf numFmtId="2" fontId="74" fillId="0" borderId="0" xfId="0" applyNumberFormat="1" applyFont="1" applyBorder="1" applyAlignment="1"/>
    <xf numFmtId="1" fontId="77" fillId="0" borderId="0" xfId="0" applyNumberFormat="1" applyFont="1"/>
    <xf numFmtId="172" fontId="77" fillId="0" borderId="0" xfId="0" applyNumberFormat="1" applyFont="1"/>
    <xf numFmtId="164" fontId="77" fillId="0" borderId="0" xfId="0" applyNumberFormat="1" applyFont="1"/>
    <xf numFmtId="0" fontId="77" fillId="0" borderId="0" xfId="0" applyFont="1" applyAlignment="1">
      <alignment vertical="center"/>
    </xf>
    <xf numFmtId="1" fontId="77" fillId="0" borderId="0" xfId="0" applyNumberFormat="1" applyFont="1" applyAlignment="1">
      <alignment vertical="center"/>
    </xf>
    <xf numFmtId="164" fontId="77" fillId="0" borderId="0" xfId="0" applyNumberFormat="1" applyFont="1" applyAlignment="1">
      <alignment horizontal="center"/>
    </xf>
    <xf numFmtId="0" fontId="58" fillId="0" borderId="1" xfId="0" applyFont="1" applyBorder="1" applyAlignment="1">
      <alignment vertical="center"/>
    </xf>
    <xf numFmtId="49" fontId="5" fillId="0" borderId="3" xfId="0" applyNumberFormat="1" applyFont="1" applyBorder="1" applyAlignment="1">
      <alignment vertical="center"/>
    </xf>
    <xf numFmtId="0" fontId="58" fillId="0" borderId="4" xfId="0" applyFont="1" applyBorder="1" applyAlignment="1">
      <alignment vertical="center"/>
    </xf>
    <xf numFmtId="0" fontId="5" fillId="0" borderId="2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22" fillId="0" borderId="2" xfId="0" applyFont="1" applyBorder="1" applyAlignment="1">
      <alignment horizontal="center" vertical="center"/>
    </xf>
    <xf numFmtId="0" fontId="58" fillId="0" borderId="1" xfId="0" applyFont="1" applyBorder="1" applyAlignment="1">
      <alignment horizontal="center" vertical="center"/>
    </xf>
    <xf numFmtId="0" fontId="58" fillId="0" borderId="2" xfId="0" applyFont="1" applyBorder="1" applyAlignment="1">
      <alignment horizontal="center" vertical="center"/>
    </xf>
    <xf numFmtId="0" fontId="58" fillId="0" borderId="1" xfId="0" applyFont="1" applyBorder="1" applyAlignment="1">
      <alignment horizontal="left" vertical="center"/>
    </xf>
    <xf numFmtId="0" fontId="58" fillId="2" borderId="1" xfId="0" applyFont="1" applyFill="1" applyBorder="1" applyAlignment="1">
      <alignment horizontal="center" vertical="center"/>
    </xf>
    <xf numFmtId="1" fontId="58" fillId="2" borderId="2" xfId="0" applyNumberFormat="1" applyFont="1" applyFill="1" applyBorder="1" applyAlignment="1">
      <alignment horizontal="center" vertical="center"/>
    </xf>
    <xf numFmtId="2" fontId="5" fillId="2" borderId="1" xfId="0" applyNumberFormat="1" applyFont="1" applyFill="1" applyBorder="1" applyAlignment="1">
      <alignment horizontal="center" vertical="center"/>
    </xf>
    <xf numFmtId="1" fontId="58" fillId="0" borderId="2" xfId="0" applyNumberFormat="1" applyFont="1" applyBorder="1" applyAlignment="1">
      <alignment horizontal="center" vertical="center"/>
    </xf>
    <xf numFmtId="0" fontId="58" fillId="2" borderId="4" xfId="0" applyFont="1" applyFill="1" applyBorder="1" applyAlignment="1">
      <alignment vertical="center"/>
    </xf>
    <xf numFmtId="2" fontId="5" fillId="0" borderId="1" xfId="0" applyNumberFormat="1" applyFont="1" applyBorder="1" applyAlignment="1">
      <alignment horizontal="center" vertical="center"/>
    </xf>
    <xf numFmtId="0" fontId="58" fillId="3" borderId="1" xfId="0" applyFont="1" applyFill="1" applyBorder="1" applyAlignment="1">
      <alignment horizontal="left" vertical="center"/>
    </xf>
    <xf numFmtId="1" fontId="58" fillId="0" borderId="4" xfId="0" applyNumberFormat="1" applyFont="1" applyBorder="1" applyAlignment="1">
      <alignment vertical="center"/>
    </xf>
    <xf numFmtId="0" fontId="58" fillId="0" borderId="5" xfId="0" applyFont="1" applyBorder="1" applyAlignment="1">
      <alignment horizontal="center" vertical="center"/>
    </xf>
    <xf numFmtId="0" fontId="58" fillId="0" borderId="5" xfId="0" applyFont="1" applyBorder="1" applyAlignment="1">
      <alignment horizontal="left" vertical="center"/>
    </xf>
    <xf numFmtId="0" fontId="58" fillId="0" borderId="9" xfId="0" applyFont="1" applyBorder="1" applyAlignment="1">
      <alignment vertical="center"/>
    </xf>
    <xf numFmtId="0" fontId="78" fillId="0" borderId="4" xfId="0" applyFont="1" applyBorder="1" applyAlignment="1">
      <alignment vertical="center" wrapText="1"/>
    </xf>
    <xf numFmtId="0" fontId="58" fillId="2" borderId="2" xfId="0" applyFont="1" applyFill="1" applyBorder="1" applyAlignment="1">
      <alignment horizontal="center" vertical="center"/>
    </xf>
    <xf numFmtId="2" fontId="10" fillId="2" borderId="1" xfId="0" applyNumberFormat="1" applyFont="1" applyFill="1" applyBorder="1" applyAlignment="1">
      <alignment horizontal="center" vertical="center"/>
    </xf>
    <xf numFmtId="1" fontId="58" fillId="2" borderId="1" xfId="0" applyNumberFormat="1" applyFont="1" applyFill="1" applyBorder="1" applyAlignment="1">
      <alignment horizontal="center" vertical="center"/>
    </xf>
    <xf numFmtId="0" fontId="32" fillId="0" borderId="1" xfId="0" applyFont="1" applyBorder="1" applyAlignment="1">
      <alignment horizontal="center" vertical="center"/>
    </xf>
    <xf numFmtId="0" fontId="32" fillId="0" borderId="1" xfId="0" applyFont="1" applyBorder="1" applyAlignment="1">
      <alignment horizontal="left" vertical="center"/>
    </xf>
    <xf numFmtId="1" fontId="32" fillId="0" borderId="2" xfId="0" applyNumberFormat="1" applyFont="1" applyBorder="1" applyAlignment="1">
      <alignment horizontal="center" vertical="center"/>
    </xf>
    <xf numFmtId="0" fontId="32" fillId="0" borderId="4" xfId="0" applyFont="1" applyBorder="1" applyAlignment="1">
      <alignment vertical="center"/>
    </xf>
    <xf numFmtId="0" fontId="58" fillId="0" borderId="6" xfId="0" applyFont="1" applyBorder="1" applyAlignment="1">
      <alignment horizontal="center" vertical="center"/>
    </xf>
    <xf numFmtId="0" fontId="58" fillId="3" borderId="6" xfId="0" applyFont="1" applyFill="1" applyBorder="1" applyAlignment="1">
      <alignment horizontal="left" vertical="center"/>
    </xf>
    <xf numFmtId="1" fontId="58" fillId="0" borderId="1" xfId="0" applyNumberFormat="1" applyFont="1" applyBorder="1" applyAlignment="1">
      <alignment horizontal="center" vertical="center"/>
    </xf>
    <xf numFmtId="0" fontId="58" fillId="0" borderId="13" xfId="0" applyFont="1" applyBorder="1" applyAlignment="1">
      <alignment vertical="center"/>
    </xf>
    <xf numFmtId="0" fontId="58" fillId="3" borderId="1" xfId="0" applyFont="1" applyFill="1" applyBorder="1" applyAlignment="1">
      <alignment vertical="center"/>
    </xf>
    <xf numFmtId="0" fontId="58" fillId="0" borderId="0" xfId="0" applyFont="1" applyBorder="1" applyAlignment="1">
      <alignment horizontal="center" vertical="center"/>
    </xf>
    <xf numFmtId="0" fontId="58" fillId="0" borderId="0" xfId="0" applyFont="1" applyBorder="1" applyAlignment="1">
      <alignment vertical="center"/>
    </xf>
    <xf numFmtId="0" fontId="14" fillId="0" borderId="0" xfId="0" applyFont="1" applyAlignment="1">
      <alignment vertical="center"/>
    </xf>
    <xf numFmtId="2" fontId="5" fillId="6" borderId="1" xfId="0" applyNumberFormat="1" applyFont="1" applyFill="1" applyBorder="1" applyAlignment="1">
      <alignment horizontal="center" vertical="center"/>
    </xf>
    <xf numFmtId="0" fontId="58" fillId="2" borderId="1" xfId="0" applyFont="1" applyFill="1" applyBorder="1" applyAlignment="1">
      <alignment horizontal="left" vertical="center"/>
    </xf>
    <xf numFmtId="2" fontId="79" fillId="2" borderId="1" xfId="0" applyNumberFormat="1" applyFont="1" applyFill="1" applyBorder="1" applyAlignment="1">
      <alignment horizontal="center" vertical="center"/>
    </xf>
    <xf numFmtId="0" fontId="32" fillId="0" borderId="0" xfId="0" applyFont="1" applyAlignment="1">
      <alignment vertical="center"/>
    </xf>
    <xf numFmtId="0" fontId="58" fillId="0" borderId="3" xfId="0" applyFont="1" applyBorder="1" applyAlignment="1">
      <alignment horizontal="center" vertical="center"/>
    </xf>
    <xf numFmtId="0" fontId="32" fillId="0" borderId="3" xfId="0" applyFont="1" applyBorder="1" applyAlignment="1">
      <alignment horizontal="center" vertical="center"/>
    </xf>
    <xf numFmtId="0" fontId="80" fillId="0" borderId="0" xfId="0" applyFont="1" applyBorder="1" applyAlignment="1">
      <alignment horizontal="justify" vertical="center" wrapText="1"/>
    </xf>
    <xf numFmtId="1" fontId="80" fillId="0" borderId="0" xfId="0" applyNumberFormat="1" applyFont="1" applyBorder="1" applyAlignment="1">
      <alignment horizontal="center" vertical="center" wrapText="1"/>
    </xf>
    <xf numFmtId="0" fontId="80" fillId="2" borderId="0" xfId="0" applyFont="1" applyFill="1" applyBorder="1" applyAlignment="1">
      <alignment horizontal="justify" vertical="center" wrapText="1"/>
    </xf>
    <xf numFmtId="0" fontId="0" fillId="2" borderId="0" xfId="0" applyFill="1" applyAlignment="1">
      <alignment horizontal="left"/>
    </xf>
    <xf numFmtId="0" fontId="1" fillId="2" borderId="1" xfId="0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/>
    </xf>
    <xf numFmtId="0" fontId="31" fillId="2" borderId="1" xfId="0" applyFont="1" applyFill="1" applyBorder="1" applyAlignment="1">
      <alignment horizontal="center" vertical="center" wrapText="1"/>
    </xf>
    <xf numFmtId="14" fontId="14" fillId="2" borderId="1" xfId="0" applyNumberFormat="1" applyFont="1" applyFill="1" applyBorder="1" applyAlignment="1">
      <alignment horizontal="center" vertical="center" wrapText="1"/>
    </xf>
    <xf numFmtId="170" fontId="1" fillId="2" borderId="1" xfId="0" applyNumberFormat="1" applyFont="1" applyFill="1" applyBorder="1" applyAlignment="1">
      <alignment horizontal="center"/>
    </xf>
    <xf numFmtId="0" fontId="81" fillId="2" borderId="1" xfId="0" applyFont="1" applyFill="1" applyBorder="1" applyAlignment="1">
      <alignment horizontal="left"/>
    </xf>
    <xf numFmtId="0" fontId="82" fillId="2" borderId="1" xfId="0" applyFont="1" applyFill="1" applyBorder="1" applyAlignment="1">
      <alignment horizontal="left"/>
    </xf>
    <xf numFmtId="0" fontId="6" fillId="2" borderId="1" xfId="0" applyFont="1" applyFill="1" applyBorder="1" applyAlignment="1">
      <alignment horizontal="left"/>
    </xf>
    <xf numFmtId="0" fontId="0" fillId="2" borderId="0" xfId="0" applyFill="1" applyAlignment="1">
      <alignment horizontal="center"/>
    </xf>
    <xf numFmtId="2" fontId="0" fillId="2" borderId="0" xfId="0" applyNumberFormat="1" applyFill="1"/>
    <xf numFmtId="0" fontId="83" fillId="2" borderId="1" xfId="0" applyFont="1" applyFill="1" applyBorder="1" applyAlignment="1">
      <alignment horizontal="left"/>
    </xf>
    <xf numFmtId="0" fontId="1" fillId="2" borderId="1" xfId="0" applyFont="1" applyFill="1" applyBorder="1" applyAlignment="1">
      <alignment horizontal="center" wrapText="1"/>
    </xf>
    <xf numFmtId="0" fontId="6" fillId="2" borderId="1" xfId="0" applyFont="1" applyFill="1" applyBorder="1" applyAlignment="1">
      <alignment horizontal="left" vertical="center"/>
    </xf>
    <xf numFmtId="10" fontId="1" fillId="2" borderId="1" xfId="2" applyNumberFormat="1" applyFont="1" applyFill="1" applyBorder="1" applyAlignment="1" applyProtection="1">
      <alignment horizontal="center"/>
    </xf>
    <xf numFmtId="0" fontId="84" fillId="2" borderId="1" xfId="0" applyFont="1" applyFill="1" applyBorder="1" applyAlignment="1">
      <alignment horizontal="left"/>
    </xf>
    <xf numFmtId="0" fontId="1" fillId="2" borderId="5" xfId="0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/>
    </xf>
    <xf numFmtId="0" fontId="1" fillId="2" borderId="6" xfId="0" applyFont="1" applyFill="1" applyBorder="1" applyAlignment="1">
      <alignment vertical="center"/>
    </xf>
    <xf numFmtId="2" fontId="0" fillId="2" borderId="1" xfId="0" applyNumberFormat="1" applyFill="1" applyBorder="1" applyAlignment="1">
      <alignment horizontal="center" vertical="center"/>
    </xf>
    <xf numFmtId="0" fontId="11" fillId="2" borderId="1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left"/>
    </xf>
    <xf numFmtId="1" fontId="6" fillId="2" borderId="1" xfId="0" applyNumberFormat="1" applyFont="1" applyFill="1" applyBorder="1" applyAlignment="1">
      <alignment horizontal="center"/>
    </xf>
    <xf numFmtId="0" fontId="85" fillId="2" borderId="1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left"/>
    </xf>
    <xf numFmtId="0" fontId="1" fillId="3" borderId="1" xfId="0" applyFont="1" applyFill="1" applyBorder="1" applyAlignment="1">
      <alignment horizontal="left"/>
    </xf>
    <xf numFmtId="173" fontId="1" fillId="2" borderId="1" xfId="0" applyNumberFormat="1" applyFont="1" applyFill="1" applyBorder="1" applyAlignment="1">
      <alignment horizontal="center"/>
    </xf>
    <xf numFmtId="170" fontId="0" fillId="2" borderId="0" xfId="0" applyNumberFormat="1" applyFill="1"/>
    <xf numFmtId="0" fontId="54" fillId="2" borderId="1" xfId="0" applyFont="1" applyFill="1" applyBorder="1" applyAlignment="1">
      <alignment horizontal="left"/>
    </xf>
    <xf numFmtId="0" fontId="7" fillId="2" borderId="1" xfId="0" applyFont="1" applyFill="1" applyBorder="1" applyAlignment="1">
      <alignment vertical="center" wrapText="1"/>
    </xf>
    <xf numFmtId="10" fontId="9" fillId="2" borderId="1" xfId="0" applyNumberFormat="1" applyFont="1" applyFill="1" applyBorder="1" applyAlignment="1">
      <alignment horizontal="center"/>
    </xf>
    <xf numFmtId="14" fontId="0" fillId="2" borderId="0" xfId="0" applyNumberFormat="1" applyFill="1"/>
    <xf numFmtId="10" fontId="6" fillId="2" borderId="1" xfId="2" applyNumberFormat="1" applyFont="1" applyFill="1" applyBorder="1" applyAlignment="1" applyProtection="1">
      <alignment horizontal="center"/>
    </xf>
    <xf numFmtId="174" fontId="6" fillId="2" borderId="1" xfId="2" applyNumberFormat="1" applyFont="1" applyFill="1" applyBorder="1" applyAlignment="1" applyProtection="1">
      <alignment horizontal="center"/>
    </xf>
    <xf numFmtId="1" fontId="6" fillId="3" borderId="1" xfId="0" applyNumberFormat="1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 wrapText="1"/>
    </xf>
    <xf numFmtId="1" fontId="0" fillId="3" borderId="1" xfId="0" applyNumberFormat="1" applyFill="1" applyBorder="1" applyAlignment="1">
      <alignment horizontal="center"/>
    </xf>
    <xf numFmtId="0" fontId="6" fillId="2" borderId="1" xfId="0" applyFont="1" applyFill="1" applyBorder="1" applyAlignment="1">
      <alignment horizontal="center" wrapText="1"/>
    </xf>
    <xf numFmtId="1" fontId="0" fillId="2" borderId="0" xfId="0" applyNumberFormat="1" applyFill="1"/>
    <xf numFmtId="0" fontId="36" fillId="2" borderId="1" xfId="0" applyFont="1" applyFill="1" applyBorder="1" applyAlignment="1">
      <alignment horizontal="left"/>
    </xf>
    <xf numFmtId="14" fontId="5" fillId="2" borderId="1" xfId="0" applyNumberFormat="1" applyFont="1" applyFill="1" applyBorder="1" applyAlignment="1">
      <alignment horizontal="center" vertical="center"/>
    </xf>
    <xf numFmtId="170" fontId="5" fillId="2" borderId="1" xfId="0" applyNumberFormat="1" applyFont="1" applyFill="1" applyBorder="1" applyAlignment="1">
      <alignment horizontal="center"/>
    </xf>
    <xf numFmtId="1" fontId="7" fillId="2" borderId="1" xfId="0" applyNumberFormat="1" applyFont="1" applyFill="1" applyBorder="1" applyAlignment="1">
      <alignment horizontal="center"/>
    </xf>
    <xf numFmtId="1" fontId="1" fillId="2" borderId="1" xfId="0" applyNumberFormat="1" applyFont="1" applyFill="1" applyBorder="1" applyAlignment="1">
      <alignment horizontal="center" wrapText="1"/>
    </xf>
    <xf numFmtId="10" fontId="1" fillId="2" borderId="1" xfId="0" applyNumberFormat="1" applyFont="1" applyFill="1" applyBorder="1" applyAlignment="1">
      <alignment horizontal="center" wrapText="1"/>
    </xf>
    <xf numFmtId="0" fontId="50" fillId="2" borderId="1" xfId="0" applyFont="1" applyFill="1" applyBorder="1" applyAlignment="1">
      <alignment horizontal="left"/>
    </xf>
    <xf numFmtId="0" fontId="86" fillId="2" borderId="1" xfId="0" applyFont="1" applyFill="1" applyBorder="1" applyAlignment="1">
      <alignment horizontal="left"/>
    </xf>
    <xf numFmtId="0" fontId="6" fillId="2" borderId="1" xfId="0" applyFont="1" applyFill="1" applyBorder="1" applyAlignment="1">
      <alignment horizontal="left" wrapText="1"/>
    </xf>
    <xf numFmtId="0" fontId="87" fillId="0" borderId="1" xfId="0" applyFont="1" applyBorder="1" applyAlignment="1">
      <alignment horizontal="center" wrapText="1"/>
    </xf>
    <xf numFmtId="2" fontId="6" fillId="2" borderId="1" xfId="0" applyNumberFormat="1" applyFont="1" applyFill="1" applyBorder="1" applyAlignment="1">
      <alignment horizontal="center" vertical="center"/>
    </xf>
    <xf numFmtId="165" fontId="1" fillId="2" borderId="1" xfId="0" applyNumberFormat="1" applyFont="1" applyFill="1" applyBorder="1" applyAlignment="1">
      <alignment horizontal="center" vertical="center"/>
    </xf>
    <xf numFmtId="2" fontId="1" fillId="2" borderId="1" xfId="0" applyNumberFormat="1" applyFont="1" applyFill="1" applyBorder="1" applyAlignment="1">
      <alignment horizontal="center" vertical="center"/>
    </xf>
    <xf numFmtId="2" fontId="5" fillId="2" borderId="1" xfId="0" applyNumberFormat="1" applyFont="1" applyFill="1" applyBorder="1" applyAlignment="1">
      <alignment horizontal="center"/>
    </xf>
    <xf numFmtId="10" fontId="5" fillId="2" borderId="1" xfId="0" applyNumberFormat="1" applyFont="1" applyFill="1" applyBorder="1" applyAlignment="1">
      <alignment horizontal="center" wrapText="1"/>
    </xf>
    <xf numFmtId="2" fontId="5" fillId="2" borderId="1" xfId="0" applyNumberFormat="1" applyFont="1" applyFill="1" applyBorder="1" applyAlignment="1">
      <alignment horizontal="center" wrapText="1"/>
    </xf>
    <xf numFmtId="0" fontId="31" fillId="2" borderId="1" xfId="0" applyFont="1" applyFill="1" applyBorder="1" applyAlignment="1">
      <alignment horizontal="left" vertical="center" wrapText="1"/>
    </xf>
    <xf numFmtId="2" fontId="1" fillId="2" borderId="1" xfId="0" applyNumberFormat="1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1" fontId="0" fillId="2" borderId="0" xfId="0" applyNumberFormat="1" applyFill="1" applyAlignment="1">
      <alignment horizontal="center"/>
    </xf>
    <xf numFmtId="0" fontId="88" fillId="2" borderId="1" xfId="0" applyFont="1" applyFill="1" applyBorder="1" applyAlignment="1">
      <alignment horizontal="center" vertical="center" wrapText="1"/>
    </xf>
    <xf numFmtId="0" fontId="89" fillId="2" borderId="1" xfId="0" applyFont="1" applyFill="1" applyBorder="1" applyAlignment="1">
      <alignment horizontal="center" vertical="center" wrapText="1"/>
    </xf>
    <xf numFmtId="0" fontId="1" fillId="15" borderId="1" xfId="0" applyFont="1" applyFill="1" applyBorder="1" applyAlignment="1">
      <alignment horizontal="center"/>
    </xf>
    <xf numFmtId="0" fontId="6" fillId="15" borderId="1" xfId="0" applyFont="1" applyFill="1" applyBorder="1" applyAlignment="1">
      <alignment horizontal="left"/>
    </xf>
    <xf numFmtId="0" fontId="1" fillId="15" borderId="1" xfId="0" applyFont="1" applyFill="1" applyBorder="1" applyAlignment="1">
      <alignment horizontal="left"/>
    </xf>
    <xf numFmtId="2" fontId="1" fillId="15" borderId="1" xfId="0" applyNumberFormat="1" applyFont="1" applyFill="1" applyBorder="1" applyAlignment="1">
      <alignment horizontal="center"/>
    </xf>
    <xf numFmtId="1" fontId="1" fillId="15" borderId="1" xfId="0" applyNumberFormat="1" applyFont="1" applyFill="1" applyBorder="1" applyAlignment="1">
      <alignment horizontal="center"/>
    </xf>
    <xf numFmtId="165" fontId="6" fillId="2" borderId="1" xfId="0" applyNumberFormat="1" applyFont="1" applyFill="1" applyBorder="1" applyAlignment="1">
      <alignment horizontal="right" vertical="top" shrinkToFit="1"/>
    </xf>
    <xf numFmtId="0" fontId="0" fillId="2" borderId="0" xfId="0" applyFont="1" applyFill="1" applyAlignment="1">
      <alignment horizontal="center"/>
    </xf>
    <xf numFmtId="2" fontId="6" fillId="2" borderId="1" xfId="0" applyNumberFormat="1" applyFont="1" applyFill="1" applyBorder="1" applyAlignment="1">
      <alignment horizontal="center"/>
    </xf>
    <xf numFmtId="0" fontId="0" fillId="2" borderId="0" xfId="0" applyFont="1" applyFill="1"/>
    <xf numFmtId="0" fontId="1" fillId="4" borderId="1" xfId="0" applyFont="1" applyFill="1" applyBorder="1" applyAlignment="1">
      <alignment horizontal="left"/>
    </xf>
    <xf numFmtId="2" fontId="6" fillId="4" borderId="1" xfId="0" applyNumberFormat="1" applyFont="1" applyFill="1" applyBorder="1" applyAlignment="1">
      <alignment horizontal="center"/>
    </xf>
    <xf numFmtId="2" fontId="1" fillId="4" borderId="1" xfId="0" applyNumberFormat="1" applyFont="1" applyFill="1" applyBorder="1" applyAlignment="1">
      <alignment horizontal="center"/>
    </xf>
    <xf numFmtId="1" fontId="1" fillId="4" borderId="1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center" wrapText="1"/>
    </xf>
    <xf numFmtId="0" fontId="6" fillId="16" borderId="1" xfId="0" applyFont="1" applyFill="1" applyBorder="1" applyAlignment="1">
      <alignment horizontal="left"/>
    </xf>
    <xf numFmtId="0" fontId="1" fillId="16" borderId="1" xfId="0" applyFont="1" applyFill="1" applyBorder="1" applyAlignment="1">
      <alignment horizontal="left"/>
    </xf>
    <xf numFmtId="2" fontId="1" fillId="16" borderId="1" xfId="0" applyNumberFormat="1" applyFont="1" applyFill="1" applyBorder="1" applyAlignment="1">
      <alignment horizontal="center"/>
    </xf>
    <xf numFmtId="0" fontId="1" fillId="16" borderId="1" xfId="0" applyFont="1" applyFill="1" applyBorder="1" applyAlignment="1">
      <alignment horizontal="center"/>
    </xf>
    <xf numFmtId="1" fontId="1" fillId="16" borderId="1" xfId="0" applyNumberFormat="1" applyFont="1" applyFill="1" applyBorder="1" applyAlignment="1">
      <alignment horizontal="center"/>
    </xf>
    <xf numFmtId="9" fontId="11" fillId="2" borderId="1" xfId="2" applyFont="1" applyFill="1" applyBorder="1" applyAlignment="1" applyProtection="1">
      <alignment horizontal="center"/>
    </xf>
    <xf numFmtId="10" fontId="89" fillId="2" borderId="1" xfId="0" applyNumberFormat="1" applyFont="1" applyFill="1" applyBorder="1" applyAlignment="1">
      <alignment horizontal="center" vertical="center" wrapText="1"/>
    </xf>
    <xf numFmtId="2" fontId="7" fillId="2" borderId="1" xfId="0" applyNumberFormat="1" applyFont="1" applyFill="1" applyBorder="1" applyAlignment="1">
      <alignment horizontal="center"/>
    </xf>
    <xf numFmtId="1" fontId="1" fillId="2" borderId="1" xfId="0" applyNumberFormat="1" applyFont="1" applyFill="1" applyBorder="1" applyAlignment="1">
      <alignment horizontal="center" vertical="center" wrapText="1"/>
    </xf>
    <xf numFmtId="165" fontId="1" fillId="2" borderId="1" xfId="0" applyNumberFormat="1" applyFont="1" applyFill="1" applyBorder="1" applyAlignment="1">
      <alignment horizontal="left"/>
    </xf>
    <xf numFmtId="172" fontId="1" fillId="2" borderId="1" xfId="0" applyNumberFormat="1" applyFont="1" applyFill="1" applyBorder="1" applyAlignment="1">
      <alignment horizontal="center"/>
    </xf>
    <xf numFmtId="1" fontId="1" fillId="2" borderId="11" xfId="0" applyNumberFormat="1" applyFont="1" applyFill="1" applyBorder="1" applyAlignment="1">
      <alignment horizontal="center"/>
    </xf>
    <xf numFmtId="0" fontId="1" fillId="2" borderId="1" xfId="0" applyFont="1" applyFill="1" applyBorder="1" applyAlignment="1"/>
    <xf numFmtId="0" fontId="0" fillId="2" borderId="2" xfId="0" applyFill="1" applyBorder="1" applyAlignment="1">
      <alignment horizontal="center"/>
    </xf>
    <xf numFmtId="0" fontId="90" fillId="2" borderId="1" xfId="0" applyFont="1" applyFill="1" applyBorder="1" applyAlignment="1">
      <alignment horizontal="left"/>
    </xf>
    <xf numFmtId="0" fontId="91" fillId="2" borderId="1" xfId="0" applyFont="1" applyFill="1" applyBorder="1" applyAlignment="1">
      <alignment horizontal="justify" vertical="center"/>
    </xf>
    <xf numFmtId="2" fontId="1" fillId="3" borderId="1" xfId="0" applyNumberFormat="1" applyFont="1" applyFill="1" applyBorder="1" applyAlignment="1">
      <alignment horizontal="center"/>
    </xf>
    <xf numFmtId="0" fontId="91" fillId="15" borderId="1" xfId="0" applyFont="1" applyFill="1" applyBorder="1" applyAlignment="1">
      <alignment horizontal="justify" vertical="center"/>
    </xf>
    <xf numFmtId="0" fontId="8" fillId="2" borderId="1" xfId="0" applyFont="1" applyFill="1" applyBorder="1" applyAlignment="1">
      <alignment horizontal="left" wrapText="1"/>
    </xf>
    <xf numFmtId="0" fontId="84" fillId="2" borderId="1" xfId="0" applyFont="1" applyFill="1" applyBorder="1" applyAlignment="1">
      <alignment horizontal="left" wrapText="1"/>
    </xf>
    <xf numFmtId="2" fontId="1" fillId="2" borderId="1" xfId="0" applyNumberFormat="1" applyFont="1" applyFill="1" applyBorder="1" applyAlignment="1">
      <alignment horizontal="left"/>
    </xf>
    <xf numFmtId="0" fontId="38" fillId="2" borderId="2" xfId="0" applyFont="1" applyFill="1" applyBorder="1" applyAlignment="1">
      <alignment horizontal="center"/>
    </xf>
    <xf numFmtId="0" fontId="38" fillId="2" borderId="3" xfId="0" applyFont="1" applyFill="1" applyBorder="1" applyAlignment="1">
      <alignment horizontal="center"/>
    </xf>
    <xf numFmtId="0" fontId="38" fillId="2" borderId="4" xfId="0" applyFont="1" applyFill="1" applyBorder="1" applyAlignment="1">
      <alignment horizontal="center"/>
    </xf>
    <xf numFmtId="0" fontId="92" fillId="2" borderId="1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left"/>
    </xf>
    <xf numFmtId="0" fontId="84" fillId="2" borderId="1" xfId="0" applyFont="1" applyFill="1" applyBorder="1" applyAlignment="1">
      <alignment horizontal="left" vertical="top"/>
    </xf>
    <xf numFmtId="0" fontId="1" fillId="2" borderId="1" xfId="0" applyFont="1" applyFill="1" applyBorder="1" applyAlignment="1">
      <alignment horizontal="left" vertical="top"/>
    </xf>
    <xf numFmtId="0" fontId="1" fillId="2" borderId="1" xfId="0" applyFont="1" applyFill="1" applyBorder="1" applyAlignment="1">
      <alignment horizontal="left" wrapText="1"/>
    </xf>
    <xf numFmtId="0" fontId="85" fillId="2" borderId="1" xfId="0" applyFont="1" applyFill="1" applyBorder="1" applyAlignment="1">
      <alignment horizontal="center"/>
    </xf>
    <xf numFmtId="0" fontId="7" fillId="2" borderId="1" xfId="0" applyFont="1" applyFill="1" applyBorder="1" applyAlignment="1"/>
    <xf numFmtId="166" fontId="1" fillId="2" borderId="1" xfId="0" applyNumberFormat="1" applyFont="1" applyFill="1" applyBorder="1" applyAlignment="1">
      <alignment horizontal="center"/>
    </xf>
    <xf numFmtId="1" fontId="1" fillId="3" borderId="1" xfId="0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 applyProtection="1">
      <alignment horizontal="center"/>
    </xf>
    <xf numFmtId="0" fontId="6" fillId="3" borderId="1" xfId="0" applyFont="1" applyFill="1" applyBorder="1" applyAlignment="1">
      <alignment horizontal="center"/>
    </xf>
    <xf numFmtId="165" fontId="1" fillId="3" borderId="1" xfId="0" applyNumberFormat="1" applyFont="1" applyFill="1" applyBorder="1" applyAlignment="1">
      <alignment horizontal="center"/>
    </xf>
    <xf numFmtId="0" fontId="39" fillId="0" borderId="1" xfId="0" applyFont="1" applyBorder="1" applyAlignment="1">
      <alignment horizontal="center" vertical="center"/>
    </xf>
    <xf numFmtId="165" fontId="0" fillId="2" borderId="1" xfId="0" applyNumberFormat="1" applyFill="1" applyBorder="1" applyAlignment="1">
      <alignment horizontal="center"/>
    </xf>
    <xf numFmtId="0" fontId="93" fillId="2" borderId="1" xfId="0" applyFont="1" applyFill="1" applyBorder="1" applyAlignment="1">
      <alignment horizontal="left"/>
    </xf>
    <xf numFmtId="175" fontId="1" fillId="2" borderId="1" xfId="0" applyNumberFormat="1" applyFont="1" applyFill="1" applyBorder="1" applyAlignment="1">
      <alignment horizontal="center"/>
    </xf>
    <xf numFmtId="0" fontId="1" fillId="2" borderId="0" xfId="0" applyFont="1" applyFill="1" applyBorder="1" applyAlignment="1">
      <alignment horizontal="left"/>
    </xf>
    <xf numFmtId="1" fontId="1" fillId="2" borderId="0" xfId="0" applyNumberFormat="1" applyFont="1" applyFill="1" applyBorder="1" applyAlignment="1">
      <alignment horizontal="center"/>
    </xf>
    <xf numFmtId="1" fontId="1" fillId="2" borderId="0" xfId="0" applyNumberFormat="1" applyFont="1" applyFill="1" applyBorder="1" applyAlignment="1">
      <alignment horizontal="center" vertical="center"/>
    </xf>
    <xf numFmtId="165" fontId="0" fillId="2" borderId="0" xfId="0" applyNumberFormat="1" applyFill="1"/>
    <xf numFmtId="0" fontId="0" fillId="0" borderId="0" xfId="0" applyFont="1" applyAlignment="1">
      <alignment horizontal="center" vertical="center"/>
    </xf>
    <xf numFmtId="0" fontId="71" fillId="2" borderId="0" xfId="0" applyFont="1" applyFill="1"/>
    <xf numFmtId="0" fontId="44" fillId="2" borderId="0" xfId="0" applyFont="1" applyFill="1"/>
    <xf numFmtId="49" fontId="21" fillId="2" borderId="10" xfId="0" applyNumberFormat="1" applyFont="1" applyFill="1" applyBorder="1" applyAlignment="1">
      <alignment horizontal="center" vertical="center" wrapText="1"/>
    </xf>
    <xf numFmtId="0" fontId="63" fillId="2" borderId="1" xfId="0" applyFont="1" applyFill="1" applyBorder="1" applyAlignment="1">
      <alignment vertical="center" wrapText="1"/>
    </xf>
    <xf numFmtId="0" fontId="21" fillId="2" borderId="1" xfId="0" applyFont="1" applyFill="1" applyBorder="1" applyAlignment="1">
      <alignment horizontal="center" vertical="center" wrapText="1"/>
    </xf>
    <xf numFmtId="0" fontId="95" fillId="2" borderId="1" xfId="0" applyFont="1" applyFill="1" applyBorder="1" applyAlignment="1">
      <alignment horizontal="center" vertical="center" wrapText="1"/>
    </xf>
    <xf numFmtId="0" fontId="21" fillId="2" borderId="1" xfId="0" applyFont="1" applyFill="1" applyBorder="1" applyAlignment="1">
      <alignment horizontal="left" vertical="center" wrapText="1"/>
    </xf>
    <xf numFmtId="0" fontId="64" fillId="2" borderId="1" xfId="0" applyFont="1" applyFill="1" applyBorder="1" applyAlignment="1">
      <alignment horizontal="center" vertical="center" wrapText="1"/>
    </xf>
    <xf numFmtId="0" fontId="21" fillId="2" borderId="10" xfId="0" applyFont="1" applyFill="1" applyBorder="1" applyAlignment="1">
      <alignment horizontal="center" vertical="center" wrapText="1"/>
    </xf>
    <xf numFmtId="0" fontId="96" fillId="2" borderId="1" xfId="0" applyFont="1" applyFill="1" applyBorder="1" applyAlignment="1">
      <alignment horizontal="left" vertical="center" wrapText="1"/>
    </xf>
    <xf numFmtId="166" fontId="0" fillId="2" borderId="1" xfId="0" applyNumberFormat="1" applyFill="1" applyBorder="1" applyAlignment="1">
      <alignment horizontal="center" vertical="center"/>
    </xf>
    <xf numFmtId="0" fontId="36" fillId="2" borderId="1" xfId="0" applyFont="1" applyFill="1" applyBorder="1" applyAlignment="1">
      <alignment horizontal="center" vertical="center" wrapText="1"/>
    </xf>
    <xf numFmtId="0" fontId="11" fillId="2" borderId="1" xfId="0" applyFont="1" applyFill="1" applyBorder="1" applyAlignment="1">
      <alignment horizontal="center" vertical="center" wrapText="1"/>
    </xf>
    <xf numFmtId="1" fontId="36" fillId="2" borderId="1" xfId="0" applyNumberFormat="1" applyFont="1" applyFill="1" applyBorder="1" applyAlignment="1">
      <alignment horizontal="center" vertical="center" wrapText="1"/>
    </xf>
    <xf numFmtId="1" fontId="44" fillId="2" borderId="1" xfId="0" applyNumberFormat="1" applyFont="1" applyFill="1" applyBorder="1" applyAlignment="1">
      <alignment horizontal="center" vertical="center" wrapText="1"/>
    </xf>
    <xf numFmtId="1" fontId="36" fillId="2" borderId="1" xfId="0" applyNumberFormat="1" applyFont="1" applyFill="1" applyBorder="1" applyAlignment="1">
      <alignment horizontal="center" vertical="center"/>
    </xf>
    <xf numFmtId="2" fontId="0" fillId="2" borderId="0" xfId="0" applyNumberFormat="1" applyFill="1" applyAlignment="1">
      <alignment horizontal="center"/>
    </xf>
    <xf numFmtId="0" fontId="13" fillId="2" borderId="1" xfId="0" applyFont="1" applyFill="1" applyBorder="1" applyAlignment="1">
      <alignment horizontal="center" vertical="center" wrapText="1"/>
    </xf>
    <xf numFmtId="1" fontId="13" fillId="2" borderId="1" xfId="0" applyNumberFormat="1" applyFont="1" applyFill="1" applyBorder="1" applyAlignment="1">
      <alignment horizontal="center" vertical="center"/>
    </xf>
    <xf numFmtId="0" fontId="71" fillId="2" borderId="1" xfId="0" applyFont="1" applyFill="1" applyBorder="1" applyAlignment="1">
      <alignment horizontal="center"/>
    </xf>
    <xf numFmtId="0" fontId="97" fillId="2" borderId="1" xfId="0" applyFont="1" applyFill="1" applyBorder="1" applyAlignment="1">
      <alignment horizontal="center" vertical="center" wrapText="1"/>
    </xf>
    <xf numFmtId="0" fontId="72" fillId="2" borderId="1" xfId="0" applyFont="1" applyFill="1" applyBorder="1" applyAlignment="1">
      <alignment horizontal="left" vertical="center" wrapText="1"/>
    </xf>
    <xf numFmtId="0" fontId="98" fillId="2" borderId="1" xfId="0" applyFont="1" applyFill="1" applyBorder="1" applyAlignment="1">
      <alignment horizontal="center" vertical="center" wrapText="1"/>
    </xf>
    <xf numFmtId="1" fontId="72" fillId="2" borderId="1" xfId="0" applyNumberFormat="1" applyFont="1" applyFill="1" applyBorder="1" applyAlignment="1">
      <alignment horizontal="center" vertical="center" wrapText="1"/>
    </xf>
    <xf numFmtId="1" fontId="99" fillId="2" borderId="1" xfId="0" applyNumberFormat="1" applyFont="1" applyFill="1" applyBorder="1" applyAlignment="1">
      <alignment horizontal="center" vertical="center" wrapText="1"/>
    </xf>
    <xf numFmtId="0" fontId="13" fillId="2" borderId="1" xfId="0" applyFont="1" applyFill="1" applyBorder="1" applyAlignment="1">
      <alignment horizontal="left" vertical="center" wrapText="1"/>
    </xf>
    <xf numFmtId="0" fontId="72" fillId="2" borderId="1" xfId="0" applyFont="1" applyFill="1" applyBorder="1" applyAlignment="1">
      <alignment horizontal="center" vertical="center" wrapText="1"/>
    </xf>
    <xf numFmtId="0" fontId="99" fillId="2" borderId="1" xfId="0" applyFont="1" applyFill="1" applyBorder="1" applyAlignment="1">
      <alignment horizontal="center" vertical="center" wrapText="1"/>
    </xf>
    <xf numFmtId="0" fontId="11" fillId="2" borderId="1" xfId="0" applyFont="1" applyFill="1" applyBorder="1" applyAlignment="1">
      <alignment horizontal="left"/>
    </xf>
    <xf numFmtId="0" fontId="11" fillId="2" borderId="1" xfId="0" applyFont="1" applyFill="1" applyBorder="1" applyAlignment="1">
      <alignment horizontal="left" vertical="center" wrapText="1"/>
    </xf>
    <xf numFmtId="0" fontId="100" fillId="2" borderId="1" xfId="0" applyFont="1" applyFill="1" applyBorder="1" applyAlignment="1">
      <alignment horizontal="center" vertical="center" wrapText="1"/>
    </xf>
    <xf numFmtId="0" fontId="11" fillId="2" borderId="1" xfId="0" applyFont="1" applyFill="1" applyBorder="1" applyAlignment="1">
      <alignment horizontal="center" wrapText="1"/>
    </xf>
    <xf numFmtId="0" fontId="32" fillId="2" borderId="1" xfId="0" applyFont="1" applyFill="1" applyBorder="1" applyAlignment="1">
      <alignment horizontal="left" vertical="center" wrapText="1"/>
    </xf>
    <xf numFmtId="0" fontId="11" fillId="2" borderId="1" xfId="0" applyFont="1" applyFill="1" applyBorder="1" applyAlignment="1"/>
    <xf numFmtId="0" fontId="71" fillId="2" borderId="1" xfId="0" applyFont="1" applyFill="1" applyBorder="1" applyAlignment="1">
      <alignment horizontal="left"/>
    </xf>
    <xf numFmtId="0" fontId="0" fillId="2" borderId="1" xfId="0" applyFont="1" applyFill="1" applyBorder="1" applyAlignment="1">
      <alignment horizontal="center" wrapText="1"/>
    </xf>
    <xf numFmtId="1" fontId="0" fillId="3" borderId="0" xfId="0" applyNumberFormat="1" applyFill="1"/>
    <xf numFmtId="0" fontId="36" fillId="2" borderId="5" xfId="0" applyFont="1" applyFill="1" applyBorder="1" applyAlignment="1">
      <alignment horizontal="center" vertical="center" wrapText="1"/>
    </xf>
    <xf numFmtId="0" fontId="11" fillId="2" borderId="1" xfId="0" applyFont="1" applyFill="1" applyBorder="1" applyAlignment="1">
      <alignment horizontal="left" wrapText="1"/>
    </xf>
    <xf numFmtId="1" fontId="32" fillId="2" borderId="1" xfId="0" applyNumberFormat="1" applyFont="1" applyFill="1" applyBorder="1" applyAlignment="1">
      <alignment horizontal="center" vertical="center" wrapText="1"/>
    </xf>
    <xf numFmtId="1" fontId="60" fillId="2" borderId="1" xfId="0" applyNumberFormat="1" applyFont="1" applyFill="1" applyBorder="1" applyAlignment="1">
      <alignment horizontal="center" vertical="center" wrapText="1"/>
    </xf>
    <xf numFmtId="49" fontId="34" fillId="2" borderId="1" xfId="0" applyNumberFormat="1" applyFont="1" applyFill="1" applyBorder="1" applyAlignment="1">
      <alignment vertical="center" wrapText="1"/>
    </xf>
    <xf numFmtId="16" fontId="63" fillId="2" borderId="1" xfId="0" applyNumberFormat="1" applyFont="1" applyFill="1" applyBorder="1" applyAlignment="1">
      <alignment vertical="center" wrapText="1"/>
    </xf>
    <xf numFmtId="0" fontId="62" fillId="2" borderId="1" xfId="0" applyFont="1" applyFill="1" applyBorder="1" applyAlignment="1">
      <alignment horizontal="left" wrapText="1"/>
    </xf>
    <xf numFmtId="0" fontId="98" fillId="2" borderId="1" xfId="0" applyFont="1" applyFill="1" applyBorder="1" applyAlignment="1">
      <alignment horizontal="center" wrapText="1"/>
    </xf>
    <xf numFmtId="1" fontId="36" fillId="2" borderId="1" xfId="0" applyNumberFormat="1" applyFont="1" applyFill="1" applyBorder="1" applyAlignment="1">
      <alignment horizontal="center"/>
    </xf>
    <xf numFmtId="0" fontId="32" fillId="2" borderId="1" xfId="0" applyFont="1" applyFill="1" applyBorder="1" applyAlignment="1">
      <alignment horizontal="left" wrapText="1"/>
    </xf>
    <xf numFmtId="1" fontId="36" fillId="2" borderId="2" xfId="0" applyNumberFormat="1" applyFont="1" applyFill="1" applyBorder="1" applyAlignment="1">
      <alignment horizontal="center" vertical="center" wrapText="1"/>
    </xf>
    <xf numFmtId="0" fontId="71" fillId="2" borderId="1" xfId="0" applyFont="1" applyFill="1" applyBorder="1"/>
    <xf numFmtId="0" fontId="13" fillId="2" borderId="1" xfId="0" applyFont="1" applyFill="1" applyBorder="1" applyAlignment="1">
      <alignment horizontal="center" wrapText="1"/>
    </xf>
    <xf numFmtId="0" fontId="102" fillId="2" borderId="1" xfId="0" applyFont="1" applyFill="1" applyBorder="1" applyAlignment="1">
      <alignment horizontal="center" vertical="center" wrapText="1"/>
    </xf>
    <xf numFmtId="1" fontId="72" fillId="2" borderId="2" xfId="0" applyNumberFormat="1" applyFont="1" applyFill="1" applyBorder="1" applyAlignment="1">
      <alignment horizontal="center" vertical="center" wrapText="1"/>
    </xf>
    <xf numFmtId="0" fontId="72" fillId="2" borderId="1" xfId="0" applyFont="1" applyFill="1" applyBorder="1" applyAlignment="1">
      <alignment horizontal="left" wrapText="1"/>
    </xf>
    <xf numFmtId="49" fontId="21" fillId="2" borderId="2" xfId="0" applyNumberFormat="1" applyFont="1" applyFill="1" applyBorder="1" applyAlignment="1">
      <alignment horizontal="center" vertical="center" wrapText="1"/>
    </xf>
    <xf numFmtId="16" fontId="72" fillId="2" borderId="1" xfId="0" applyNumberFormat="1" applyFont="1" applyFill="1" applyBorder="1" applyAlignment="1">
      <alignment wrapText="1"/>
    </xf>
    <xf numFmtId="0" fontId="21" fillId="2" borderId="2" xfId="0" applyFont="1" applyFill="1" applyBorder="1" applyAlignment="1">
      <alignment horizontal="center" vertical="center" wrapText="1"/>
    </xf>
    <xf numFmtId="0" fontId="14" fillId="2" borderId="1" xfId="0" applyFont="1" applyFill="1" applyBorder="1" applyAlignment="1">
      <alignment horizontal="center" vertical="center" wrapText="1"/>
    </xf>
    <xf numFmtId="0" fontId="103" fillId="2" borderId="1" xfId="0" applyFont="1" applyFill="1" applyBorder="1" applyAlignment="1">
      <alignment horizontal="center" vertical="center" wrapText="1"/>
    </xf>
    <xf numFmtId="0" fontId="97" fillId="2" borderId="2" xfId="0" applyFont="1" applyFill="1" applyBorder="1" applyAlignment="1">
      <alignment horizontal="center" vertical="center" wrapText="1"/>
    </xf>
    <xf numFmtId="0" fontId="104" fillId="2" borderId="1" xfId="0" applyFont="1" applyFill="1" applyBorder="1" applyAlignment="1">
      <alignment horizontal="center" wrapText="1"/>
    </xf>
    <xf numFmtId="1" fontId="105" fillId="2" borderId="1" xfId="0" applyNumberFormat="1" applyFont="1" applyFill="1" applyBorder="1" applyAlignment="1">
      <alignment horizontal="center" wrapText="1"/>
    </xf>
    <xf numFmtId="1" fontId="44" fillId="2" borderId="1" xfId="0" applyNumberFormat="1" applyFont="1" applyFill="1" applyBorder="1" applyAlignment="1">
      <alignment horizontal="center" wrapText="1"/>
    </xf>
    <xf numFmtId="1" fontId="36" fillId="2" borderId="1" xfId="0" applyNumberFormat="1" applyFont="1" applyFill="1" applyBorder="1" applyAlignment="1">
      <alignment horizontal="center" wrapText="1"/>
    </xf>
    <xf numFmtId="0" fontId="32" fillId="2" borderId="1" xfId="0" applyFont="1" applyFill="1" applyBorder="1" applyAlignment="1">
      <alignment horizontal="center" wrapText="1"/>
    </xf>
    <xf numFmtId="1" fontId="72" fillId="2" borderId="1" xfId="0" applyNumberFormat="1" applyFont="1" applyFill="1" applyBorder="1" applyAlignment="1">
      <alignment horizontal="center" wrapText="1"/>
    </xf>
    <xf numFmtId="1" fontId="99" fillId="2" borderId="1" xfId="0" applyNumberFormat="1" applyFont="1" applyFill="1" applyBorder="1" applyAlignment="1">
      <alignment horizontal="center" wrapText="1"/>
    </xf>
    <xf numFmtId="1" fontId="72" fillId="2" borderId="2" xfId="0" applyNumberFormat="1" applyFont="1" applyFill="1" applyBorder="1" applyAlignment="1">
      <alignment horizontal="center" wrapText="1"/>
    </xf>
    <xf numFmtId="0" fontId="36" fillId="2" borderId="2" xfId="0" applyFont="1" applyFill="1" applyBorder="1" applyAlignment="1">
      <alignment horizontal="center" vertical="center" wrapText="1"/>
    </xf>
    <xf numFmtId="0" fontId="13" fillId="2" borderId="1" xfId="0" applyFont="1" applyFill="1" applyBorder="1" applyAlignment="1">
      <alignment horizontal="left" wrapText="1"/>
    </xf>
    <xf numFmtId="0" fontId="13" fillId="2" borderId="1" xfId="1" applyNumberFormat="1" applyFont="1" applyFill="1" applyBorder="1" applyAlignment="1" applyProtection="1">
      <alignment horizontal="center"/>
      <protection locked="0"/>
    </xf>
    <xf numFmtId="1" fontId="57" fillId="2" borderId="1" xfId="0" applyNumberFormat="1" applyFont="1" applyFill="1" applyBorder="1" applyAlignment="1">
      <alignment horizontal="center" wrapText="1"/>
    </xf>
    <xf numFmtId="0" fontId="21" fillId="2" borderId="1" xfId="0" applyFont="1" applyFill="1" applyBorder="1" applyAlignment="1">
      <alignment horizontal="left" wrapText="1"/>
    </xf>
    <xf numFmtId="1" fontId="0" fillId="2" borderId="1" xfId="0" applyNumberFormat="1" applyFont="1" applyFill="1" applyBorder="1" applyAlignment="1">
      <alignment horizontal="center" vertical="center" wrapText="1"/>
    </xf>
    <xf numFmtId="1" fontId="57" fillId="2" borderId="1" xfId="0" applyNumberFormat="1" applyFont="1" applyFill="1" applyBorder="1" applyAlignment="1">
      <alignment horizontal="center"/>
    </xf>
    <xf numFmtId="1" fontId="44" fillId="2" borderId="1" xfId="0" applyNumberFormat="1" applyFont="1" applyFill="1" applyBorder="1" applyAlignment="1">
      <alignment horizontal="center"/>
    </xf>
    <xf numFmtId="0" fontId="54" fillId="2" borderId="1" xfId="0" applyFont="1" applyFill="1" applyBorder="1" applyAlignment="1">
      <alignment horizontal="left" wrapText="1"/>
    </xf>
    <xf numFmtId="0" fontId="72" fillId="2" borderId="1" xfId="0" applyFont="1" applyFill="1" applyBorder="1" applyAlignment="1">
      <alignment horizontal="center" wrapText="1"/>
    </xf>
    <xf numFmtId="0" fontId="14" fillId="2" borderId="1" xfId="0" applyFont="1" applyFill="1" applyBorder="1" applyAlignment="1">
      <alignment horizontal="center" wrapText="1"/>
    </xf>
    <xf numFmtId="0" fontId="106" fillId="2" borderId="1" xfId="0" applyFont="1" applyFill="1" applyBorder="1" applyAlignment="1">
      <alignment horizontal="center" wrapText="1"/>
    </xf>
    <xf numFmtId="0" fontId="104" fillId="2" borderId="1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left"/>
    </xf>
    <xf numFmtId="0" fontId="51" fillId="2" borderId="0" xfId="0" applyFont="1" applyFill="1"/>
    <xf numFmtId="0" fontId="51" fillId="2" borderId="0" xfId="0" applyFont="1" applyFill="1" applyAlignment="1">
      <alignment vertical="center"/>
    </xf>
    <xf numFmtId="0" fontId="44" fillId="2" borderId="1" xfId="0" applyFont="1" applyFill="1" applyBorder="1"/>
    <xf numFmtId="0" fontId="0" fillId="2" borderId="2" xfId="0" applyFill="1" applyBorder="1"/>
    <xf numFmtId="1" fontId="105" fillId="2" borderId="1" xfId="0" applyNumberFormat="1" applyFont="1" applyFill="1" applyBorder="1" applyAlignment="1">
      <alignment horizontal="center" vertical="center" wrapText="1"/>
    </xf>
    <xf numFmtId="0" fontId="44" fillId="2" borderId="1" xfId="0" applyFont="1" applyFill="1" applyBorder="1" applyAlignment="1">
      <alignment horizontal="left"/>
    </xf>
    <xf numFmtId="0" fontId="36" fillId="2" borderId="1" xfId="0" applyFont="1" applyFill="1" applyBorder="1" applyAlignment="1">
      <alignment horizontal="center" wrapText="1"/>
    </xf>
    <xf numFmtId="0" fontId="36" fillId="2" borderId="5" xfId="0" applyFont="1" applyFill="1" applyBorder="1" applyAlignment="1">
      <alignment horizontal="center" wrapText="1"/>
    </xf>
    <xf numFmtId="1" fontId="0" fillId="3" borderId="0" xfId="0" applyNumberFormat="1" applyFill="1" applyAlignment="1">
      <alignment horizontal="center"/>
    </xf>
    <xf numFmtId="0" fontId="100" fillId="2" borderId="1" xfId="0" applyFont="1" applyFill="1" applyBorder="1" applyAlignment="1">
      <alignment horizontal="left" wrapText="1"/>
    </xf>
    <xf numFmtId="0" fontId="36" fillId="2" borderId="6" xfId="0" applyFont="1" applyFill="1" applyBorder="1" applyAlignment="1">
      <alignment horizontal="center" vertical="center" wrapText="1"/>
    </xf>
    <xf numFmtId="0" fontId="100" fillId="2" borderId="1" xfId="0" applyFont="1" applyFill="1" applyBorder="1" applyAlignment="1">
      <alignment horizontal="left" vertical="center" wrapText="1"/>
    </xf>
    <xf numFmtId="0" fontId="0" fillId="2" borderId="1" xfId="0" applyFont="1" applyFill="1" applyBorder="1" applyAlignment="1">
      <alignment horizontal="left" vertical="center"/>
    </xf>
    <xf numFmtId="1" fontId="0" fillId="2" borderId="0" xfId="0" applyNumberFormat="1" applyFill="1" applyAlignment="1">
      <alignment horizontal="center" vertical="center"/>
    </xf>
    <xf numFmtId="0" fontId="0" fillId="2" borderId="0" xfId="0" applyFill="1" applyAlignment="1">
      <alignment vertical="center"/>
    </xf>
    <xf numFmtId="1" fontId="0" fillId="2" borderId="0" xfId="0" applyNumberFormat="1" applyFill="1" applyAlignment="1">
      <alignment vertical="center"/>
    </xf>
    <xf numFmtId="0" fontId="9" fillId="2" borderId="1" xfId="0" applyFont="1" applyFill="1" applyBorder="1" applyAlignment="1">
      <alignment horizontal="left" vertical="center"/>
    </xf>
    <xf numFmtId="0" fontId="107" fillId="2" borderId="1" xfId="0" applyFont="1" applyFill="1" applyBorder="1" applyAlignment="1">
      <alignment horizontal="left"/>
    </xf>
    <xf numFmtId="0" fontId="31" fillId="2" borderId="13" xfId="0" applyFont="1" applyFill="1" applyBorder="1" applyAlignment="1">
      <alignment horizontal="left"/>
    </xf>
    <xf numFmtId="0" fontId="102" fillId="2" borderId="1" xfId="0" applyFont="1" applyFill="1" applyBorder="1" applyAlignment="1">
      <alignment horizontal="center" wrapText="1"/>
    </xf>
    <xf numFmtId="0" fontId="1" fillId="2" borderId="13" xfId="0" applyFont="1" applyFill="1" applyBorder="1" applyAlignment="1">
      <alignment horizontal="left"/>
    </xf>
    <xf numFmtId="0" fontId="71" fillId="2" borderId="1" xfId="0" applyFont="1" applyFill="1" applyBorder="1" applyAlignment="1">
      <alignment horizontal="center" vertical="center"/>
    </xf>
    <xf numFmtId="10" fontId="0" fillId="2" borderId="0" xfId="0" applyNumberFormat="1" applyFill="1"/>
    <xf numFmtId="0" fontId="44" fillId="2" borderId="1" xfId="0" applyFont="1" applyFill="1" applyBorder="1" applyAlignment="1">
      <alignment horizontal="center" vertical="center" wrapText="1"/>
    </xf>
    <xf numFmtId="1" fontId="0" fillId="2" borderId="0" xfId="0" applyNumberFormat="1" applyFont="1" applyFill="1" applyAlignment="1">
      <alignment horizontal="center"/>
    </xf>
    <xf numFmtId="0" fontId="0" fillId="2" borderId="0" xfId="0" applyFill="1" applyAlignment="1">
      <alignment vertical="center"/>
    </xf>
    <xf numFmtId="0" fontId="107" fillId="2" borderId="1" xfId="0" applyFont="1" applyFill="1" applyBorder="1" applyAlignment="1">
      <alignment horizontal="left" vertical="center"/>
    </xf>
    <xf numFmtId="0" fontId="71" fillId="2" borderId="1" xfId="0" applyFont="1" applyFill="1" applyBorder="1" applyAlignment="1">
      <alignment horizontal="left" vertical="center"/>
    </xf>
    <xf numFmtId="2" fontId="0" fillId="3" borderId="0" xfId="0" applyNumberFormat="1" applyFill="1"/>
    <xf numFmtId="1" fontId="21" fillId="2" borderId="0" xfId="0" applyNumberFormat="1" applyFont="1" applyFill="1" applyAlignment="1">
      <alignment horizontal="center"/>
    </xf>
    <xf numFmtId="0" fontId="71" fillId="2" borderId="1" xfId="0" applyFont="1" applyFill="1" applyBorder="1" applyAlignment="1">
      <alignment horizontal="left" vertical="center" wrapText="1"/>
    </xf>
    <xf numFmtId="0" fontId="44" fillId="2" borderId="1" xfId="0" applyFont="1" applyFill="1" applyBorder="1" applyAlignment="1">
      <alignment horizontal="center" vertical="center"/>
    </xf>
    <xf numFmtId="0" fontId="6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vertical="center"/>
    </xf>
    <xf numFmtId="0" fontId="56" fillId="2" borderId="1" xfId="0" applyFont="1" applyFill="1" applyBorder="1" applyAlignment="1">
      <alignment horizontal="left" vertical="center"/>
    </xf>
    <xf numFmtId="1" fontId="44" fillId="2" borderId="1" xfId="0" applyNumberFormat="1" applyFont="1" applyFill="1" applyBorder="1" applyAlignment="1">
      <alignment horizontal="center" vertical="center"/>
    </xf>
    <xf numFmtId="1" fontId="0" fillId="2" borderId="1" xfId="0" applyNumberFormat="1" applyFill="1" applyBorder="1" applyAlignment="1">
      <alignment horizontal="center"/>
    </xf>
    <xf numFmtId="0" fontId="39" fillId="2" borderId="0" xfId="0" applyFont="1" applyFill="1"/>
    <xf numFmtId="1" fontId="32" fillId="2" borderId="1" xfId="0" applyNumberFormat="1" applyFont="1" applyFill="1" applyBorder="1" applyAlignment="1">
      <alignment horizontal="center" wrapText="1"/>
    </xf>
    <xf numFmtId="0" fontId="39" fillId="2" borderId="1" xfId="0" applyFont="1" applyFill="1" applyBorder="1"/>
    <xf numFmtId="0" fontId="71" fillId="2" borderId="0" xfId="0" applyFont="1" applyFill="1" applyAlignment="1">
      <alignment horizontal="center"/>
    </xf>
    <xf numFmtId="1" fontId="44" fillId="2" borderId="0" xfId="0" applyNumberFormat="1" applyFont="1" applyFill="1" applyAlignment="1">
      <alignment horizontal="center"/>
    </xf>
    <xf numFmtId="1" fontId="36" fillId="2" borderId="11" xfId="0" applyNumberFormat="1" applyFont="1" applyFill="1" applyBorder="1" applyAlignment="1">
      <alignment horizontal="center" vertical="center" wrapText="1"/>
    </xf>
    <xf numFmtId="0" fontId="102" fillId="2" borderId="0" xfId="0" applyFont="1" applyFill="1" applyAlignment="1">
      <alignment horizontal="center"/>
    </xf>
    <xf numFmtId="0" fontId="0" fillId="2" borderId="0" xfId="0" applyFill="1" applyBorder="1"/>
    <xf numFmtId="2" fontId="64" fillId="2" borderId="0" xfId="0" applyNumberFormat="1" applyFont="1" applyFill="1" applyAlignment="1">
      <alignment horizontal="center"/>
    </xf>
    <xf numFmtId="2" fontId="34" fillId="2" borderId="0" xfId="0" applyNumberFormat="1" applyFont="1" applyFill="1" applyAlignment="1">
      <alignment horizontal="center"/>
    </xf>
    <xf numFmtId="2" fontId="60" fillId="2" borderId="0" xfId="0" applyNumberFormat="1" applyFont="1" applyFill="1" applyAlignment="1">
      <alignment horizontal="center"/>
    </xf>
    <xf numFmtId="177" fontId="44" fillId="2" borderId="0" xfId="0" applyNumberFormat="1" applyFont="1" applyFill="1" applyBorder="1" applyAlignment="1">
      <alignment horizontal="center"/>
    </xf>
    <xf numFmtId="1" fontId="39" fillId="2" borderId="0" xfId="0" applyNumberFormat="1" applyFont="1" applyFill="1" applyAlignment="1">
      <alignment horizontal="center"/>
    </xf>
    <xf numFmtId="0" fontId="21" fillId="2" borderId="0" xfId="0" applyFont="1" applyFill="1" applyAlignment="1">
      <alignment horizontal="left"/>
    </xf>
    <xf numFmtId="0" fontId="64" fillId="2" borderId="0" xfId="0" applyFont="1" applyFill="1"/>
    <xf numFmtId="0" fontId="21" fillId="2" borderId="0" xfId="0" applyFont="1" applyFill="1"/>
    <xf numFmtId="0" fontId="57" fillId="2" borderId="0" xfId="0" applyFont="1" applyFill="1"/>
    <xf numFmtId="178" fontId="21" fillId="2" borderId="0" xfId="0" applyNumberFormat="1" applyFont="1" applyFill="1"/>
    <xf numFmtId="177" fontId="0" fillId="2" borderId="0" xfId="0" applyNumberFormat="1" applyFill="1" applyAlignment="1">
      <alignment horizontal="left"/>
    </xf>
    <xf numFmtId="176" fontId="71" fillId="2" borderId="0" xfId="0" applyNumberFormat="1" applyFont="1" applyFill="1"/>
    <xf numFmtId="164" fontId="44" fillId="2" borderId="0" xfId="0" applyNumberFormat="1" applyFont="1" applyFill="1"/>
    <xf numFmtId="164" fontId="0" fillId="2" borderId="0" xfId="0" applyNumberFormat="1" applyFill="1"/>
    <xf numFmtId="1" fontId="0" fillId="2" borderId="0" xfId="0" applyNumberFormat="1" applyFill="1" applyBorder="1"/>
    <xf numFmtId="0" fontId="0" fillId="2" borderId="0" xfId="0" applyFill="1" applyBorder="1" applyAlignment="1">
      <alignment horizontal="left"/>
    </xf>
    <xf numFmtId="0" fontId="71" fillId="2" borderId="0" xfId="0" applyFont="1" applyFill="1" applyBorder="1"/>
    <xf numFmtId="0" fontId="44" fillId="2" borderId="0" xfId="0" applyFont="1" applyFill="1" applyBorder="1"/>
    <xf numFmtId="2" fontId="63" fillId="2" borderId="0" xfId="0" applyNumberFormat="1" applyFont="1" applyFill="1" applyBorder="1"/>
    <xf numFmtId="2" fontId="0" fillId="2" borderId="0" xfId="0" applyNumberFormat="1" applyFill="1" applyBorder="1"/>
    <xf numFmtId="1" fontId="71" fillId="2" borderId="0" xfId="0" applyNumberFormat="1" applyFont="1" applyFill="1" applyBorder="1"/>
    <xf numFmtId="176" fontId="0" fillId="2" borderId="0" xfId="0" applyNumberFormat="1" applyFill="1" applyBorder="1" applyAlignment="1">
      <alignment horizontal="left"/>
    </xf>
    <xf numFmtId="0" fontId="108" fillId="0" borderId="1" xfId="0" applyFont="1" applyBorder="1" applyAlignment="1">
      <alignment horizontal="center" vertical="center" wrapText="1"/>
    </xf>
    <xf numFmtId="2" fontId="108" fillId="0" borderId="1" xfId="0" applyNumberFormat="1" applyFont="1" applyBorder="1" applyAlignment="1">
      <alignment horizontal="center" vertical="center" wrapText="1"/>
    </xf>
    <xf numFmtId="0" fontId="108" fillId="0" borderId="1" xfId="0" applyFont="1" applyBorder="1" applyAlignment="1">
      <alignment vertical="center"/>
    </xf>
    <xf numFmtId="0" fontId="109" fillId="0" borderId="1" xfId="0" applyFont="1" applyBorder="1"/>
    <xf numFmtId="2" fontId="109" fillId="0" borderId="1" xfId="0" applyNumberFormat="1" applyFont="1" applyBorder="1"/>
    <xf numFmtId="0" fontId="108" fillId="0" borderId="1" xfId="0" applyFont="1" applyBorder="1" applyAlignment="1">
      <alignment horizontal="center" vertical="center"/>
    </xf>
    <xf numFmtId="0" fontId="109" fillId="0" borderId="1" xfId="0" applyFont="1" applyBorder="1" applyAlignment="1">
      <alignment horizontal="center" vertical="center"/>
    </xf>
    <xf numFmtId="2" fontId="109" fillId="0" borderId="1" xfId="0" applyNumberFormat="1" applyFont="1" applyBorder="1" applyAlignment="1">
      <alignment horizontal="center" vertical="center"/>
    </xf>
    <xf numFmtId="2" fontId="108" fillId="0" borderId="1" xfId="0" applyNumberFormat="1" applyFont="1" applyBorder="1" applyAlignment="1">
      <alignment horizontal="center" vertical="center"/>
    </xf>
    <xf numFmtId="0" fontId="109" fillId="0" borderId="1" xfId="0" applyFont="1" applyBorder="1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0" fontId="108" fillId="0" borderId="6" xfId="0" applyFont="1" applyBorder="1" applyAlignment="1">
      <alignment horizontal="center" vertical="center" wrapText="1"/>
    </xf>
    <xf numFmtId="2" fontId="109" fillId="0" borderId="1" xfId="0" applyNumberFormat="1" applyFont="1" applyBorder="1" applyAlignment="1">
      <alignment horizontal="center" vertical="center" wrapText="1"/>
    </xf>
    <xf numFmtId="0" fontId="108" fillId="0" borderId="8" xfId="0" applyFont="1" applyBorder="1" applyAlignment="1">
      <alignment horizontal="center" vertical="center" wrapText="1"/>
    </xf>
    <xf numFmtId="0" fontId="108" fillId="0" borderId="11" xfId="0" applyFont="1" applyBorder="1" applyAlignment="1">
      <alignment horizontal="center" vertical="center" wrapText="1"/>
    </xf>
    <xf numFmtId="0" fontId="108" fillId="0" borderId="4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0" fillId="0" borderId="0" xfId="0" applyNumberFormat="1" applyBorder="1" applyAlignment="1">
      <alignment horizontal="center" vertical="center"/>
    </xf>
    <xf numFmtId="2" fontId="109" fillId="0" borderId="3" xfId="0" applyNumberFormat="1" applyFont="1" applyBorder="1" applyAlignment="1">
      <alignment horizontal="center" vertical="center"/>
    </xf>
    <xf numFmtId="0" fontId="0" fillId="17" borderId="0" xfId="0" applyFill="1"/>
    <xf numFmtId="0" fontId="0" fillId="0" borderId="7" xfId="0" applyBorder="1" applyAlignment="1">
      <alignment horizontal="center" vertical="center"/>
    </xf>
    <xf numFmtId="0" fontId="110" fillId="0" borderId="1" xfId="0" applyFont="1" applyBorder="1" applyAlignment="1">
      <alignment horizontal="center" vertical="center"/>
    </xf>
    <xf numFmtId="0" fontId="111" fillId="0" borderId="1" xfId="8" applyFont="1" applyBorder="1" applyAlignment="1">
      <alignment horizontal="center" vertical="center" wrapText="1"/>
    </xf>
    <xf numFmtId="0" fontId="109" fillId="2" borderId="1" xfId="8" applyFont="1" applyFill="1" applyBorder="1" applyAlignment="1">
      <alignment horizontal="center" vertical="center"/>
    </xf>
    <xf numFmtId="2" fontId="108" fillId="0" borderId="2" xfId="0" applyNumberFormat="1" applyFont="1" applyBorder="1" applyAlignment="1">
      <alignment horizontal="center" vertical="center"/>
    </xf>
    <xf numFmtId="0" fontId="109" fillId="2" borderId="4" xfId="8" applyFont="1" applyFill="1" applyBorder="1" applyAlignment="1">
      <alignment horizontal="center" vertical="center"/>
    </xf>
    <xf numFmtId="0" fontId="111" fillId="0" borderId="5" xfId="8" applyFont="1" applyBorder="1" applyAlignment="1">
      <alignment horizontal="center" vertical="center" wrapText="1"/>
    </xf>
    <xf numFmtId="0" fontId="111" fillId="0" borderId="11" xfId="8" applyFont="1" applyBorder="1" applyAlignment="1">
      <alignment horizontal="center" vertical="center" wrapText="1"/>
    </xf>
    <xf numFmtId="165" fontId="0" fillId="0" borderId="0" xfId="0" applyNumberFormat="1"/>
    <xf numFmtId="0" fontId="109" fillId="2" borderId="9" xfId="8" applyFont="1" applyFill="1" applyBorder="1" applyAlignment="1">
      <alignment horizontal="center" vertical="center"/>
    </xf>
    <xf numFmtId="0" fontId="111" fillId="0" borderId="6" xfId="8" applyFont="1" applyBorder="1" applyAlignment="1">
      <alignment horizontal="center" vertical="center" wrapText="1"/>
    </xf>
    <xf numFmtId="0" fontId="110" fillId="0" borderId="1" xfId="0" applyFont="1" applyBorder="1" applyAlignment="1">
      <alignment horizontal="center" vertical="center" wrapText="1"/>
    </xf>
    <xf numFmtId="2" fontId="110" fillId="0" borderId="1" xfId="0" applyNumberFormat="1" applyFont="1" applyBorder="1" applyAlignment="1">
      <alignment horizontal="center" vertical="center"/>
    </xf>
    <xf numFmtId="0" fontId="110" fillId="0" borderId="0" xfId="0" applyFont="1" applyAlignment="1">
      <alignment horizontal="center" vertical="center"/>
    </xf>
    <xf numFmtId="0" fontId="110" fillId="0" borderId="0" xfId="0" applyFont="1" applyAlignment="1">
      <alignment horizontal="center" vertical="center" wrapText="1"/>
    </xf>
    <xf numFmtId="2" fontId="110" fillId="0" borderId="0" xfId="0" applyNumberFormat="1" applyFont="1" applyAlignment="1">
      <alignment horizontal="center" vertical="center"/>
    </xf>
    <xf numFmtId="0" fontId="111" fillId="0" borderId="1" xfId="0" applyFont="1" applyBorder="1" applyAlignment="1">
      <alignment horizontal="center" vertical="center"/>
    </xf>
    <xf numFmtId="0" fontId="109" fillId="2" borderId="1" xfId="0" applyFont="1" applyFill="1" applyBorder="1" applyAlignment="1">
      <alignment horizontal="center" vertical="center"/>
    </xf>
    <xf numFmtId="2" fontId="109" fillId="2" borderId="1" xfId="0" applyNumberFormat="1" applyFont="1" applyFill="1" applyBorder="1" applyAlignment="1">
      <alignment horizontal="center" vertical="center"/>
    </xf>
    <xf numFmtId="0" fontId="111" fillId="0" borderId="0" xfId="0" applyFont="1" applyBorder="1" applyAlignment="1">
      <alignment horizontal="center" vertical="center"/>
    </xf>
    <xf numFmtId="0" fontId="108" fillId="0" borderId="0" xfId="0" applyFont="1" applyBorder="1" applyAlignment="1">
      <alignment horizontal="center" vertical="center"/>
    </xf>
    <xf numFmtId="2" fontId="109" fillId="0" borderId="0" xfId="0" applyNumberFormat="1" applyFont="1" applyBorder="1" applyAlignment="1">
      <alignment horizontal="center" vertical="center"/>
    </xf>
    <xf numFmtId="2" fontId="108" fillId="0" borderId="0" xfId="0" applyNumberFormat="1" applyFont="1" applyBorder="1" applyAlignment="1">
      <alignment horizontal="center" vertical="center"/>
    </xf>
    <xf numFmtId="0" fontId="112" fillId="0" borderId="1" xfId="0" applyFont="1" applyBorder="1" applyAlignment="1">
      <alignment horizontal="center"/>
    </xf>
    <xf numFmtId="0" fontId="112" fillId="0" borderId="0" xfId="0" applyFont="1" applyBorder="1" applyAlignment="1">
      <alignment horizontal="center"/>
    </xf>
    <xf numFmtId="0" fontId="38" fillId="2" borderId="2" xfId="0" applyFont="1" applyFill="1" applyBorder="1" applyAlignment="1"/>
    <xf numFmtId="0" fontId="38" fillId="2" borderId="3" xfId="0" applyFont="1" applyFill="1" applyBorder="1" applyAlignment="1"/>
    <xf numFmtId="0" fontId="38" fillId="2" borderId="4" xfId="0" applyFont="1" applyFill="1" applyBorder="1" applyAlignment="1"/>
    <xf numFmtId="0" fontId="1" fillId="2" borderId="2" xfId="0" applyFont="1" applyFill="1" applyBorder="1" applyAlignment="1"/>
    <xf numFmtId="0" fontId="1" fillId="2" borderId="3" xfId="0" applyFont="1" applyFill="1" applyBorder="1" applyAlignment="1"/>
    <xf numFmtId="0" fontId="1" fillId="2" borderId="4" xfId="0" applyFont="1" applyFill="1" applyBorder="1" applyAlignment="1"/>
    <xf numFmtId="49" fontId="1" fillId="2" borderId="2" xfId="0" applyNumberFormat="1" applyFont="1" applyFill="1" applyBorder="1" applyAlignment="1">
      <alignment vertical="center" wrapText="1"/>
    </xf>
    <xf numFmtId="0" fontId="1" fillId="2" borderId="4" xfId="0" applyFont="1" applyFill="1" applyBorder="1" applyAlignment="1">
      <alignment vertical="center" wrapText="1"/>
    </xf>
    <xf numFmtId="0" fontId="1" fillId="2" borderId="2" xfId="0" applyFont="1" applyFill="1" applyBorder="1" applyAlignment="1">
      <alignment vertical="center" wrapText="1"/>
    </xf>
    <xf numFmtId="0" fontId="6" fillId="2" borderId="5" xfId="0" applyFont="1" applyFill="1" applyBorder="1" applyAlignment="1">
      <alignment vertical="center"/>
    </xf>
    <xf numFmtId="0" fontId="6" fillId="2" borderId="6" xfId="0" applyFont="1" applyFill="1" applyBorder="1" applyAlignment="1">
      <alignment vertical="center"/>
    </xf>
    <xf numFmtId="0" fontId="7" fillId="2" borderId="5" xfId="0" applyFont="1" applyFill="1" applyBorder="1" applyAlignment="1">
      <alignment vertical="center"/>
    </xf>
    <xf numFmtId="0" fontId="7" fillId="2" borderId="6" xfId="0" applyFont="1" applyFill="1" applyBorder="1" applyAlignment="1">
      <alignment vertical="center"/>
    </xf>
    <xf numFmtId="49" fontId="5" fillId="2" borderId="2" xfId="0" applyNumberFormat="1" applyFont="1" applyFill="1" applyBorder="1" applyAlignment="1"/>
    <xf numFmtId="16" fontId="5" fillId="2" borderId="4" xfId="0" applyNumberFormat="1" applyFont="1" applyFill="1" applyBorder="1" applyAlignment="1"/>
    <xf numFmtId="0" fontId="5" fillId="2" borderId="2" xfId="0" applyFont="1" applyFill="1" applyBorder="1" applyAlignment="1"/>
    <xf numFmtId="0" fontId="5" fillId="2" borderId="3" xfId="0" applyFont="1" applyFill="1" applyBorder="1" applyAlignment="1"/>
    <xf numFmtId="0" fontId="5" fillId="2" borderId="4" xfId="0" applyFont="1" applyFill="1" applyBorder="1" applyAlignment="1"/>
    <xf numFmtId="49" fontId="1" fillId="2" borderId="2" xfId="0" applyNumberFormat="1" applyFont="1" applyFill="1" applyBorder="1" applyAlignment="1"/>
    <xf numFmtId="49" fontId="1" fillId="2" borderId="4" xfId="0" applyNumberFormat="1" applyFont="1" applyFill="1" applyBorder="1" applyAlignment="1"/>
    <xf numFmtId="16" fontId="5" fillId="2" borderId="3" xfId="0" applyNumberFormat="1" applyFont="1" applyFill="1" applyBorder="1" applyAlignment="1"/>
    <xf numFmtId="172" fontId="1" fillId="2" borderId="1" xfId="0" applyNumberFormat="1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5" fillId="0" borderId="0" xfId="0" applyFont="1" applyAlignment="1">
      <alignment vertical="center"/>
    </xf>
    <xf numFmtId="49" fontId="4" fillId="0" borderId="0" xfId="0" applyNumberFormat="1" applyFont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0" borderId="6" xfId="0" applyFont="1" applyBorder="1" applyAlignment="1">
      <alignment horizontal="center" vertical="center" wrapText="1"/>
    </xf>
    <xf numFmtId="0" fontId="23" fillId="0" borderId="6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left" vertical="top" wrapText="1"/>
    </xf>
    <xf numFmtId="2" fontId="0" fillId="0" borderId="1" xfId="0" applyNumberFormat="1" applyBorder="1" applyAlignment="1">
      <alignment horizontal="center" vertical="center" wrapText="1"/>
    </xf>
    <xf numFmtId="0" fontId="21" fillId="0" borderId="0" xfId="0" applyFont="1" applyBorder="1" applyAlignment="1">
      <alignment horizontal="center" vertical="center"/>
    </xf>
    <xf numFmtId="0" fontId="21" fillId="0" borderId="0" xfId="0" applyFont="1" applyBorder="1" applyAlignment="1">
      <alignment horizontal="center" vertical="center" wrapText="1"/>
    </xf>
    <xf numFmtId="2" fontId="21" fillId="0" borderId="0" xfId="0" applyNumberFormat="1" applyFont="1" applyBorder="1" applyAlignment="1">
      <alignment horizontal="center" vertical="center" wrapText="1"/>
    </xf>
    <xf numFmtId="0" fontId="21" fillId="0" borderId="0" xfId="0" applyFont="1" applyAlignment="1">
      <alignment horizontal="center" vertical="center"/>
    </xf>
    <xf numFmtId="0" fontId="21" fillId="0" borderId="0" xfId="0" applyFont="1" applyAlignment="1">
      <alignment horizontal="left" vertical="center" wrapText="1"/>
    </xf>
    <xf numFmtId="0" fontId="23" fillId="0" borderId="0" xfId="0" applyFont="1" applyAlignment="1">
      <alignment horizontal="center" vertical="center" wrapText="1"/>
    </xf>
    <xf numFmtId="0" fontId="21" fillId="0" borderId="0" xfId="0" applyFont="1" applyAlignment="1">
      <alignment horizontal="center" vertical="center" wrapText="1"/>
    </xf>
    <xf numFmtId="0" fontId="37" fillId="0" borderId="1" xfId="0" applyFont="1" applyBorder="1" applyAlignment="1">
      <alignment horizontal="center" vertical="center" wrapText="1"/>
    </xf>
    <xf numFmtId="0" fontId="30" fillId="0" borderId="1" xfId="0" applyFont="1" applyBorder="1" applyAlignment="1">
      <alignment horizontal="center" vertical="center"/>
    </xf>
    <xf numFmtId="14" fontId="0" fillId="0" borderId="0" xfId="0" applyNumberFormat="1"/>
    <xf numFmtId="175" fontId="0" fillId="0" borderId="0" xfId="0" applyNumberFormat="1"/>
    <xf numFmtId="0" fontId="39" fillId="2" borderId="0" xfId="0" applyFont="1" applyFill="1" applyAlignment="1">
      <alignment horizontal="center"/>
    </xf>
    <xf numFmtId="0" fontId="56" fillId="2" borderId="0" xfId="0" applyFont="1" applyFill="1" applyAlignment="1">
      <alignment horizontal="center"/>
    </xf>
    <xf numFmtId="0" fontId="39" fillId="2" borderId="0" xfId="0" applyFont="1" applyFill="1" applyAlignment="1">
      <alignment horizontal="center" vertical="top" wrapText="1"/>
    </xf>
    <xf numFmtId="0" fontId="56" fillId="2" borderId="0" xfId="0" applyFont="1" applyFill="1" applyAlignment="1">
      <alignment horizontal="center" vertical="top" wrapText="1"/>
    </xf>
    <xf numFmtId="0" fontId="56" fillId="2" borderId="0" xfId="0" applyFont="1" applyFill="1" applyAlignment="1">
      <alignment horizontal="center" vertical="top"/>
    </xf>
    <xf numFmtId="0" fontId="39" fillId="2" borderId="0" xfId="0" applyFont="1" applyFill="1" applyAlignment="1">
      <alignment horizontal="center" vertical="top"/>
    </xf>
    <xf numFmtId="49" fontId="0" fillId="2" borderId="0" xfId="0" applyNumberFormat="1" applyFont="1" applyFill="1" applyAlignment="1">
      <alignment horizontal="center"/>
    </xf>
    <xf numFmtId="0" fontId="34" fillId="2" borderId="1" xfId="0" applyFont="1" applyFill="1" applyBorder="1" applyAlignment="1">
      <alignment wrapText="1"/>
    </xf>
    <xf numFmtId="0" fontId="21" fillId="2" borderId="2" xfId="0" applyFont="1" applyFill="1" applyBorder="1" applyAlignment="1">
      <alignment horizontal="center"/>
    </xf>
    <xf numFmtId="49" fontId="0" fillId="2" borderId="1" xfId="0" applyNumberFormat="1" applyFont="1" applyFill="1" applyBorder="1" applyAlignment="1">
      <alignment horizontal="center"/>
    </xf>
    <xf numFmtId="0" fontId="56" fillId="2" borderId="0" xfId="0" applyFont="1" applyFill="1"/>
    <xf numFmtId="0" fontId="34" fillId="2" borderId="1" xfId="0" applyFont="1" applyFill="1" applyBorder="1"/>
    <xf numFmtId="0" fontId="0" fillId="2" borderId="2" xfId="0" applyFont="1" applyFill="1" applyBorder="1" applyAlignment="1">
      <alignment horizontal="center"/>
    </xf>
    <xf numFmtId="2" fontId="0" fillId="2" borderId="1" xfId="0" applyNumberFormat="1" applyFont="1" applyFill="1" applyBorder="1" applyAlignment="1">
      <alignment horizontal="center"/>
    </xf>
    <xf numFmtId="166" fontId="0" fillId="2" borderId="1" xfId="0" applyNumberFormat="1" applyFont="1" applyFill="1" applyBorder="1" applyAlignment="1">
      <alignment horizontal="center"/>
    </xf>
    <xf numFmtId="165" fontId="39" fillId="2" borderId="0" xfId="0" applyNumberFormat="1" applyFont="1" applyFill="1"/>
    <xf numFmtId="2" fontId="21" fillId="2" borderId="1" xfId="0" applyNumberFormat="1" applyFont="1" applyFill="1" applyBorder="1" applyAlignment="1">
      <alignment horizontal="center"/>
    </xf>
    <xf numFmtId="166" fontId="44" fillId="2" borderId="1" xfId="0" applyNumberFormat="1" applyFont="1" applyFill="1" applyBorder="1" applyAlignment="1">
      <alignment horizontal="center"/>
    </xf>
    <xf numFmtId="10" fontId="0" fillId="2" borderId="1" xfId="2" applyNumberFormat="1" applyFont="1" applyFill="1" applyBorder="1" applyAlignment="1" applyProtection="1">
      <alignment horizontal="center"/>
    </xf>
    <xf numFmtId="166" fontId="36" fillId="2" borderId="1" xfId="0" applyNumberFormat="1" applyFont="1" applyFill="1" applyBorder="1" applyAlignment="1">
      <alignment horizontal="center"/>
    </xf>
    <xf numFmtId="0" fontId="54" fillId="2" borderId="0" xfId="0" applyFont="1" applyFill="1"/>
    <xf numFmtId="0" fontId="54" fillId="2" borderId="1" xfId="0" applyFont="1" applyFill="1" applyBorder="1"/>
    <xf numFmtId="0" fontId="36" fillId="2" borderId="2" xfId="0" applyFont="1" applyFill="1" applyBorder="1" applyAlignment="1">
      <alignment horizontal="center"/>
    </xf>
    <xf numFmtId="2" fontId="36" fillId="2" borderId="1" xfId="0" applyNumberFormat="1" applyFont="1" applyFill="1" applyBorder="1" applyAlignment="1">
      <alignment horizontal="center"/>
    </xf>
    <xf numFmtId="10" fontId="36" fillId="2" borderId="1" xfId="2" applyNumberFormat="1" applyFont="1" applyFill="1" applyBorder="1" applyAlignment="1" applyProtection="1">
      <alignment horizontal="center"/>
    </xf>
    <xf numFmtId="0" fontId="32" fillId="2" borderId="1" xfId="0" applyFont="1" applyFill="1" applyBorder="1" applyAlignment="1">
      <alignment wrapText="1"/>
    </xf>
    <xf numFmtId="2" fontId="0" fillId="2" borderId="1" xfId="0" applyNumberFormat="1" applyFont="1" applyFill="1" applyBorder="1"/>
    <xf numFmtId="0" fontId="0" fillId="2" borderId="1" xfId="0" applyFont="1" applyFill="1" applyBorder="1"/>
    <xf numFmtId="166" fontId="36" fillId="2" borderId="1" xfId="0" applyNumberFormat="1" applyFont="1" applyFill="1" applyBorder="1" applyAlignment="1">
      <alignment horizontal="center" wrapText="1"/>
    </xf>
    <xf numFmtId="0" fontId="58" fillId="2" borderId="1" xfId="0" applyFont="1" applyFill="1" applyBorder="1"/>
    <xf numFmtId="0" fontId="13" fillId="2" borderId="2" xfId="0" applyFont="1" applyFill="1" applyBorder="1" applyAlignment="1">
      <alignment horizontal="center"/>
    </xf>
    <xf numFmtId="2" fontId="13" fillId="2" borderId="1" xfId="0" applyNumberFormat="1" applyFont="1" applyFill="1" applyBorder="1" applyAlignment="1">
      <alignment horizontal="center"/>
    </xf>
    <xf numFmtId="0" fontId="32" fillId="2" borderId="1" xfId="0" applyFont="1" applyFill="1" applyBorder="1" applyAlignment="1"/>
    <xf numFmtId="0" fontId="34" fillId="2" borderId="0" xfId="0" applyFont="1" applyFill="1"/>
    <xf numFmtId="0" fontId="32" fillId="2" borderId="1" xfId="0" applyFont="1" applyFill="1" applyBorder="1"/>
    <xf numFmtId="166" fontId="114" fillId="2" borderId="1" xfId="0" applyNumberFormat="1" applyFont="1" applyFill="1" applyBorder="1" applyAlignment="1">
      <alignment horizontal="center"/>
    </xf>
    <xf numFmtId="0" fontId="32" fillId="2" borderId="1" xfId="0" applyFont="1" applyFill="1" applyBorder="1" applyAlignment="1">
      <alignment horizontal="left"/>
    </xf>
    <xf numFmtId="1" fontId="13" fillId="2" borderId="2" xfId="0" applyNumberFormat="1" applyFont="1" applyFill="1" applyBorder="1" applyAlignment="1">
      <alignment horizontal="center"/>
    </xf>
    <xf numFmtId="2" fontId="57" fillId="2" borderId="1" xfId="0" applyNumberFormat="1" applyFont="1" applyFill="1" applyBorder="1" applyAlignment="1">
      <alignment horizontal="center"/>
    </xf>
    <xf numFmtId="2" fontId="44" fillId="2" borderId="1" xfId="0" applyNumberFormat="1" applyFont="1" applyFill="1" applyBorder="1" applyAlignment="1">
      <alignment horizontal="center"/>
    </xf>
    <xf numFmtId="166" fontId="36" fillId="2" borderId="1" xfId="0" applyNumberFormat="1" applyFont="1" applyFill="1" applyBorder="1"/>
    <xf numFmtId="0" fontId="39" fillId="2" borderId="0" xfId="0" applyFont="1" applyFill="1" applyAlignment="1"/>
    <xf numFmtId="0" fontId="32" fillId="2" borderId="2" xfId="0" applyFont="1" applyFill="1" applyBorder="1" applyAlignment="1">
      <alignment horizontal="center"/>
    </xf>
    <xf numFmtId="2" fontId="34" fillId="2" borderId="1" xfId="0" applyNumberFormat="1" applyFont="1" applyFill="1" applyBorder="1" applyAlignment="1">
      <alignment horizontal="center"/>
    </xf>
    <xf numFmtId="2" fontId="39" fillId="2" borderId="1" xfId="0" applyNumberFormat="1" applyFont="1" applyFill="1" applyBorder="1" applyAlignment="1">
      <alignment horizontal="center"/>
    </xf>
    <xf numFmtId="166" fontId="115" fillId="2" borderId="1" xfId="0" applyNumberFormat="1" applyFont="1" applyFill="1" applyBorder="1" applyAlignment="1">
      <alignment horizontal="center"/>
    </xf>
    <xf numFmtId="166" fontId="56" fillId="2" borderId="1" xfId="0" applyNumberFormat="1" applyFont="1" applyFill="1" applyBorder="1" applyAlignment="1">
      <alignment horizontal="center"/>
    </xf>
    <xf numFmtId="10" fontId="56" fillId="2" borderId="1" xfId="2" applyNumberFormat="1" applyFont="1" applyFill="1" applyBorder="1" applyAlignment="1" applyProtection="1">
      <alignment horizontal="center"/>
    </xf>
    <xf numFmtId="176" fontId="39" fillId="2" borderId="1" xfId="0" applyNumberFormat="1" applyFont="1" applyFill="1" applyBorder="1" applyAlignment="1">
      <alignment horizontal="center"/>
    </xf>
    <xf numFmtId="0" fontId="56" fillId="2" borderId="1" xfId="0" applyFont="1" applyFill="1" applyBorder="1" applyAlignment="1">
      <alignment horizontal="center"/>
    </xf>
    <xf numFmtId="0" fontId="39" fillId="2" borderId="1" xfId="0" applyFont="1" applyFill="1" applyBorder="1" applyAlignment="1">
      <alignment horizontal="center"/>
    </xf>
    <xf numFmtId="10" fontId="56" fillId="2" borderId="1" xfId="0" applyNumberFormat="1" applyFont="1" applyFill="1" applyBorder="1" applyAlignment="1">
      <alignment horizontal="center"/>
    </xf>
    <xf numFmtId="2" fontId="39" fillId="2" borderId="0" xfId="0" applyNumberFormat="1" applyFont="1" applyFill="1" applyAlignment="1">
      <alignment horizontal="center"/>
    </xf>
    <xf numFmtId="176" fontId="56" fillId="2" borderId="0" xfId="0" applyNumberFormat="1" applyFont="1" applyFill="1" applyAlignment="1">
      <alignment horizontal="center"/>
    </xf>
    <xf numFmtId="10" fontId="39" fillId="2" borderId="0" xfId="0" applyNumberFormat="1" applyFont="1" applyFill="1" applyAlignment="1">
      <alignment horizontal="center"/>
    </xf>
    <xf numFmtId="14" fontId="116" fillId="2" borderId="0" xfId="0" applyNumberFormat="1" applyFont="1" applyFill="1"/>
    <xf numFmtId="0" fontId="117" fillId="2" borderId="0" xfId="3" applyFont="1" applyFill="1" applyBorder="1" applyAlignment="1" applyProtection="1">
      <alignment horizontal="center"/>
    </xf>
    <xf numFmtId="0" fontId="118" fillId="2" borderId="0" xfId="0" applyFont="1" applyFill="1" applyAlignment="1">
      <alignment horizontal="center"/>
    </xf>
    <xf numFmtId="0" fontId="116" fillId="2" borderId="0" xfId="0" applyFont="1" applyFill="1" applyAlignment="1">
      <alignment horizontal="center"/>
    </xf>
    <xf numFmtId="0" fontId="116" fillId="2" borderId="0" xfId="0" applyFont="1" applyFill="1"/>
    <xf numFmtId="0" fontId="116" fillId="2" borderId="0" xfId="0" applyFont="1" applyFill="1" applyAlignment="1">
      <alignment wrapText="1"/>
    </xf>
    <xf numFmtId="0" fontId="116" fillId="2" borderId="5" xfId="0" applyFont="1" applyFill="1" applyBorder="1" applyAlignment="1">
      <alignment horizontal="center" wrapText="1"/>
    </xf>
    <xf numFmtId="0" fontId="116" fillId="2" borderId="6" xfId="0" applyFont="1" applyFill="1" applyBorder="1" applyAlignment="1">
      <alignment horizontal="center" wrapText="1"/>
    </xf>
    <xf numFmtId="0" fontId="119" fillId="2" borderId="1" xfId="0" applyFont="1" applyFill="1" applyBorder="1" applyAlignment="1">
      <alignment horizontal="left"/>
    </xf>
    <xf numFmtId="0" fontId="119" fillId="2" borderId="1" xfId="0" applyFont="1" applyFill="1" applyBorder="1" applyAlignment="1">
      <alignment horizontal="right"/>
    </xf>
    <xf numFmtId="0" fontId="116" fillId="3" borderId="1" xfId="0" applyFont="1" applyFill="1" applyBorder="1" applyAlignment="1">
      <alignment horizontal="right"/>
    </xf>
    <xf numFmtId="0" fontId="116" fillId="2" borderId="1" xfId="0" applyFont="1" applyFill="1" applyBorder="1" applyAlignment="1">
      <alignment horizontal="right"/>
    </xf>
    <xf numFmtId="0" fontId="116" fillId="2" borderId="11" xfId="0" applyFont="1" applyFill="1" applyBorder="1" applyAlignment="1">
      <alignment horizontal="right"/>
    </xf>
    <xf numFmtId="0" fontId="119" fillId="3" borderId="1" xfId="0" applyFont="1" applyFill="1" applyBorder="1" applyAlignment="1">
      <alignment horizontal="left"/>
    </xf>
    <xf numFmtId="0" fontId="119" fillId="3" borderId="1" xfId="0" applyFont="1" applyFill="1" applyBorder="1" applyAlignment="1">
      <alignment horizontal="right"/>
    </xf>
    <xf numFmtId="0" fontId="120" fillId="0" borderId="0" xfId="0" applyFont="1"/>
    <xf numFmtId="0" fontId="116" fillId="2" borderId="1" xfId="0" applyFont="1" applyFill="1" applyBorder="1" applyAlignment="1">
      <alignment horizontal="left"/>
    </xf>
    <xf numFmtId="1" fontId="51" fillId="0" borderId="1" xfId="0" applyNumberFormat="1" applyFont="1" applyBorder="1" applyAlignment="1">
      <alignment horizontal="center"/>
    </xf>
    <xf numFmtId="0" fontId="121" fillId="0" borderId="0" xfId="0" applyFont="1"/>
    <xf numFmtId="0" fontId="51" fillId="0" borderId="1" xfId="0" applyFont="1" applyBorder="1" applyAlignment="1">
      <alignment horizontal="center" vertical="center"/>
    </xf>
    <xf numFmtId="49" fontId="122" fillId="0" borderId="1" xfId="0" applyNumberFormat="1" applyFont="1" applyBorder="1" applyAlignment="1">
      <alignment horizontal="center" vertical="center"/>
    </xf>
    <xf numFmtId="0" fontId="39" fillId="2" borderId="1" xfId="0" applyFont="1" applyFill="1" applyBorder="1" applyAlignment="1">
      <alignment horizontal="center" vertical="center" wrapText="1"/>
    </xf>
    <xf numFmtId="166" fontId="0" fillId="0" borderId="0" xfId="0" applyNumberFormat="1"/>
    <xf numFmtId="2" fontId="63" fillId="0" borderId="1" xfId="0" applyNumberFormat="1" applyFont="1" applyBorder="1" applyAlignment="1">
      <alignment horizontal="center"/>
    </xf>
    <xf numFmtId="2" fontId="96" fillId="0" borderId="1" xfId="0" applyNumberFormat="1" applyFont="1" applyBorder="1" applyAlignment="1">
      <alignment horizontal="center"/>
    </xf>
    <xf numFmtId="1" fontId="96" fillId="0" borderId="1" xfId="0" applyNumberFormat="1" applyFont="1" applyBorder="1" applyAlignment="1">
      <alignment horizontal="center"/>
    </xf>
    <xf numFmtId="0" fontId="4" fillId="0" borderId="3" xfId="0" applyFont="1" applyBorder="1" applyAlignment="1"/>
    <xf numFmtId="0" fontId="4" fillId="0" borderId="4" xfId="0" applyFont="1" applyBorder="1" applyAlignment="1"/>
    <xf numFmtId="0" fontId="5" fillId="0" borderId="9" xfId="0" applyFont="1" applyBorder="1" applyAlignment="1">
      <alignment vertical="center" wrapText="1"/>
    </xf>
    <xf numFmtId="0" fontId="5" fillId="0" borderId="13" xfId="0" applyFont="1" applyBorder="1" applyAlignment="1">
      <alignment vertical="center" wrapText="1"/>
    </xf>
    <xf numFmtId="0" fontId="22" fillId="0" borderId="9" xfId="0" applyFont="1" applyBorder="1" applyAlignment="1">
      <alignment vertical="center" wrapText="1"/>
    </xf>
    <xf numFmtId="0" fontId="22" fillId="0" borderId="13" xfId="0" applyFont="1" applyBorder="1" applyAlignment="1">
      <alignment vertical="center" wrapText="1"/>
    </xf>
    <xf numFmtId="0" fontId="5" fillId="0" borderId="5" xfId="0" applyFont="1" applyBorder="1" applyAlignment="1">
      <alignment vertical="center" wrapText="1"/>
    </xf>
    <xf numFmtId="0" fontId="5" fillId="0" borderId="6" xfId="0" applyFont="1" applyBorder="1" applyAlignment="1">
      <alignment vertical="center" wrapText="1"/>
    </xf>
    <xf numFmtId="0" fontId="99" fillId="2" borderId="1" xfId="0" applyFont="1" applyFill="1" applyBorder="1" applyAlignment="1">
      <alignment horizontal="center" wrapText="1"/>
    </xf>
    <xf numFmtId="1" fontId="60" fillId="2" borderId="1" xfId="0" applyNumberFormat="1" applyFont="1" applyFill="1" applyBorder="1" applyAlignment="1">
      <alignment horizontal="center" wrapText="1"/>
    </xf>
    <xf numFmtId="0" fontId="5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/>
    </xf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/>
    </xf>
    <xf numFmtId="49" fontId="5" fillId="0" borderId="1" xfId="0" applyNumberFormat="1" applyFont="1" applyBorder="1" applyAlignment="1">
      <alignment horizontal="center"/>
    </xf>
    <xf numFmtId="49" fontId="1" fillId="2" borderId="4" xfId="0" applyNumberFormat="1" applyFont="1" applyFill="1" applyBorder="1" applyAlignment="1">
      <alignment vertical="center" wrapText="1"/>
    </xf>
    <xf numFmtId="49" fontId="5" fillId="2" borderId="4" xfId="0" applyNumberFormat="1" applyFont="1" applyFill="1" applyBorder="1" applyAlignment="1"/>
    <xf numFmtId="49" fontId="5" fillId="2" borderId="3" xfId="0" applyNumberFormat="1" applyFont="1" applyFill="1" applyBorder="1" applyAlignment="1"/>
    <xf numFmtId="0" fontId="125" fillId="18" borderId="1" xfId="5" applyFont="1" applyFill="1" applyBorder="1" applyAlignment="1">
      <alignment horizontal="center" vertical="center" wrapText="1"/>
    </xf>
    <xf numFmtId="0" fontId="125" fillId="18" borderId="1" xfId="0" applyFont="1" applyFill="1" applyBorder="1" applyAlignment="1">
      <alignment horizontal="center"/>
    </xf>
    <xf numFmtId="0" fontId="125" fillId="18" borderId="1" xfId="0" applyFont="1" applyFill="1" applyBorder="1" applyAlignment="1">
      <alignment horizontal="left"/>
    </xf>
    <xf numFmtId="0" fontId="124" fillId="18" borderId="1" xfId="0" applyFont="1" applyFill="1" applyBorder="1" applyAlignment="1">
      <alignment horizontal="center"/>
    </xf>
    <xf numFmtId="0" fontId="125" fillId="18" borderId="1" xfId="0" applyFont="1" applyFill="1" applyBorder="1" applyAlignment="1">
      <alignment horizontal="center" vertical="center"/>
    </xf>
    <xf numFmtId="1" fontId="125" fillId="18" borderId="1" xfId="0" applyNumberFormat="1" applyFont="1" applyFill="1" applyBorder="1" applyAlignment="1">
      <alignment horizontal="center"/>
    </xf>
    <xf numFmtId="2" fontId="125" fillId="18" borderId="1" xfId="0" applyNumberFormat="1" applyFont="1" applyFill="1" applyBorder="1" applyAlignment="1">
      <alignment horizontal="center" vertical="center"/>
    </xf>
    <xf numFmtId="0" fontId="125" fillId="18" borderId="1" xfId="0" applyFont="1" applyFill="1" applyBorder="1" applyAlignment="1">
      <alignment horizontal="center" vertical="center" wrapText="1"/>
    </xf>
    <xf numFmtId="0" fontId="125" fillId="18" borderId="5" xfId="0" applyFont="1" applyFill="1" applyBorder="1" applyAlignment="1">
      <alignment horizontal="center" vertical="center"/>
    </xf>
    <xf numFmtId="0" fontId="125" fillId="18" borderId="1" xfId="0" applyFont="1" applyFill="1" applyBorder="1" applyAlignment="1">
      <alignment horizontal="left" vertical="center" wrapText="1"/>
    </xf>
    <xf numFmtId="0" fontId="124" fillId="18" borderId="1" xfId="0" applyFont="1" applyFill="1" applyBorder="1" applyAlignment="1">
      <alignment horizontal="left"/>
    </xf>
    <xf numFmtId="0" fontId="125" fillId="18" borderId="1" xfId="0" applyFont="1" applyFill="1" applyBorder="1" applyAlignment="1">
      <alignment horizontal="left" wrapText="1"/>
    </xf>
    <xf numFmtId="0" fontId="125" fillId="18" borderId="11" xfId="0" applyFont="1" applyFill="1" applyBorder="1" applyAlignment="1">
      <alignment vertical="center" wrapText="1"/>
    </xf>
    <xf numFmtId="0" fontId="125" fillId="18" borderId="6" xfId="0" applyFont="1" applyFill="1" applyBorder="1" applyAlignment="1">
      <alignment vertical="center" wrapText="1"/>
    </xf>
    <xf numFmtId="0" fontId="125" fillId="18" borderId="1" xfId="0" applyFont="1" applyFill="1" applyBorder="1" applyAlignment="1">
      <alignment horizontal="left" vertical="center"/>
    </xf>
    <xf numFmtId="0" fontId="125" fillId="18" borderId="4" xfId="0" applyFont="1" applyFill="1" applyBorder="1" applyAlignment="1">
      <alignment horizontal="left"/>
    </xf>
    <xf numFmtId="0" fontId="125" fillId="18" borderId="1" xfId="0" applyFont="1" applyFill="1" applyBorder="1" applyAlignment="1">
      <alignment horizontal="justify" vertical="center"/>
    </xf>
    <xf numFmtId="0" fontId="125" fillId="18" borderId="13" xfId="0" applyFont="1" applyFill="1" applyBorder="1" applyAlignment="1">
      <alignment horizontal="left"/>
    </xf>
    <xf numFmtId="165" fontId="124" fillId="18" borderId="1" xfId="0" applyNumberFormat="1" applyFont="1" applyFill="1" applyBorder="1" applyAlignment="1">
      <alignment horizontal="center"/>
    </xf>
    <xf numFmtId="0" fontId="126" fillId="18" borderId="1" xfId="0" applyFont="1" applyFill="1" applyBorder="1" applyAlignment="1">
      <alignment horizontal="left"/>
    </xf>
    <xf numFmtId="1" fontId="124" fillId="18" borderId="1" xfId="0" applyNumberFormat="1" applyFont="1" applyFill="1" applyBorder="1" applyAlignment="1">
      <alignment horizontal="center"/>
    </xf>
    <xf numFmtId="0" fontId="133" fillId="18" borderId="1" xfId="5" applyFont="1" applyFill="1" applyBorder="1" applyAlignment="1">
      <alignment horizontal="center" vertical="center" wrapText="1"/>
    </xf>
    <xf numFmtId="0" fontId="134" fillId="18" borderId="1" xfId="5" applyFont="1" applyFill="1" applyBorder="1" applyAlignment="1">
      <alignment horizontal="center" vertical="center" wrapText="1"/>
    </xf>
    <xf numFmtId="0" fontId="131" fillId="0" borderId="1" xfId="5" applyFont="1" applyFill="1" applyBorder="1" applyAlignment="1">
      <alignment horizontal="center" vertical="center" wrapText="1"/>
    </xf>
    <xf numFmtId="0" fontId="132" fillId="0" borderId="1" xfId="5" applyFont="1" applyFill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/>
    </xf>
    <xf numFmtId="0" fontId="135" fillId="0" borderId="1" xfId="0" applyFont="1" applyBorder="1" applyAlignment="1">
      <alignment horizontal="left"/>
    </xf>
    <xf numFmtId="2" fontId="136" fillId="0" borderId="1" xfId="0" applyNumberFormat="1" applyFont="1" applyFill="1" applyBorder="1" applyAlignment="1">
      <alignment horizontal="center" vertical="center"/>
    </xf>
    <xf numFmtId="2" fontId="135" fillId="18" borderId="1" xfId="0" applyNumberFormat="1" applyFont="1" applyFill="1" applyBorder="1" applyAlignment="1">
      <alignment horizontal="center" vertical="center"/>
    </xf>
    <xf numFmtId="0" fontId="135" fillId="18" borderId="1" xfId="0" applyFont="1" applyFill="1" applyBorder="1" applyAlignment="1">
      <alignment horizontal="center" vertical="center"/>
    </xf>
    <xf numFmtId="0" fontId="124" fillId="0" borderId="1" xfId="0" applyFont="1" applyBorder="1" applyAlignment="1">
      <alignment horizontal="center"/>
    </xf>
    <xf numFmtId="0" fontId="135" fillId="0" borderId="1" xfId="0" applyFont="1" applyBorder="1" applyAlignment="1">
      <alignment horizontal="left" vertical="center"/>
    </xf>
    <xf numFmtId="0" fontId="135" fillId="18" borderId="1" xfId="0" applyFont="1" applyFill="1" applyBorder="1"/>
    <xf numFmtId="0" fontId="135" fillId="18" borderId="1" xfId="0" applyFont="1" applyFill="1" applyBorder="1" applyAlignment="1">
      <alignment horizontal="left"/>
    </xf>
    <xf numFmtId="0" fontId="0" fillId="18" borderId="1" xfId="0" applyFont="1" applyFill="1" applyBorder="1" applyAlignment="1">
      <alignment horizontal="center" vertical="center"/>
    </xf>
    <xf numFmtId="0" fontId="124" fillId="0" borderId="1" xfId="0" applyFont="1" applyBorder="1"/>
    <xf numFmtId="2" fontId="136" fillId="0" borderId="1" xfId="0" applyNumberFormat="1" applyFont="1" applyFill="1" applyBorder="1" applyAlignment="1">
      <alignment horizontal="center"/>
    </xf>
    <xf numFmtId="0" fontId="136" fillId="0" borderId="1" xfId="0" applyFont="1" applyBorder="1" applyAlignment="1">
      <alignment horizontal="left"/>
    </xf>
    <xf numFmtId="0" fontId="4" fillId="0" borderId="9" xfId="0" applyFont="1" applyBorder="1" applyAlignment="1">
      <alignment vertical="center" textRotation="90" wrapText="1"/>
    </xf>
    <xf numFmtId="0" fontId="4" fillId="0" borderId="7" xfId="0" applyFont="1" applyBorder="1" applyAlignment="1">
      <alignment vertical="center" textRotation="90" wrapText="1"/>
    </xf>
    <xf numFmtId="0" fontId="38" fillId="0" borderId="5" xfId="0" applyFont="1" applyBorder="1" applyAlignment="1">
      <alignment vertical="center" textRotation="90" wrapText="1"/>
    </xf>
    <xf numFmtId="0" fontId="38" fillId="0" borderId="11" xfId="0" applyFont="1" applyBorder="1" applyAlignment="1">
      <alignment vertical="center" textRotation="90" wrapText="1"/>
    </xf>
    <xf numFmtId="0" fontId="38" fillId="0" borderId="6" xfId="0" applyFont="1" applyBorder="1" applyAlignment="1">
      <alignment vertical="center" textRotation="90" wrapText="1"/>
    </xf>
    <xf numFmtId="0" fontId="5" fillId="0" borderId="5" xfId="0" applyFont="1" applyBorder="1" applyAlignment="1">
      <alignment vertical="center" textRotation="90" wrapText="1"/>
    </xf>
    <xf numFmtId="0" fontId="5" fillId="0" borderId="11" xfId="0" applyFont="1" applyBorder="1" applyAlignment="1">
      <alignment vertical="center" textRotation="90" wrapText="1"/>
    </xf>
    <xf numFmtId="1" fontId="1" fillId="0" borderId="1" xfId="0" applyNumberFormat="1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22" fillId="0" borderId="1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left" vertical="center"/>
    </xf>
    <xf numFmtId="0" fontId="7" fillId="2" borderId="1" xfId="0" applyFont="1" applyFill="1" applyBorder="1" applyAlignment="1">
      <alignment horizontal="center" vertical="center"/>
    </xf>
    <xf numFmtId="2" fontId="41" fillId="0" borderId="0" xfId="0" applyNumberFormat="1" applyFont="1" applyAlignment="1">
      <alignment horizontal="center"/>
    </xf>
    <xf numFmtId="2" fontId="34" fillId="2" borderId="0" xfId="0" applyNumberFormat="1" applyFont="1" applyFill="1" applyAlignment="1">
      <alignment horizontal="left"/>
    </xf>
    <xf numFmtId="2" fontId="77" fillId="0" borderId="0" xfId="0" applyNumberFormat="1" applyFont="1"/>
    <xf numFmtId="164" fontId="77" fillId="0" borderId="0" xfId="0" applyNumberFormat="1" applyFont="1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36" fillId="2" borderId="1" xfId="0" applyFont="1" applyFill="1" applyBorder="1" applyAlignment="1">
      <alignment horizontal="center" vertical="center" wrapText="1"/>
    </xf>
    <xf numFmtId="0" fontId="36" fillId="2" borderId="1" xfId="0" applyFont="1" applyFill="1" applyBorder="1" applyAlignment="1">
      <alignment horizontal="center" wrapText="1"/>
    </xf>
    <xf numFmtId="0" fontId="14" fillId="2" borderId="1" xfId="0" applyFont="1" applyFill="1" applyBorder="1" applyAlignment="1">
      <alignment horizontal="center" vertical="center" wrapText="1"/>
    </xf>
    <xf numFmtId="0" fontId="36" fillId="2" borderId="1" xfId="0" applyFont="1" applyFill="1" applyBorder="1" applyAlignment="1">
      <alignment horizontal="center" vertical="center" wrapText="1"/>
    </xf>
    <xf numFmtId="0" fontId="0" fillId="19" borderId="0" xfId="0" applyFill="1"/>
    <xf numFmtId="0" fontId="1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textRotation="90" wrapText="1"/>
    </xf>
    <xf numFmtId="49" fontId="5" fillId="3" borderId="1" xfId="0" applyNumberFormat="1" applyFont="1" applyFill="1" applyBorder="1" applyAlignment="1">
      <alignment horizontal="center" vertical="center"/>
    </xf>
    <xf numFmtId="1" fontId="1" fillId="0" borderId="1" xfId="0" applyNumberFormat="1" applyFont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19" fillId="0" borderId="2" xfId="0" applyFont="1" applyBorder="1" applyAlignment="1" applyProtection="1">
      <alignment horizontal="center"/>
      <protection locked="0"/>
    </xf>
    <xf numFmtId="1" fontId="0" fillId="0" borderId="1" xfId="0" applyNumberFormat="1" applyBorder="1" applyAlignment="1">
      <alignment horizontal="center"/>
    </xf>
    <xf numFmtId="0" fontId="5" fillId="0" borderId="5" xfId="0" applyFont="1" applyBorder="1" applyAlignment="1">
      <alignment horizontal="center" vertical="center" textRotation="90" wrapText="1"/>
    </xf>
    <xf numFmtId="0" fontId="0" fillId="0" borderId="1" xfId="0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166" fontId="0" fillId="0" borderId="1" xfId="0" applyNumberFormat="1" applyBorder="1" applyAlignment="1">
      <alignment horizontal="center"/>
    </xf>
    <xf numFmtId="166" fontId="0" fillId="0" borderId="1" xfId="0" applyNumberFormat="1" applyBorder="1" applyAlignment="1">
      <alignment horizontal="center" vertical="center"/>
    </xf>
    <xf numFmtId="0" fontId="22" fillId="0" borderId="4" xfId="0" applyFont="1" applyBorder="1" applyAlignment="1">
      <alignment horizontal="center" vertical="center" wrapText="1"/>
    </xf>
    <xf numFmtId="0" fontId="38" fillId="0" borderId="1" xfId="0" applyFont="1" applyBorder="1" applyAlignment="1">
      <alignment horizontal="center" vertical="center" textRotation="90" wrapText="1"/>
    </xf>
    <xf numFmtId="0" fontId="0" fillId="0" borderId="1" xfId="0" applyFont="1" applyBorder="1" applyAlignment="1">
      <alignment horizontal="left" vertical="center"/>
    </xf>
    <xf numFmtId="0" fontId="0" fillId="0" borderId="0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5" fillId="0" borderId="4" xfId="0" applyFont="1" applyBorder="1" applyAlignment="1">
      <alignment horizontal="center" vertical="center" wrapText="1"/>
    </xf>
    <xf numFmtId="0" fontId="0" fillId="0" borderId="8" xfId="0" applyFont="1" applyBorder="1" applyAlignment="1">
      <alignment horizontal="center"/>
    </xf>
    <xf numFmtId="0" fontId="4" fillId="0" borderId="9" xfId="0" applyFont="1" applyBorder="1" applyAlignment="1">
      <alignment horizontal="center" vertical="center" textRotation="90" wrapText="1"/>
    </xf>
    <xf numFmtId="0" fontId="19" fillId="0" borderId="1" xfId="0" applyFont="1" applyBorder="1" applyAlignment="1">
      <alignment horizontal="center" vertical="top"/>
    </xf>
    <xf numFmtId="49" fontId="19" fillId="0" borderId="1" xfId="0" applyNumberFormat="1" applyFont="1" applyBorder="1" applyAlignment="1">
      <alignment horizontal="center" vertical="top"/>
    </xf>
    <xf numFmtId="0" fontId="5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36" fillId="0" borderId="1" xfId="0" applyFont="1" applyBorder="1" applyAlignment="1">
      <alignment horizontal="center" vertical="center"/>
    </xf>
    <xf numFmtId="0" fontId="22" fillId="2" borderId="1" xfId="0" applyFont="1" applyFill="1" applyBorder="1" applyAlignment="1">
      <alignment horizontal="center" vertical="center" wrapText="1"/>
    </xf>
    <xf numFmtId="0" fontId="31" fillId="0" borderId="1" xfId="0" applyFont="1" applyBorder="1" applyAlignment="1">
      <alignment horizontal="center" vertical="center"/>
    </xf>
    <xf numFmtId="0" fontId="36" fillId="0" borderId="1" xfId="0" applyFont="1" applyBorder="1" applyAlignment="1">
      <alignment horizontal="center" vertical="center" wrapText="1"/>
    </xf>
    <xf numFmtId="0" fontId="30" fillId="0" borderId="1" xfId="0" applyFont="1" applyBorder="1" applyAlignment="1">
      <alignment horizontal="center" vertical="center" wrapText="1"/>
    </xf>
    <xf numFmtId="0" fontId="13" fillId="0" borderId="5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22" fillId="0" borderId="5" xfId="0" applyFont="1" applyBorder="1" applyAlignment="1">
      <alignment horizontal="center" vertical="center" wrapText="1"/>
    </xf>
    <xf numFmtId="1" fontId="36" fillId="0" borderId="1" xfId="0" applyNumberFormat="1" applyFont="1" applyBorder="1" applyAlignment="1">
      <alignment horizontal="center" vertical="center" wrapText="1"/>
    </xf>
    <xf numFmtId="0" fontId="36" fillId="0" borderId="1" xfId="0" applyFont="1" applyBorder="1" applyAlignment="1">
      <alignment horizontal="center"/>
    </xf>
    <xf numFmtId="0" fontId="21" fillId="0" borderId="0" xfId="0" applyFont="1" applyBorder="1" applyAlignment="1">
      <alignment horizontal="center"/>
    </xf>
    <xf numFmtId="0" fontId="21" fillId="0" borderId="12" xfId="0" applyFont="1" applyBorder="1" applyAlignment="1">
      <alignment horizontal="center"/>
    </xf>
    <xf numFmtId="0" fontId="55" fillId="0" borderId="1" xfId="0" applyFont="1" applyBorder="1" applyAlignment="1">
      <alignment horizontal="center" vertical="center" wrapText="1"/>
    </xf>
    <xf numFmtId="0" fontId="36" fillId="0" borderId="1" xfId="0" applyFont="1" applyBorder="1" applyAlignment="1">
      <alignment vertical="center"/>
    </xf>
    <xf numFmtId="0" fontId="36" fillId="0" borderId="1" xfId="0" applyFont="1" applyBorder="1" applyAlignment="1">
      <alignment vertical="center" wrapText="1"/>
    </xf>
    <xf numFmtId="0" fontId="36" fillId="0" borderId="6" xfId="0" applyFont="1" applyBorder="1" applyAlignment="1">
      <alignment vertical="center"/>
    </xf>
    <xf numFmtId="0" fontId="32" fillId="0" borderId="1" xfId="0" applyFont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/>
    </xf>
    <xf numFmtId="0" fontId="36" fillId="2" borderId="1" xfId="0" applyFont="1" applyFill="1" applyBorder="1" applyAlignment="1">
      <alignment vertical="center"/>
    </xf>
    <xf numFmtId="0" fontId="13" fillId="0" borderId="1" xfId="0" applyFont="1" applyBorder="1" applyAlignment="1">
      <alignment horizontal="center" vertical="center"/>
    </xf>
    <xf numFmtId="0" fontId="13" fillId="0" borderId="6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36" fillId="2" borderId="1" xfId="0" applyFont="1" applyFill="1" applyBorder="1" applyAlignment="1">
      <alignment horizontal="center" vertical="center"/>
    </xf>
    <xf numFmtId="0" fontId="66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/>
    </xf>
    <xf numFmtId="0" fontId="69" fillId="14" borderId="1" xfId="0" applyFont="1" applyFill="1" applyBorder="1" applyAlignment="1"/>
    <xf numFmtId="0" fontId="66" fillId="0" borderId="5" xfId="0" applyFont="1" applyBorder="1" applyAlignment="1">
      <alignment horizontal="center" vertical="center"/>
    </xf>
    <xf numFmtId="0" fontId="36" fillId="0" borderId="5" xfId="0" applyFont="1" applyBorder="1" applyAlignment="1">
      <alignment horizontal="center" vertical="center" wrapText="1"/>
    </xf>
    <xf numFmtId="0" fontId="66" fillId="3" borderId="1" xfId="0" applyFont="1" applyFill="1" applyBorder="1" applyAlignment="1">
      <alignment horizontal="center" vertical="center"/>
    </xf>
    <xf numFmtId="0" fontId="36" fillId="0" borderId="5" xfId="0" applyFont="1" applyBorder="1" applyAlignment="1">
      <alignment vertical="center" wrapText="1"/>
    </xf>
    <xf numFmtId="2" fontId="74" fillId="0" borderId="1" xfId="0" applyNumberFormat="1" applyFont="1" applyBorder="1" applyAlignment="1">
      <alignment horizontal="center" vertical="center"/>
    </xf>
    <xf numFmtId="2" fontId="75" fillId="0" borderId="1" xfId="0" applyNumberFormat="1" applyFont="1" applyBorder="1" applyAlignment="1">
      <alignment horizontal="center" vertical="center"/>
    </xf>
    <xf numFmtId="0" fontId="77" fillId="0" borderId="0" xfId="0" applyFont="1" applyBorder="1" applyAlignment="1">
      <alignment horizontal="center" vertical="center"/>
    </xf>
    <xf numFmtId="0" fontId="77" fillId="0" borderId="0" xfId="0" applyFont="1" applyBorder="1" applyAlignment="1">
      <alignment horizontal="center"/>
    </xf>
    <xf numFmtId="0" fontId="74" fillId="0" borderId="1" xfId="0" applyFont="1" applyBorder="1" applyAlignment="1">
      <alignment horizontal="center"/>
    </xf>
    <xf numFmtId="0" fontId="74" fillId="0" borderId="1" xfId="0" applyFont="1" applyBorder="1" applyAlignment="1">
      <alignment horizontal="center" vertical="center"/>
    </xf>
    <xf numFmtId="179" fontId="74" fillId="2" borderId="1" xfId="0" applyNumberFormat="1" applyFont="1" applyFill="1" applyBorder="1" applyAlignment="1">
      <alignment horizontal="center" vertical="center"/>
    </xf>
    <xf numFmtId="2" fontId="74" fillId="2" borderId="1" xfId="1" applyNumberFormat="1" applyFont="1" applyFill="1" applyBorder="1" applyAlignment="1" applyProtection="1">
      <alignment horizontal="center" vertical="center"/>
    </xf>
    <xf numFmtId="166" fontId="74" fillId="0" borderId="1" xfId="0" applyNumberFormat="1" applyFont="1" applyBorder="1" applyAlignment="1">
      <alignment horizontal="center" vertical="center"/>
    </xf>
    <xf numFmtId="0" fontId="75" fillId="0" borderId="1" xfId="0" applyFont="1" applyBorder="1" applyAlignment="1">
      <alignment horizontal="center"/>
    </xf>
    <xf numFmtId="0" fontId="75" fillId="0" borderId="1" xfId="0" applyFont="1" applyBorder="1" applyAlignment="1">
      <alignment horizontal="center" vertical="center" wrapText="1"/>
    </xf>
    <xf numFmtId="2" fontId="75" fillId="2" borderId="1" xfId="0" applyNumberFormat="1" applyFont="1" applyFill="1" applyBorder="1" applyAlignment="1" applyProtection="1">
      <alignment horizontal="center" vertical="center"/>
      <protection locked="0"/>
    </xf>
    <xf numFmtId="0" fontId="74" fillId="0" borderId="1" xfId="0" applyFont="1" applyBorder="1" applyAlignment="1">
      <alignment horizontal="center" vertical="top" wrapText="1"/>
    </xf>
    <xf numFmtId="0" fontId="73" fillId="0" borderId="13" xfId="0" applyFont="1" applyBorder="1" applyAlignment="1">
      <alignment horizontal="center"/>
    </xf>
    <xf numFmtId="49" fontId="74" fillId="0" borderId="1" xfId="0" applyNumberFormat="1" applyFont="1" applyBorder="1" applyAlignment="1">
      <alignment horizontal="center"/>
    </xf>
    <xf numFmtId="0" fontId="5" fillId="0" borderId="2" xfId="0" applyFont="1" applyBorder="1" applyAlignment="1">
      <alignment horizontal="right" vertical="center"/>
    </xf>
    <xf numFmtId="0" fontId="5" fillId="0" borderId="2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right"/>
    </xf>
    <xf numFmtId="49" fontId="1" fillId="2" borderId="1" xfId="0" applyNumberFormat="1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49" fontId="5" fillId="2" borderId="1" xfId="0" applyNumberFormat="1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38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right"/>
    </xf>
    <xf numFmtId="0" fontId="1" fillId="2" borderId="1" xfId="0" applyFont="1" applyFill="1" applyBorder="1" applyAlignment="1">
      <alignment horizontal="left" vertical="center"/>
    </xf>
    <xf numFmtId="0" fontId="7" fillId="2" borderId="1" xfId="0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left" vertical="center"/>
    </xf>
    <xf numFmtId="0" fontId="36" fillId="2" borderId="1" xfId="0" applyFont="1" applyFill="1" applyBorder="1" applyAlignment="1">
      <alignment horizontal="center" vertical="center" wrapText="1"/>
    </xf>
    <xf numFmtId="0" fontId="36" fillId="2" borderId="1" xfId="0" applyFont="1" applyFill="1" applyBorder="1" applyAlignment="1">
      <alignment horizontal="center" wrapText="1"/>
    </xf>
    <xf numFmtId="0" fontId="101" fillId="2" borderId="1" xfId="0" applyFont="1" applyFill="1" applyBorder="1" applyAlignment="1">
      <alignment horizontal="center" wrapText="1"/>
    </xf>
    <xf numFmtId="0" fontId="72" fillId="2" borderId="1" xfId="0" applyFont="1" applyFill="1" applyBorder="1" applyAlignment="1">
      <alignment horizontal="right" wrapText="1"/>
    </xf>
    <xf numFmtId="0" fontId="36" fillId="2" borderId="5" xfId="0" applyFont="1" applyFill="1" applyBorder="1" applyAlignment="1">
      <alignment horizontal="center" vertical="center" wrapText="1"/>
    </xf>
    <xf numFmtId="0" fontId="63" fillId="2" borderId="1" xfId="0" applyFont="1" applyFill="1" applyBorder="1" applyAlignment="1">
      <alignment horizontal="right" vertical="center" wrapText="1"/>
    </xf>
    <xf numFmtId="0" fontId="14" fillId="2" borderId="1" xfId="0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wrapText="1"/>
    </xf>
    <xf numFmtId="0" fontId="94" fillId="2" borderId="1" xfId="0" applyFont="1" applyFill="1" applyBorder="1" applyAlignment="1">
      <alignment horizontal="center" vertical="center" wrapText="1"/>
    </xf>
    <xf numFmtId="0" fontId="34" fillId="2" borderId="2" xfId="0" applyFont="1" applyFill="1" applyBorder="1" applyAlignment="1">
      <alignment horizontal="right" vertical="center" wrapText="1"/>
    </xf>
    <xf numFmtId="0" fontId="21" fillId="2" borderId="1" xfId="0" applyFont="1" applyFill="1" applyBorder="1" applyAlignment="1">
      <alignment horizontal="center" vertical="center" wrapText="1"/>
    </xf>
    <xf numFmtId="0" fontId="111" fillId="0" borderId="1" xfId="0" applyFont="1" applyBorder="1" applyAlignment="1">
      <alignment horizontal="center" vertical="center"/>
    </xf>
    <xf numFmtId="0" fontId="111" fillId="2" borderId="1" xfId="0" applyFont="1" applyFill="1" applyBorder="1" applyAlignment="1">
      <alignment horizontal="center" vertical="center"/>
    </xf>
    <xf numFmtId="0" fontId="108" fillId="0" borderId="1" xfId="0" applyFont="1" applyBorder="1" applyAlignment="1">
      <alignment horizontal="center" vertical="center" wrapText="1"/>
    </xf>
    <xf numFmtId="0" fontId="110" fillId="0" borderId="1" xfId="0" applyFont="1" applyBorder="1" applyAlignment="1">
      <alignment horizontal="center" vertical="center"/>
    </xf>
    <xf numFmtId="0" fontId="112" fillId="0" borderId="1" xfId="0" applyFont="1" applyBorder="1" applyAlignment="1">
      <alignment horizontal="center" vertical="center" wrapText="1"/>
    </xf>
    <xf numFmtId="0" fontId="111" fillId="0" borderId="1" xfId="8" applyFont="1" applyBorder="1" applyAlignment="1">
      <alignment horizontal="center" vertical="center" wrapText="1"/>
    </xf>
    <xf numFmtId="0" fontId="111" fillId="0" borderId="5" xfId="8" applyFont="1" applyBorder="1" applyAlignment="1">
      <alignment horizontal="center" vertical="center" wrapText="1"/>
    </xf>
    <xf numFmtId="0" fontId="109" fillId="0" borderId="4" xfId="0" applyFont="1" applyBorder="1" applyAlignment="1">
      <alignment horizontal="center" vertical="center"/>
    </xf>
    <xf numFmtId="14" fontId="0" fillId="0" borderId="1" xfId="0" applyNumberFormat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108" fillId="0" borderId="1" xfId="0" applyFont="1" applyBorder="1" applyAlignment="1">
      <alignment horizontal="center" vertical="center"/>
    </xf>
    <xf numFmtId="0" fontId="23" fillId="0" borderId="1" xfId="0" applyFont="1" applyBorder="1" applyAlignment="1">
      <alignment horizontal="center" vertical="center" wrapText="1"/>
    </xf>
    <xf numFmtId="2" fontId="0" fillId="0" borderId="1" xfId="0" applyNumberForma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textRotation="90" wrapText="1"/>
    </xf>
    <xf numFmtId="0" fontId="23" fillId="0" borderId="1" xfId="0" applyFont="1" applyBorder="1" applyAlignment="1">
      <alignment horizontal="left" vertical="center" wrapText="1"/>
    </xf>
    <xf numFmtId="0" fontId="19" fillId="0" borderId="0" xfId="0" applyFont="1" applyBorder="1" applyAlignment="1">
      <alignment horizontal="center"/>
    </xf>
    <xf numFmtId="0" fontId="23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13" fillId="0" borderId="2" xfId="0" applyFont="1" applyBorder="1" applyAlignment="1">
      <alignment horizontal="center"/>
    </xf>
    <xf numFmtId="0" fontId="1" fillId="0" borderId="1" xfId="0" applyFont="1" applyBorder="1" applyAlignment="1">
      <alignment horizontal="right"/>
    </xf>
    <xf numFmtId="49" fontId="5" fillId="0" borderId="1" xfId="0" applyNumberFormat="1" applyFont="1" applyBorder="1" applyAlignment="1">
      <alignment horizontal="center"/>
    </xf>
    <xf numFmtId="0" fontId="39" fillId="2" borderId="0" xfId="0" applyFont="1" applyFill="1" applyBorder="1" applyAlignment="1">
      <alignment horizontal="center" vertical="center" textRotation="90"/>
    </xf>
    <xf numFmtId="0" fontId="39" fillId="2" borderId="0" xfId="0" applyFont="1" applyFill="1" applyBorder="1" applyAlignment="1">
      <alignment horizontal="center"/>
    </xf>
    <xf numFmtId="0" fontId="39" fillId="2" borderId="0" xfId="0" applyFont="1" applyFill="1" applyBorder="1" applyAlignment="1">
      <alignment vertical="top" wrapText="1"/>
    </xf>
    <xf numFmtId="0" fontId="116" fillId="2" borderId="0" xfId="0" applyFont="1" applyFill="1" applyBorder="1" applyAlignment="1">
      <alignment horizontal="center" wrapText="1"/>
    </xf>
    <xf numFmtId="0" fontId="116" fillId="2" borderId="1" xfId="0" applyFont="1" applyFill="1" applyBorder="1" applyAlignment="1">
      <alignment wrapText="1"/>
    </xf>
    <xf numFmtId="0" fontId="116" fillId="2" borderId="1" xfId="0" applyFont="1" applyFill="1" applyBorder="1" applyAlignment="1">
      <alignment horizontal="center" wrapText="1"/>
    </xf>
    <xf numFmtId="0" fontId="119" fillId="2" borderId="1" xfId="0" applyFont="1" applyFill="1" applyBorder="1" applyAlignment="1">
      <alignment wrapText="1"/>
    </xf>
    <xf numFmtId="0" fontId="77" fillId="3" borderId="1" xfId="0" applyFont="1" applyFill="1" applyBorder="1" applyAlignment="1">
      <alignment horizontal="center"/>
    </xf>
    <xf numFmtId="0" fontId="125" fillId="18" borderId="1" xfId="0" applyFont="1" applyFill="1" applyBorder="1" applyAlignment="1">
      <alignment horizontal="center" vertical="center" wrapText="1"/>
    </xf>
    <xf numFmtId="0" fontId="125" fillId="18" borderId="1" xfId="0" applyFont="1" applyFill="1" applyBorder="1" applyAlignment="1">
      <alignment horizontal="center" vertical="center"/>
    </xf>
    <xf numFmtId="0" fontId="125" fillId="18" borderId="5" xfId="0" applyFont="1" applyFill="1" applyBorder="1" applyAlignment="1">
      <alignment horizontal="center" vertical="center" wrapText="1"/>
    </xf>
    <xf numFmtId="0" fontId="125" fillId="18" borderId="11" xfId="0" applyFont="1" applyFill="1" applyBorder="1" applyAlignment="1">
      <alignment horizontal="center" vertical="center" wrapText="1"/>
    </xf>
    <xf numFmtId="0" fontId="125" fillId="18" borderId="6" xfId="0" applyFont="1" applyFill="1" applyBorder="1" applyAlignment="1">
      <alignment horizontal="center" vertical="center" wrapText="1"/>
    </xf>
    <xf numFmtId="0" fontId="125" fillId="18" borderId="1" xfId="0" applyFont="1" applyFill="1" applyBorder="1" applyAlignment="1">
      <alignment horizontal="center" vertical="center" textRotation="90" wrapText="1"/>
    </xf>
    <xf numFmtId="0" fontId="125" fillId="18" borderId="5" xfId="0" applyFont="1" applyFill="1" applyBorder="1" applyAlignment="1">
      <alignment horizontal="center" vertical="center"/>
    </xf>
    <xf numFmtId="0" fontId="125" fillId="18" borderId="11" xfId="0" applyFont="1" applyFill="1" applyBorder="1" applyAlignment="1">
      <alignment horizontal="center" vertical="center"/>
    </xf>
    <xf numFmtId="0" fontId="125" fillId="18" borderId="6" xfId="0" applyFont="1" applyFill="1" applyBorder="1" applyAlignment="1">
      <alignment horizontal="center" vertical="center"/>
    </xf>
    <xf numFmtId="0" fontId="125" fillId="18" borderId="5" xfId="0" applyFont="1" applyFill="1" applyBorder="1" applyAlignment="1">
      <alignment horizontal="center" vertical="center" textRotation="90" wrapText="1"/>
    </xf>
    <xf numFmtId="0" fontId="125" fillId="18" borderId="11" xfId="0" applyFont="1" applyFill="1" applyBorder="1" applyAlignment="1">
      <alignment horizontal="center" vertical="center" textRotation="90" wrapText="1"/>
    </xf>
    <xf numFmtId="0" fontId="125" fillId="18" borderId="6" xfId="0" applyFont="1" applyFill="1" applyBorder="1" applyAlignment="1">
      <alignment horizontal="center" vertical="center" textRotation="90" wrapText="1"/>
    </xf>
    <xf numFmtId="0" fontId="125" fillId="18" borderId="1" xfId="0" applyFont="1" applyFill="1" applyBorder="1" applyAlignment="1">
      <alignment horizontal="center" vertical="center" textRotation="90"/>
    </xf>
    <xf numFmtId="0" fontId="125" fillId="18" borderId="5" xfId="0" applyFont="1" applyFill="1" applyBorder="1" applyAlignment="1">
      <alignment horizontal="left" vertical="center"/>
    </xf>
    <xf numFmtId="0" fontId="125" fillId="18" borderId="6" xfId="0" applyFont="1" applyFill="1" applyBorder="1" applyAlignment="1">
      <alignment horizontal="left" vertical="center"/>
    </xf>
    <xf numFmtId="17" fontId="125" fillId="18" borderId="1" xfId="5" applyNumberFormat="1" applyFont="1" applyFill="1" applyBorder="1" applyAlignment="1">
      <alignment horizontal="center" vertical="center" wrapText="1"/>
    </xf>
    <xf numFmtId="0" fontId="125" fillId="18" borderId="1" xfId="5" applyFont="1" applyFill="1" applyBorder="1" applyAlignment="1">
      <alignment horizontal="center" vertical="center" wrapText="1"/>
    </xf>
    <xf numFmtId="0" fontId="0" fillId="0" borderId="5" xfId="0" applyFont="1" applyBorder="1" applyAlignment="1">
      <alignment horizontal="center" vertical="center" wrapText="1"/>
    </xf>
    <xf numFmtId="0" fontId="0" fillId="0" borderId="6" xfId="0" applyFont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 textRotation="90" wrapText="1"/>
    </xf>
    <xf numFmtId="0" fontId="0" fillId="0" borderId="11" xfId="0" applyFont="1" applyBorder="1" applyAlignment="1">
      <alignment horizontal="center" vertical="center" textRotation="90" wrapText="1"/>
    </xf>
    <xf numFmtId="0" fontId="0" fillId="0" borderId="6" xfId="0" applyFont="1" applyBorder="1" applyAlignment="1">
      <alignment horizontal="center" vertical="center" textRotation="90" wrapText="1"/>
    </xf>
    <xf numFmtId="0" fontId="0" fillId="0" borderId="15" xfId="0" applyFont="1" applyBorder="1" applyAlignment="1">
      <alignment horizontal="center" vertical="center"/>
    </xf>
    <xf numFmtId="0" fontId="0" fillId="0" borderId="9" xfId="0" applyFont="1" applyBorder="1" applyAlignment="1">
      <alignment horizontal="center" vertical="center"/>
    </xf>
    <xf numFmtId="0" fontId="0" fillId="0" borderId="10" xfId="0" applyFont="1" applyBorder="1" applyAlignment="1">
      <alignment horizontal="center" vertical="center"/>
    </xf>
    <xf numFmtId="0" fontId="0" fillId="0" borderId="13" xfId="0" applyFont="1" applyBorder="1" applyAlignment="1">
      <alignment horizontal="center" vertical="center"/>
    </xf>
    <xf numFmtId="0" fontId="0" fillId="0" borderId="8" xfId="0" applyFont="1" applyBorder="1" applyAlignment="1">
      <alignment horizontal="center" vertical="center"/>
    </xf>
    <xf numFmtId="0" fontId="0" fillId="0" borderId="7" xfId="0" applyFont="1" applyBorder="1" applyAlignment="1">
      <alignment horizontal="center" vertical="center"/>
    </xf>
    <xf numFmtId="0" fontId="0" fillId="18" borderId="2" xfId="0" applyFont="1" applyFill="1" applyBorder="1" applyAlignment="1">
      <alignment horizontal="center" vertical="center"/>
    </xf>
    <xf numFmtId="0" fontId="0" fillId="18" borderId="4" xfId="0" applyFont="1" applyFill="1" applyBorder="1" applyAlignment="1">
      <alignment horizontal="center" vertical="center"/>
    </xf>
    <xf numFmtId="0" fontId="0" fillId="0" borderId="5" xfId="0" applyFont="1" applyBorder="1" applyAlignment="1">
      <alignment horizontal="center" vertical="center" textRotation="90"/>
    </xf>
    <xf numFmtId="0" fontId="0" fillId="0" borderId="11" xfId="0" applyFont="1" applyBorder="1" applyAlignment="1">
      <alignment horizontal="center" vertical="center" textRotation="90"/>
    </xf>
    <xf numFmtId="0" fontId="0" fillId="0" borderId="6" xfId="0" applyFont="1" applyBorder="1" applyAlignment="1">
      <alignment horizontal="center" vertical="center" textRotation="90"/>
    </xf>
    <xf numFmtId="0" fontId="0" fillId="0" borderId="1" xfId="0" applyFont="1" applyBorder="1" applyAlignment="1">
      <alignment horizontal="center" vertical="center" wrapText="1"/>
    </xf>
    <xf numFmtId="0" fontId="131" fillId="0" borderId="2" xfId="5" applyFont="1" applyFill="1" applyBorder="1" applyAlignment="1">
      <alignment horizontal="center" vertical="center" wrapText="1"/>
    </xf>
    <xf numFmtId="0" fontId="131" fillId="0" borderId="3" xfId="5" applyFont="1" applyFill="1" applyBorder="1" applyAlignment="1">
      <alignment horizontal="center" vertical="center" wrapText="1"/>
    </xf>
    <xf numFmtId="0" fontId="131" fillId="0" borderId="4" xfId="5" applyFont="1" applyFill="1" applyBorder="1" applyAlignment="1">
      <alignment horizontal="center" vertical="center" wrapText="1"/>
    </xf>
    <xf numFmtId="0" fontId="131" fillId="0" borderId="5" xfId="5" applyFont="1" applyFill="1" applyBorder="1" applyAlignment="1">
      <alignment horizontal="center" vertical="center" wrapText="1"/>
    </xf>
    <xf numFmtId="0" fontId="131" fillId="0" borderId="6" xfId="5" applyFont="1" applyFill="1" applyBorder="1" applyAlignment="1">
      <alignment horizontal="center" vertical="center" wrapText="1"/>
    </xf>
    <xf numFmtId="0" fontId="131" fillId="0" borderId="15" xfId="5" applyFont="1" applyFill="1" applyBorder="1" applyAlignment="1">
      <alignment horizontal="center" vertical="center" wrapText="1"/>
    </xf>
    <xf numFmtId="0" fontId="131" fillId="0" borderId="9" xfId="5" applyFont="1" applyFill="1" applyBorder="1" applyAlignment="1">
      <alignment horizontal="center" vertical="center" wrapText="1"/>
    </xf>
    <xf numFmtId="0" fontId="131" fillId="0" borderId="10" xfId="5" applyFont="1" applyFill="1" applyBorder="1" applyAlignment="1">
      <alignment horizontal="center" vertical="center" wrapText="1"/>
    </xf>
    <xf numFmtId="0" fontId="131" fillId="0" borderId="13" xfId="5" applyFont="1" applyFill="1" applyBorder="1" applyAlignment="1">
      <alignment horizontal="center" vertical="center" wrapText="1"/>
    </xf>
    <xf numFmtId="0" fontId="132" fillId="0" borderId="5" xfId="5" applyFont="1" applyFill="1" applyBorder="1" applyAlignment="1">
      <alignment horizontal="center" vertical="center" wrapText="1"/>
    </xf>
    <xf numFmtId="0" fontId="132" fillId="0" borderId="6" xfId="5" applyFont="1" applyFill="1" applyBorder="1" applyAlignment="1">
      <alignment horizontal="center" vertical="center" wrapText="1"/>
    </xf>
    <xf numFmtId="0" fontId="133" fillId="0" borderId="5" xfId="5" applyFont="1" applyFill="1" applyBorder="1" applyAlignment="1">
      <alignment horizontal="center" vertical="center" wrapText="1"/>
    </xf>
    <xf numFmtId="0" fontId="133" fillId="0" borderId="6" xfId="5" applyFont="1" applyFill="1" applyBorder="1" applyAlignment="1">
      <alignment horizontal="center" vertical="center" wrapText="1"/>
    </xf>
    <xf numFmtId="0" fontId="133" fillId="18" borderId="2" xfId="5" applyFont="1" applyFill="1" applyBorder="1" applyAlignment="1">
      <alignment horizontal="center" vertical="center" wrapText="1"/>
    </xf>
    <xf numFmtId="0" fontId="133" fillId="18" borderId="3" xfId="5" applyFont="1" applyFill="1" applyBorder="1" applyAlignment="1">
      <alignment horizontal="center" vertical="center" wrapText="1"/>
    </xf>
    <xf numFmtId="0" fontId="133" fillId="18" borderId="4" xfId="5" applyFont="1" applyFill="1" applyBorder="1" applyAlignment="1">
      <alignment horizontal="center" vertical="center" wrapText="1"/>
    </xf>
    <xf numFmtId="0" fontId="133" fillId="18" borderId="5" xfId="5" applyFont="1" applyFill="1" applyBorder="1" applyAlignment="1">
      <alignment horizontal="center" vertical="center" wrapText="1"/>
    </xf>
    <xf numFmtId="0" fontId="133" fillId="18" borderId="6" xfId="5" applyFont="1" applyFill="1" applyBorder="1" applyAlignment="1">
      <alignment horizontal="center" vertical="center" wrapText="1"/>
    </xf>
  </cellXfs>
  <cellStyles count="10">
    <cellStyle name="Comma" xfId="1" builtinId="3"/>
    <cellStyle name="Hyperlink" xfId="3" builtinId="8"/>
    <cellStyle name="Normal" xfId="0" builtinId="0"/>
    <cellStyle name="Normal 2" xfId="4"/>
    <cellStyle name="Normal 2 2 2" xfId="5"/>
    <cellStyle name="Normal 2 3" xfId="6"/>
    <cellStyle name="Normal 3" xfId="7"/>
    <cellStyle name="Normal 35" xfId="8"/>
    <cellStyle name="Normal 4" xfId="9"/>
    <cellStyle name="Percent" xfId="2" builtinId="5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F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CCCCC"/>
      <rgbColor rgb="FF7F7F7F"/>
      <rgbColor rgb="FF9999FF"/>
      <rgbColor rgb="FF953735"/>
      <rgbColor rgb="FFF7F7F7"/>
      <rgbColor rgb="FFF2F2F2"/>
      <rgbColor rgb="FF660066"/>
      <rgbColor rgb="FFFF8080"/>
      <rgbColor rgb="FF0070C0"/>
      <rgbColor rgb="FFB7DEE8"/>
      <rgbColor rgb="FF000080"/>
      <rgbColor rgb="FFFF00FF"/>
      <rgbColor rgb="FFFFFF00"/>
      <rgbColor rgb="FF00FFFF"/>
      <rgbColor rgb="FF800080"/>
      <rgbColor rgb="FFC00000"/>
      <rgbColor rgb="FF008080"/>
      <rgbColor rgb="FF0000FF"/>
      <rgbColor rgb="FF00B0F0"/>
      <rgbColor rgb="FFE6E6E6"/>
      <rgbColor rgb="FFDDD9C3"/>
      <rgbColor rgb="FFFCD5B5"/>
      <rgbColor rgb="FF93CDDD"/>
      <rgbColor rgb="FFE6B9B8"/>
      <rgbColor rgb="FFFFC7CE"/>
      <rgbColor rgb="FFFAC090"/>
      <rgbColor rgb="FF3333FF"/>
      <rgbColor rgb="FF33CCCC"/>
      <rgbColor rgb="FF99CC00"/>
      <rgbColor rgb="FFFFC000"/>
      <rgbColor rgb="FFFF9900"/>
      <rgbColor rgb="FFFF6600"/>
      <rgbColor rgb="FF558ED5"/>
      <rgbColor rgb="FFC4BD97"/>
      <rgbColor rgb="FF003366"/>
      <rgbColor rgb="FF00B050"/>
      <rgbColor rgb="FF0D0D0D"/>
      <rgbColor rgb="FF333300"/>
      <rgbColor rgb="FF993300"/>
      <rgbColor rgb="FF7030A0"/>
      <rgbColor rgb="FF1F497D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5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5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5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5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4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4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4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4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4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3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3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3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3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3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2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2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2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2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2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1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1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1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1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1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0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0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0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0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0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9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9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9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9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9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8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8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8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8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8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7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7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7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7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7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6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6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6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6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6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5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5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5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5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5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0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0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0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0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0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0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0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0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0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0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9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9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9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9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9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9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9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9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9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9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8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8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8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8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8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8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8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8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8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8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7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7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7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7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7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7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7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7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7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7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6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6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6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6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6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6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6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6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6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6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5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5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5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4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4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5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5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5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5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5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6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6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6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6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6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7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7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7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7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7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8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8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8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8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8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9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9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9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9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9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0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0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0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0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0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1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1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1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1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1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2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2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2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2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2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3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3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3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3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3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4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4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4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4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4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5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5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5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1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1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1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1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1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1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1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1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1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1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2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2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2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2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2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2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2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2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2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2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3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3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3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3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3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3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3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3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3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3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4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4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4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4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4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4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4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4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4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4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5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5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5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5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5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5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5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5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5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5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6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6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6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6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6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6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6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6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6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6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7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7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7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7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7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7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7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7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7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7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8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8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8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8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8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8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8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8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8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8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9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9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9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9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9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9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9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9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9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9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0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0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0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0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0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0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0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0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0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0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1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1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1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1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1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1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1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1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1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1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2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2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2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2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2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2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2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2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2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2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3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3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3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3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3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3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3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3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3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3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4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4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4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4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4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4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4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4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4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4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5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5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5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5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5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5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5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5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5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5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6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6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6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6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6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6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6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6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6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6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7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7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7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7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7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7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7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7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7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7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8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8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8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8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8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8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8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8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8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8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9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9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9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9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9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9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9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9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9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9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0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0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0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0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0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0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0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0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0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0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1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1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1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1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1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1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1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1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1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1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2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2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2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2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2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2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2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2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2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2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3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3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3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3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3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3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3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3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3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3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4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4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4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4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4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4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4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4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4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4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50" name="AutoShape 16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51" name="AutoShape 16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52" name="AutoShape 15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53" name="AutoShape 15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54" name="AutoShape 15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55" name="AutoShape 15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56" name="AutoShape 15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57" name="AutoShape 15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58" name="AutoShape 15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59" name="AutoShape 15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60" name="AutoShape 15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61" name="AutoShape 15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62" name="AutoShape 14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63" name="AutoShape 14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64" name="AutoShape 14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65" name="AutoShape 14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66" name="AutoShape 14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67" name="AutoShape 14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68" name="AutoShape 14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69" name="AutoShape 14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70" name="AutoShape 14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71" name="AutoShape 14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72" name="AutoShape 13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73" name="AutoShape 13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74" name="AutoShape 13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75" name="AutoShape 13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76" name="AutoShape 13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77" name="AutoShape 13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78" name="AutoShape 13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79" name="AutoShape 13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80" name="AutoShape 13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81" name="AutoShape 13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82" name="AutoShape 12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83" name="AutoShape 12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84" name="AutoShape 12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85" name="AutoShape 12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86" name="AutoShape 12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87" name="AutoShape 12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88" name="AutoShape 12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89" name="AutoShape 12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90" name="AutoShape 12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91" name="AutoShape 12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92" name="AutoShape 11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93" name="AutoShape 11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94" name="AutoShape 11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95" name="AutoShape 11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96" name="AutoShape 11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97" name="AutoShape 1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98" name="AutoShape 1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99" name="AutoShape 1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00" name="AutoShape 1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01" name="AutoShape 1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02" name="AutoShape 1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03" name="AutoShape 1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04" name="AutoShape 16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05" name="AutoShape 16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06" name="AutoShape 15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07" name="AutoShape 15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08" name="AutoShape 15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09" name="AutoShape 15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10" name="AutoShape 15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11" name="AutoShape 15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12" name="AutoShape 15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13" name="AutoShape 15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14" name="AutoShape 15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15" name="AutoShape 15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16" name="AutoShape 14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17" name="AutoShape 14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18" name="AutoShape 14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19" name="AutoShape 14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20" name="AutoShape 14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21" name="AutoShape 14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22" name="AutoShape 14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23" name="AutoShape 14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24" name="AutoShape 14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25" name="AutoShape 14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26" name="AutoShape 13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27" name="AutoShape 13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28" name="AutoShape 13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29" name="AutoShape 13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30" name="AutoShape 13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31" name="AutoShape 13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32" name="AutoShape 13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33" name="AutoShape 13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34" name="AutoShape 13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35" name="AutoShape 13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36" name="AutoShape 12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37" name="AutoShape 12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38" name="AutoShape 12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39" name="AutoShape 12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40" name="AutoShape 12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41" name="AutoShape 12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42" name="AutoShape 12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43" name="AutoShape 12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44" name="AutoShape 12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45" name="AutoShape 12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46" name="AutoShape 11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47" name="AutoShape 11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48" name="AutoShape 11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49" name="AutoShape 11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50" name="AutoShape 11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51" name="AutoShape 1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52" name="AutoShape 1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53" name="AutoShape 1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54" name="AutoShape 1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55" name="AutoShape 1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56" name="AutoShape 1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57" name="AutoShape 1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58" name="AutoShape 16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59" name="AutoShape 16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60" name="AutoShape 15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61" name="AutoShape 15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62" name="AutoShape 15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63" name="AutoShape 15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64" name="AutoShape 15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65" name="AutoShape 15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66" name="AutoShape 15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67" name="AutoShape 15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68" name="AutoShape 15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69" name="AutoShape 15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70" name="AutoShape 14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71" name="AutoShape 14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72" name="AutoShape 14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73" name="AutoShape 14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74" name="AutoShape 14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75" name="AutoShape 14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76" name="AutoShape 14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77" name="AutoShape 14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78" name="AutoShape 14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79" name="AutoShape 14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80" name="AutoShape 13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81" name="AutoShape 13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82" name="AutoShape 13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83" name="AutoShape 13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84" name="AutoShape 13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85" name="AutoShape 13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86" name="AutoShape 13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87" name="AutoShape 13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88" name="AutoShape 13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89" name="AutoShape 13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90" name="AutoShape 12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91" name="AutoShape 12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92" name="AutoShape 12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93" name="AutoShape 12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94" name="AutoShape 12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95" name="AutoShape 12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96" name="AutoShape 12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97" name="AutoShape 12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98" name="AutoShape 12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99" name="AutoShape 12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00" name="AutoShape 11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01" name="AutoShape 11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02" name="AutoShape 11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03" name="AutoShape 11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04" name="AutoShape 11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05" name="AutoShape 1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06" name="AutoShape 1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07" name="AutoShape 1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08" name="AutoShape 1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09" name="AutoShape 1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10" name="AutoShape 1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11" name="AutoShape 1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12" name="AutoShape 16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13" name="AutoShape 16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14" name="AutoShape 15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15" name="AutoShape 15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16" name="AutoShape 15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17" name="AutoShape 15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18" name="AutoShape 15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19" name="AutoShape 15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20" name="AutoShape 15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21" name="AutoShape 15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22" name="AutoShape 15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23" name="AutoShape 15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24" name="AutoShape 14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25" name="AutoShape 14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26" name="AutoShape 14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27" name="AutoShape 14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28" name="AutoShape 14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29" name="AutoShape 14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30" name="AutoShape 14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31" name="AutoShape 14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32" name="AutoShape 14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33" name="AutoShape 14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34" name="AutoShape 13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35" name="AutoShape 13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36" name="AutoShape 13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37" name="AutoShape 13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38" name="AutoShape 13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39" name="AutoShape 13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40" name="AutoShape 13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41" name="AutoShape 13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42" name="AutoShape 13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43" name="AutoShape 13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44" name="AutoShape 12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45" name="AutoShape 12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46" name="AutoShape 12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47" name="AutoShape 12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48" name="AutoShape 12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49" name="AutoShape 12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50" name="AutoShape 12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51" name="AutoShape 12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52" name="AutoShape 12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53" name="AutoShape 12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54" name="AutoShape 11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55" name="AutoShape 11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56" name="AutoShape 11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57" name="AutoShape 11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58" name="AutoShape 11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59" name="AutoShape 1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60" name="AutoShape 1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61" name="AutoShape 1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62" name="AutoShape 1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63" name="AutoShape 1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64" name="AutoShape 1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65" name="AutoShape 1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66" name="AutoShape 16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67" name="AutoShape 16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68" name="AutoShape 15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69" name="AutoShape 15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70" name="AutoShape 15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71" name="AutoShape 15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72" name="AutoShape 15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73" name="AutoShape 15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74" name="AutoShape 15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75" name="AutoShape 15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76" name="AutoShape 15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77" name="AutoShape 15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78" name="AutoShape 14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79" name="AutoShape 14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80" name="AutoShape 14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81" name="AutoShape 14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82" name="AutoShape 14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83" name="AutoShape 14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84" name="AutoShape 14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85" name="AutoShape 14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86" name="AutoShape 14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87" name="AutoShape 14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88" name="AutoShape 13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89" name="AutoShape 13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90" name="AutoShape 13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91" name="AutoShape 13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92" name="AutoShape 13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93" name="AutoShape 13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94" name="AutoShape 13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95" name="AutoShape 13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96" name="AutoShape 13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97" name="AutoShape 13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98" name="AutoShape 12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99" name="AutoShape 12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00" name="AutoShape 12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01" name="AutoShape 12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02" name="AutoShape 12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03" name="AutoShape 12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04" name="AutoShape 12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05" name="AutoShape 12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06" name="AutoShape 12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07" name="AutoShape 12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08" name="AutoShape 11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09" name="AutoShape 11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10" name="AutoShape 11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11" name="AutoShape 11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12" name="AutoShape 11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13" name="AutoShape 1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14" name="AutoShape 1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15" name="AutoShape 1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16" name="AutoShape 1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17" name="AutoShape 1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18" name="AutoShape 1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19" name="AutoShape 1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20" name="AutoShape 16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21" name="AutoShape 16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22" name="AutoShape 15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23" name="AutoShape 15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24" name="AutoShape 15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25" name="AutoShape 15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26" name="AutoShape 15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27" name="AutoShape 15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28" name="AutoShape 15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29" name="AutoShape 15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30" name="AutoShape 15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31" name="AutoShape 15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32" name="AutoShape 14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33" name="AutoShape 14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34" name="AutoShape 14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35" name="AutoShape 14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36" name="AutoShape 14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37" name="AutoShape 14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38" name="AutoShape 14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39" name="AutoShape 14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40" name="AutoShape 14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41" name="AutoShape 14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42" name="AutoShape 13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43" name="AutoShape 13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44" name="AutoShape 13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45" name="AutoShape 13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46" name="AutoShape 13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47" name="AutoShape 13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48" name="AutoShape 13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49" name="AutoShape 13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50" name="AutoShape 13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51" name="AutoShape 13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52" name="AutoShape 12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53" name="AutoShape 12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54" name="AutoShape 12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55" name="AutoShape 12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56" name="AutoShape 12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57" name="AutoShape 12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58" name="AutoShape 12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59" name="AutoShape 12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60" name="AutoShape 12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61" name="AutoShape 12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62" name="AutoShape 11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63" name="AutoShape 11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64" name="AutoShape 11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65" name="AutoShape 11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66" name="AutoShape 11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67" name="AutoShape 1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68" name="AutoShape 1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69" name="AutoShape 1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70" name="AutoShape 1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71" name="AutoShape 1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72" name="AutoShape 1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73" name="AutoShape 1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74" name="AutoShape 16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75" name="AutoShape 16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76" name="AutoShape 15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77" name="AutoShape 15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78" name="AutoShape 15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79" name="AutoShape 15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80" name="AutoShape 15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81" name="AutoShape 15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82" name="AutoShape 15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83" name="AutoShape 15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84" name="AutoShape 15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85" name="AutoShape 15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86" name="AutoShape 14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87" name="AutoShape 14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88" name="AutoShape 14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89" name="AutoShape 14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90" name="AutoShape 14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91" name="AutoShape 14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92" name="AutoShape 14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93" name="AutoShape 14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94" name="AutoShape 14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95" name="AutoShape 14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96" name="AutoShape 13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97" name="AutoShape 13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98" name="AutoShape 13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99" name="AutoShape 13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00" name="AutoShape 13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01" name="AutoShape 13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02" name="AutoShape 13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03" name="AutoShape 13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04" name="AutoShape 13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05" name="AutoShape 13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06" name="AutoShape 12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07" name="AutoShape 12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08" name="AutoShape 12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09" name="AutoShape 12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10" name="AutoShape 12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11" name="AutoShape 12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12" name="AutoShape 12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13" name="AutoShape 12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14" name="AutoShape 12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15" name="AutoShape 12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16" name="AutoShape 11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17" name="AutoShape 11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18" name="AutoShape 11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19" name="AutoShape 11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20" name="AutoShape 11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21" name="AutoShape 1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22" name="AutoShape 1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23" name="AutoShape 1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24" name="AutoShape 1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25" name="AutoShape 1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26" name="AutoShape 1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27" name="AutoShape 1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28" name="AutoShape 16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29" name="AutoShape 16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30" name="AutoShape 15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31" name="AutoShape 15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32" name="AutoShape 15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33" name="AutoShape 15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34" name="AutoShape 15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35" name="AutoShape 15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36" name="AutoShape 15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37" name="AutoShape 15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38" name="AutoShape 15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39" name="AutoShape 15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40" name="AutoShape 14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41" name="AutoShape 14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42" name="AutoShape 14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43" name="AutoShape 14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44" name="AutoShape 14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45" name="AutoShape 14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46" name="AutoShape 14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47" name="AutoShape 14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48" name="AutoShape 14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49" name="AutoShape 14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50" name="AutoShape 13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51" name="AutoShape 13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52" name="AutoShape 13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53" name="AutoShape 13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54" name="AutoShape 13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55" name="AutoShape 13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56" name="AutoShape 13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57" name="AutoShape 13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58" name="AutoShape 13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59" name="AutoShape 13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60" name="AutoShape 12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61" name="AutoShape 12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62" name="AutoShape 12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63" name="AutoShape 12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64" name="AutoShape 12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65" name="AutoShape 12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66" name="AutoShape 12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67" name="AutoShape 12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68" name="AutoShape 12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69" name="AutoShape 12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70" name="AutoShape 11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71" name="AutoShape 11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72" name="AutoShape 11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73" name="AutoShape 11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74" name="AutoShape 11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75" name="AutoShape 1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76" name="AutoShape 1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77" name="AutoShape 1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78" name="AutoShape 1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79" name="AutoShape 1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80" name="AutoShape 1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81" name="AutoShape 1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82" name="AutoShape 16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83" name="AutoShape 16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84" name="AutoShape 15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85" name="AutoShape 15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86" name="AutoShape 15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87" name="AutoShape 15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88" name="AutoShape 15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89" name="AutoShape 15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90" name="AutoShape 15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91" name="AutoShape 15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92" name="AutoShape 15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93" name="AutoShape 15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94" name="AutoShape 14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95" name="AutoShape 14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96" name="AutoShape 14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97" name="AutoShape 14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98" name="AutoShape 14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99" name="AutoShape 14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00" name="AutoShape 14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01" name="AutoShape 14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02" name="AutoShape 14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03" name="AutoShape 14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04" name="AutoShape 13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05" name="AutoShape 13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06" name="AutoShape 13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07" name="AutoShape 13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08" name="AutoShape 13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09" name="AutoShape 13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10" name="AutoShape 13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11" name="AutoShape 13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12" name="AutoShape 13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13" name="AutoShape 13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14" name="AutoShape 12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15" name="AutoShape 12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16" name="AutoShape 12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17" name="AutoShape 12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18" name="AutoShape 12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19" name="AutoShape 12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20" name="AutoShape 12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21" name="AutoShape 12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22" name="AutoShape 12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23" name="AutoShape 12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24" name="AutoShape 11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25" name="AutoShape 11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26" name="AutoShape 11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27" name="AutoShape 11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28" name="AutoShape 11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29" name="AutoShape 1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30" name="AutoShape 1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31" name="AutoShape 1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32" name="AutoShape 1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33" name="AutoShape 1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34" name="AutoShape 1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35" name="AutoShape 1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36" name="AutoShape 16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37" name="AutoShape 16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38" name="AutoShape 15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39" name="AutoShape 15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40" name="AutoShape 15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41" name="AutoShape 15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42" name="AutoShape 15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43" name="AutoShape 15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44" name="AutoShape 15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45" name="AutoShape 15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46" name="AutoShape 15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47" name="AutoShape 15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48" name="AutoShape 14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49" name="AutoShape 14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50" name="AutoShape 14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51" name="AutoShape 14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52" name="AutoShape 14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53" name="AutoShape 14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54" name="AutoShape 14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55" name="AutoShape 14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56" name="AutoShape 14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57" name="AutoShape 14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58" name="AutoShape 13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59" name="AutoShape 13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60" name="AutoShape 13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61" name="AutoShape 13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62" name="AutoShape 13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63" name="AutoShape 13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64" name="AutoShape 13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65" name="AutoShape 13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66" name="AutoShape 13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67" name="AutoShape 13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68" name="AutoShape 12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69" name="AutoShape 12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70" name="AutoShape 12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71" name="AutoShape 12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72" name="AutoShape 12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73" name="AutoShape 12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74" name="AutoShape 12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75" name="AutoShape 12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76" name="AutoShape 12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77" name="AutoShape 12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78" name="AutoShape 11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79" name="AutoShape 11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80" name="AutoShape 11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81" name="AutoShape 11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82" name="AutoShape 11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83" name="AutoShape 1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84" name="AutoShape 1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85" name="AutoShape 1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86" name="AutoShape 1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87" name="AutoShape 1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88" name="AutoShape 1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89" name="AutoShape 1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90" name="AutoShape 16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91" name="AutoShape 16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92" name="AutoShape 15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93" name="AutoShape 15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94" name="AutoShape 15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95" name="AutoShape 15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96" name="AutoShape 15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97" name="AutoShape 15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98" name="AutoShape 15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99" name="AutoShape 15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00" name="AutoShape 15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01" name="AutoShape 15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02" name="AutoShape 14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03" name="AutoShape 14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04" name="AutoShape 14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05" name="AutoShape 14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06" name="AutoShape 14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07" name="AutoShape 14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08" name="AutoShape 14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09" name="AutoShape 14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10" name="AutoShape 14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11" name="AutoShape 14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12" name="AutoShape 13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13" name="AutoShape 13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14" name="AutoShape 13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15" name="AutoShape 13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16" name="AutoShape 13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17" name="AutoShape 13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18" name="AutoShape 13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19" name="AutoShape 13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20" name="AutoShape 13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21" name="AutoShape 13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22" name="AutoShape 12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23" name="AutoShape 12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24" name="AutoShape 12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25" name="AutoShape 12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26" name="AutoShape 12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27" name="AutoShape 12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28" name="AutoShape 12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29" name="AutoShape 12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30" name="AutoShape 12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31" name="AutoShape 12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32" name="AutoShape 11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33" name="AutoShape 11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34" name="AutoShape 11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35" name="AutoShape 11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36" name="AutoShape 11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37" name="AutoShape 1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38" name="AutoShape 1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39" name="AutoShape 1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40" name="AutoShape 1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41" name="AutoShape 1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42" name="AutoShape 1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43" name="AutoShape 1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44" name="AutoShape 16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45" name="AutoShape 16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46" name="AutoShape 15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47" name="AutoShape 15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48" name="AutoShape 15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49" name="AutoShape 15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50" name="AutoShape 15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51" name="AutoShape 15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52" name="AutoShape 15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53" name="AutoShape 15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54" name="AutoShape 15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55" name="AutoShape 15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56" name="AutoShape 14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57" name="AutoShape 14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58" name="AutoShape 14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59" name="AutoShape 14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60" name="AutoShape 14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61" name="AutoShape 14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62" name="AutoShape 14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63" name="AutoShape 14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64" name="AutoShape 14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65" name="AutoShape 14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66" name="AutoShape 13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67" name="AutoShape 13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68" name="AutoShape 13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69" name="AutoShape 13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70" name="AutoShape 13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71" name="AutoShape 13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72" name="AutoShape 13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73" name="AutoShape 13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74" name="AutoShape 13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75" name="AutoShape 13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76" name="AutoShape 12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77" name="AutoShape 12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78" name="AutoShape 12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79" name="AutoShape 12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80" name="AutoShape 12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81" name="AutoShape 12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82" name="AutoShape 12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83" name="AutoShape 12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84" name="AutoShape 12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85" name="AutoShape 12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86" name="AutoShape 11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87" name="AutoShape 11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88" name="AutoShape 11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89" name="AutoShape 11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90" name="AutoShape 11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91" name="AutoShape 1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92" name="AutoShape 1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93" name="AutoShape 1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94" name="AutoShape 1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95" name="AutoShape 1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96" name="AutoShape 1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97" name="AutoShape 1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98" name="AutoShape 16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99" name="AutoShape 16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00" name="AutoShape 15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01" name="AutoShape 15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02" name="AutoShape 15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03" name="AutoShape 15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04" name="AutoShape 15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05" name="AutoShape 15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06" name="AutoShape 15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07" name="AutoShape 15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08" name="AutoShape 15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09" name="AutoShape 15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10" name="AutoShape 14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11" name="AutoShape 14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12" name="AutoShape 14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13" name="AutoShape 14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14" name="AutoShape 14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15" name="AutoShape 14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16" name="AutoShape 14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17" name="AutoShape 14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18" name="AutoShape 14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19" name="AutoShape 14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20" name="AutoShape 13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21" name="AutoShape 13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22" name="AutoShape 13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23" name="AutoShape 13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24" name="AutoShape 13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25" name="AutoShape 13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26" name="AutoShape 13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27" name="AutoShape 13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28" name="AutoShape 13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29" name="AutoShape 13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30" name="AutoShape 12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31" name="AutoShape 12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32" name="AutoShape 12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33" name="AutoShape 12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34" name="AutoShape 12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35" name="AutoShape 12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36" name="AutoShape 12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37" name="AutoShape 12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38" name="AutoShape 12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39" name="AutoShape 12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40" name="AutoShape 11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41" name="AutoShape 11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42" name="AutoShape 11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43" name="AutoShape 11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44" name="AutoShape 11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45" name="AutoShape 1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46" name="AutoShape 1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47" name="AutoShape 1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48" name="AutoShape 1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49" name="AutoShape 1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50" name="AutoShape 1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51" name="AutoShape 1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52" name="AutoShape 16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53" name="AutoShape 16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54" name="AutoShape 15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55" name="AutoShape 15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56" name="AutoShape 15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57" name="AutoShape 15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58" name="AutoShape 15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59" name="AutoShape 15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60" name="AutoShape 15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61" name="AutoShape 15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62" name="AutoShape 15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63" name="AutoShape 15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64" name="AutoShape 14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65" name="AutoShape 14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66" name="AutoShape 14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67" name="AutoShape 14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68" name="AutoShape 14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69" name="AutoShape 14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70" name="AutoShape 14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71" name="AutoShape 14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72" name="AutoShape 14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73" name="AutoShape 14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74" name="AutoShape 13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75" name="AutoShape 13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76" name="AutoShape 13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77" name="AutoShape 13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78" name="AutoShape 13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79" name="AutoShape 13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80" name="AutoShape 13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81" name="AutoShape 13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82" name="AutoShape 13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83" name="AutoShape 13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84" name="AutoShape 12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85" name="AutoShape 12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86" name="AutoShape 12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87" name="AutoShape 12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88" name="AutoShape 12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89" name="AutoShape 12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90" name="AutoShape 12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91" name="AutoShape 12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92" name="AutoShape 12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93" name="AutoShape 12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94" name="AutoShape 11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95" name="AutoShape 11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96" name="AutoShape 11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97" name="AutoShape 11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98" name="AutoShape 11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99" name="AutoShape 1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00" name="AutoShape 1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01" name="AutoShape 1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02" name="AutoShape 1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03" name="AutoShape 1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04" name="AutoShape 1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05" name="AutoShape 1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06" name="AutoShape 16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07" name="AutoShape 16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08" name="AutoShape 15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09" name="AutoShape 15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10" name="AutoShape 15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11" name="AutoShape 15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12" name="AutoShape 15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13" name="AutoShape 15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14" name="AutoShape 15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15" name="AutoShape 15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16" name="AutoShape 15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17" name="AutoShape 15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18" name="AutoShape 14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19" name="AutoShape 14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20" name="AutoShape 14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21" name="AutoShape 14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22" name="AutoShape 14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23" name="AutoShape 14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24" name="AutoShape 14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25" name="AutoShape 14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26" name="AutoShape 14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27" name="AutoShape 14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28" name="AutoShape 13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29" name="AutoShape 13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30" name="AutoShape 13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31" name="AutoShape 13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32" name="AutoShape 13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33" name="AutoShape 13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34" name="AutoShape 13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35" name="AutoShape 13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36" name="AutoShape 13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37" name="AutoShape 13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38" name="AutoShape 12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39" name="AutoShape 12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40" name="AutoShape 12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41" name="AutoShape 12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42" name="AutoShape 12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43" name="AutoShape 12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44" name="AutoShape 12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45" name="AutoShape 12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46" name="AutoShape 12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47" name="AutoShape 12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48" name="AutoShape 11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49" name="AutoShape 11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50" name="AutoShape 11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51" name="AutoShape 11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52" name="AutoShape 11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53" name="AutoShape 1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54" name="AutoShape 1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55" name="AutoShape 1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56" name="AutoShape 1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57" name="AutoShape 1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58" name="AutoShape 1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59" name="AutoShape 1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60" name="AutoShape 16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61" name="AutoShape 16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62" name="AutoShape 15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63" name="AutoShape 15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64" name="AutoShape 15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65" name="AutoShape 15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66" name="AutoShape 15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67" name="AutoShape 15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68" name="AutoShape 15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69" name="AutoShape 15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70" name="AutoShape 15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71" name="AutoShape 15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72" name="AutoShape 14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73" name="AutoShape 14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74" name="AutoShape 14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75" name="AutoShape 14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76" name="AutoShape 14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77" name="AutoShape 14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78" name="AutoShape 14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79" name="AutoShape 14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80" name="AutoShape 14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81" name="AutoShape 14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82" name="AutoShape 13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83" name="AutoShape 13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84" name="AutoShape 13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85" name="AutoShape 13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86" name="AutoShape 13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87" name="AutoShape 13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88" name="AutoShape 13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89" name="AutoShape 13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90" name="AutoShape 13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91" name="AutoShape 13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92" name="AutoShape 12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93" name="AutoShape 12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94" name="AutoShape 12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95" name="AutoShape 12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96" name="AutoShape 12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97" name="AutoShape 12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98" name="AutoShape 12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99" name="AutoShape 12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00" name="AutoShape 12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01" name="AutoShape 12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02" name="AutoShape 11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03" name="AutoShape 11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04" name="AutoShape 11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05" name="AutoShape 11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06" name="AutoShape 11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07" name="AutoShape 11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08" name="AutoShape 11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09" name="AutoShape 11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10" name="AutoShape 11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11" name="AutoShape 11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12" name="AutoShape 10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13" name="AutoShape 10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14" name="AutoShape 16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15" name="AutoShape 16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16" name="AutoShape 15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17" name="AutoShape 15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18" name="AutoShape 15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19" name="AutoShape 15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20" name="AutoShape 15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21" name="AutoShape 15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22" name="AutoShape 15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23" name="AutoShape 15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24" name="AutoShape 15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25" name="AutoShape 15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26" name="AutoShape 14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27" name="AutoShape 14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28" name="AutoShape 14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29" name="AutoShape 14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30" name="AutoShape 14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31" name="AutoShape 14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32" name="AutoShape 14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33" name="AutoShape 14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34" name="AutoShape 14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35" name="AutoShape 14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36" name="AutoShape 13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37" name="AutoShape 13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38" name="AutoShape 13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39" name="AutoShape 13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40" name="AutoShape 13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41" name="AutoShape 13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42" name="AutoShape 13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43" name="AutoShape 13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44" name="AutoShape 13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45" name="AutoShape 13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46" name="AutoShape 12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47" name="AutoShape 12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48" name="AutoShape 12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49" name="AutoShape 12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50" name="AutoShape 12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51" name="AutoShape 12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52" name="AutoShape 12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53" name="AutoShape 12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54" name="AutoShape 12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55" name="AutoShape 12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56" name="AutoShape 11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57" name="AutoShape 11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58" name="AutoShape 11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59" name="AutoShape 11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60" name="AutoShape 11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61" name="AutoShape 11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62" name="AutoShape 11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63" name="AutoShape 11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64" name="AutoShape 11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65" name="AutoShape 11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66" name="AutoShape 10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67" name="AutoShape 10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68" name="AutoShape 16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69" name="AutoShape 16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70" name="AutoShape 15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71" name="AutoShape 15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72" name="AutoShape 15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73" name="AutoShape 15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74" name="AutoShape 15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75" name="AutoShape 15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76" name="AutoShape 15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77" name="AutoShape 15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78" name="AutoShape 15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79" name="AutoShape 15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80" name="AutoShape 14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81" name="AutoShape 14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82" name="AutoShape 14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83" name="AutoShape 14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84" name="AutoShape 14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85" name="AutoShape 14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86" name="AutoShape 14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87" name="AutoShape 14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88" name="AutoShape 14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89" name="AutoShape 14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90" name="AutoShape 13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91" name="AutoShape 13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92" name="AutoShape 13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93" name="AutoShape 13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94" name="AutoShape 13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95" name="AutoShape 13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96" name="AutoShape 13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97" name="AutoShape 13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98" name="AutoShape 13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99" name="AutoShape 13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00" name="AutoShape 12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01" name="AutoShape 12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02" name="AutoShape 12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03" name="AutoShape 12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04" name="AutoShape 12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05" name="AutoShape 12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06" name="AutoShape 12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07" name="AutoShape 12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08" name="AutoShape 12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09" name="AutoShape 12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10" name="AutoShape 11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11" name="AutoShape 11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12" name="AutoShape 11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13" name="AutoShape 11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14" name="AutoShape 11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15" name="AutoShape 11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16" name="AutoShape 11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17" name="AutoShape 11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18" name="AutoShape 11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19" name="AutoShape 11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20" name="AutoShape 10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21" name="AutoShape 10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22" name="AutoShape 16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23" name="AutoShape 16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24" name="AutoShape 15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25" name="AutoShape 15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26" name="AutoShape 15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27" name="AutoShape 15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28" name="AutoShape 15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29" name="AutoShape 15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30" name="AutoShape 15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31" name="AutoShape 15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32" name="AutoShape 15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33" name="AutoShape 15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34" name="AutoShape 14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35" name="AutoShape 14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36" name="AutoShape 14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37" name="AutoShape 14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38" name="AutoShape 14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39" name="AutoShape 14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40" name="AutoShape 14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41" name="AutoShape 14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42" name="AutoShape 14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43" name="AutoShape 14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44" name="AutoShape 13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45" name="AutoShape 13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46" name="AutoShape 13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47" name="AutoShape 13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48" name="AutoShape 13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49" name="AutoShape 13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50" name="AutoShape 13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51" name="AutoShape 13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52" name="AutoShape 13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53" name="AutoShape 13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54" name="AutoShape 12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55" name="AutoShape 12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56" name="AutoShape 12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57" name="AutoShape 12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58" name="AutoShape 12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59" name="AutoShape 12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60" name="AutoShape 12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61" name="AutoShape 12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62" name="AutoShape 12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63" name="AutoShape 12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64" name="AutoShape 11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65" name="AutoShape 11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66" name="AutoShape 11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67" name="AutoShape 11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68" name="AutoShape 11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69" name="AutoShape 11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70" name="AutoShape 11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71" name="AutoShape 11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72" name="AutoShape 11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73" name="AutoShape 11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74" name="AutoShape 10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75" name="AutoShape 10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76" name="AutoShape 16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77" name="AutoShape 16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78" name="AutoShape 15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79" name="AutoShape 15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80" name="AutoShape 15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81" name="AutoShape 15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82" name="AutoShape 15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83" name="AutoShape 15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84" name="AutoShape 15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85" name="AutoShape 15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86" name="AutoShape 15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87" name="AutoShape 15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88" name="AutoShape 14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89" name="AutoShape 14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90" name="AutoShape 14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91" name="AutoShape 14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92" name="AutoShape 14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93" name="AutoShape 14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94" name="AutoShape 14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95" name="AutoShape 14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96" name="AutoShape 14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97" name="AutoShape 14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98" name="AutoShape 13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99" name="AutoShape 13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00" name="AutoShape 13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01" name="AutoShape 13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02" name="AutoShape 13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03" name="AutoShape 13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04" name="AutoShape 13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05" name="AutoShape 13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06" name="AutoShape 13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07" name="AutoShape 13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08" name="AutoShape 12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09" name="AutoShape 12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10" name="AutoShape 12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11" name="AutoShape 12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12" name="AutoShape 12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13" name="AutoShape 12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14" name="AutoShape 12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15" name="AutoShape 12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16" name="AutoShape 12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17" name="AutoShape 12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18" name="AutoShape 11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19" name="AutoShape 11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20" name="AutoShape 11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21" name="AutoShape 11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22" name="AutoShape 11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23" name="AutoShape 11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24" name="AutoShape 11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25" name="AutoShape 11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26" name="AutoShape 11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27" name="AutoShape 11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28" name="AutoShape 10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29" name="AutoShape 10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30" name="AutoShape 16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31" name="AutoShape 16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32" name="AutoShape 15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33" name="AutoShape 15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34" name="AutoShape 15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35" name="AutoShape 15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36" name="AutoShape 15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37" name="AutoShape 15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38" name="AutoShape 15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39" name="AutoShape 15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40" name="AutoShape 15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41" name="AutoShape 15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42" name="AutoShape 14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43" name="AutoShape 14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44" name="AutoShape 14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45" name="AutoShape 14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46" name="AutoShape 14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47" name="AutoShape 14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48" name="AutoShape 14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49" name="AutoShape 14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50" name="AutoShape 14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51" name="AutoShape 14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52" name="AutoShape 13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53" name="AutoShape 13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54" name="AutoShape 13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55" name="AutoShape 13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56" name="AutoShape 13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57" name="AutoShape 13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58" name="AutoShape 13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59" name="AutoShape 13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60" name="AutoShape 13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61" name="AutoShape 13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62" name="AutoShape 12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63" name="AutoShape 12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64" name="AutoShape 12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65" name="AutoShape 12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66" name="AutoShape 12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67" name="AutoShape 12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68" name="AutoShape 12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69" name="AutoShape 12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70" name="AutoShape 12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71" name="AutoShape 12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72" name="AutoShape 11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73" name="AutoShape 11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74" name="AutoShape 11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75" name="AutoShape 11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76" name="AutoShape 11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77" name="AutoShape 11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78" name="AutoShape 11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79" name="AutoShape 11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80" name="AutoShape 11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81" name="AutoShape 11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82" name="AutoShape 10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83" name="AutoShape 10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84" name="AutoShape 16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85" name="AutoShape 16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86" name="AutoShape 15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87" name="AutoShape 15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88" name="AutoShape 15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89" name="AutoShape 15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90" name="AutoShape 15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91" name="AutoShape 15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92" name="AutoShape 15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93" name="AutoShape 15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94" name="AutoShape 15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95" name="AutoShape 15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96" name="AutoShape 14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97" name="AutoShape 14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98" name="AutoShape 14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599" name="AutoShape 14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00" name="AutoShape 14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01" name="AutoShape 14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02" name="AutoShape 14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03" name="AutoShape 14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04" name="AutoShape 14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05" name="AutoShape 14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06" name="AutoShape 13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07" name="AutoShape 13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08" name="AutoShape 13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09" name="AutoShape 13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10" name="AutoShape 13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11" name="AutoShape 13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12" name="AutoShape 13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13" name="AutoShape 13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14" name="AutoShape 13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15" name="AutoShape 13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16" name="AutoShape 12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17" name="AutoShape 12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18" name="AutoShape 12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19" name="AutoShape 12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20" name="AutoShape 12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21" name="AutoShape 12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22" name="AutoShape 12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23" name="AutoShape 12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24" name="AutoShape 12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25" name="AutoShape 12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26" name="AutoShape 11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27" name="AutoShape 11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28" name="AutoShape 11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29" name="AutoShape 11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30" name="AutoShape 11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31" name="AutoShape 11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32" name="AutoShape 11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33" name="AutoShape 11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34" name="AutoShape 11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35" name="AutoShape 11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36" name="AutoShape 10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37" name="AutoShape 10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38" name="AutoShape 16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39" name="AutoShape 16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40" name="AutoShape 15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41" name="AutoShape 15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42" name="AutoShape 15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43" name="AutoShape 15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44" name="AutoShape 15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45" name="AutoShape 15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46" name="AutoShape 15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47" name="AutoShape 15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48" name="AutoShape 15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49" name="AutoShape 15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50" name="AutoShape 14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51" name="AutoShape 14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52" name="AutoShape 14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53" name="AutoShape 14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54" name="AutoShape 14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55" name="AutoShape 14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56" name="AutoShape 14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57" name="AutoShape 14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58" name="AutoShape 14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59" name="AutoShape 14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60" name="AutoShape 13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61" name="AutoShape 13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62" name="AutoShape 13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63" name="AutoShape 13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64" name="AutoShape 13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65" name="AutoShape 13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66" name="AutoShape 13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67" name="AutoShape 13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68" name="AutoShape 13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69" name="AutoShape 13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70" name="AutoShape 12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71" name="AutoShape 12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72" name="AutoShape 12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73" name="AutoShape 12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74" name="AutoShape 12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75" name="AutoShape 12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76" name="AutoShape 12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77" name="AutoShape 12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78" name="AutoShape 12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79" name="AutoShape 12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80" name="AutoShape 11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81" name="AutoShape 11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82" name="AutoShape 11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83" name="AutoShape 11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84" name="AutoShape 11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85" name="AutoShape 11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86" name="AutoShape 11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87" name="AutoShape 11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88" name="AutoShape 11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89" name="AutoShape 11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90" name="AutoShape 10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91" name="AutoShape 10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92" name="AutoShape 16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93" name="AutoShape 16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94" name="AutoShape 15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95" name="AutoShape 15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96" name="AutoShape 15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97" name="AutoShape 15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98" name="AutoShape 15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699" name="AutoShape 15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00" name="AutoShape 15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01" name="AutoShape 15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02" name="AutoShape 15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03" name="AutoShape 15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04" name="AutoShape 14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05" name="AutoShape 14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06" name="AutoShape 14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07" name="AutoShape 14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08" name="AutoShape 14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09" name="AutoShape 14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10" name="AutoShape 14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11" name="AutoShape 14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12" name="AutoShape 14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13" name="AutoShape 14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14" name="AutoShape 13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15" name="AutoShape 13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16" name="AutoShape 13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17" name="AutoShape 13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18" name="AutoShape 13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19" name="AutoShape 13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20" name="AutoShape 13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21" name="AutoShape 13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22" name="AutoShape 13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23" name="AutoShape 13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24" name="AutoShape 12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25" name="AutoShape 12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26" name="AutoShape 12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27" name="AutoShape 12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28" name="AutoShape 12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29" name="AutoShape 12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30" name="AutoShape 12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31" name="AutoShape 12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32" name="AutoShape 12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33" name="AutoShape 12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34" name="AutoShape 11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35" name="AutoShape 11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36" name="AutoShape 11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37" name="AutoShape 11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38" name="AutoShape 11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39" name="AutoShape 11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40" name="AutoShape 11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41" name="AutoShape 11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42" name="AutoShape 11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43" name="AutoShape 11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44" name="AutoShape 10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45" name="AutoShape 10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46" name="AutoShape 16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47" name="AutoShape 16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48" name="AutoShape 15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49" name="AutoShape 15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50" name="AutoShape 15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51" name="AutoShape 15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52" name="AutoShape 15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53" name="AutoShape 15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54" name="AutoShape 15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55" name="AutoShape 15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56" name="AutoShape 15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57" name="AutoShape 15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58" name="AutoShape 14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59" name="AutoShape 14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60" name="AutoShape 14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61" name="AutoShape 14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62" name="AutoShape 14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63" name="AutoShape 14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64" name="AutoShape 14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65" name="AutoShape 14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66" name="AutoShape 14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67" name="AutoShape 14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68" name="AutoShape 13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69" name="AutoShape 13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70" name="AutoShape 13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71" name="AutoShape 13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72" name="AutoShape 13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73" name="AutoShape 13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74" name="AutoShape 13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75" name="AutoShape 13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76" name="AutoShape 13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77" name="AutoShape 13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78" name="AutoShape 12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79" name="AutoShape 12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80" name="AutoShape 12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81" name="AutoShape 12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82" name="AutoShape 12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83" name="AutoShape 12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84" name="AutoShape 12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85" name="AutoShape 12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86" name="AutoShape 12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87" name="AutoShape 12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88" name="AutoShape 11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89" name="AutoShape 11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90" name="AutoShape 11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91" name="AutoShape 11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92" name="AutoShape 11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93" name="AutoShape 11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94" name="AutoShape 11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95" name="AutoShape 11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96" name="AutoShape 11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97" name="AutoShape 11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98" name="AutoShape 10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799" name="AutoShape 10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00" name="AutoShape 16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01" name="AutoShape 16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02" name="AutoShape 15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03" name="AutoShape 15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04" name="AutoShape 15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05" name="AutoShape 15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06" name="AutoShape 15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07" name="AutoShape 15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08" name="AutoShape 15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09" name="AutoShape 15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10" name="AutoShape 15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11" name="AutoShape 15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12" name="AutoShape 14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13" name="AutoShape 14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14" name="AutoShape 14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15" name="AutoShape 14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16" name="AutoShape 14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17" name="AutoShape 14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18" name="AutoShape 14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19" name="AutoShape 14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20" name="AutoShape 14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21" name="AutoShape 14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22" name="AutoShape 13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23" name="AutoShape 13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24" name="AutoShape 13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25" name="AutoShape 13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26" name="AutoShape 13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27" name="AutoShape 13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28" name="AutoShape 13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29" name="AutoShape 13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30" name="AutoShape 13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31" name="AutoShape 13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32" name="AutoShape 12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33" name="AutoShape 12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34" name="AutoShape 12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35" name="AutoShape 12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36" name="AutoShape 12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37" name="AutoShape 12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38" name="AutoShape 12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39" name="AutoShape 12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40" name="AutoShape 12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41" name="AutoShape 12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42" name="AutoShape 11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43" name="AutoShape 11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44" name="AutoShape 11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45" name="AutoShape 11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46" name="AutoShape 11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47" name="AutoShape 11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48" name="AutoShape 11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49" name="AutoShape 11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50" name="AutoShape 11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51" name="AutoShape 11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52" name="AutoShape 10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53" name="AutoShape 10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54" name="AutoShape 16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55" name="AutoShape 16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56" name="AutoShape 15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57" name="AutoShape 15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58" name="AutoShape 15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59" name="AutoShape 15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60" name="AutoShape 15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61" name="AutoShape 15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62" name="AutoShape 15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63" name="AutoShape 15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64" name="AutoShape 15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65" name="AutoShape 15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66" name="AutoShape 14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67" name="AutoShape 14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68" name="AutoShape 14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69" name="AutoShape 14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70" name="AutoShape 14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71" name="AutoShape 14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72" name="AutoShape 14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73" name="AutoShape 14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74" name="AutoShape 14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75" name="AutoShape 14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76" name="AutoShape 13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77" name="AutoShape 13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78" name="AutoShape 13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79" name="AutoShape 13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80" name="AutoShape 13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81" name="AutoShape 13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82" name="AutoShape 13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83" name="AutoShape 13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84" name="AutoShape 13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85" name="AutoShape 13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86" name="AutoShape 12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87" name="AutoShape 12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88" name="AutoShape 12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89" name="AutoShape 12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90" name="AutoShape 12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91" name="AutoShape 12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92" name="AutoShape 12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93" name="AutoShape 12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94" name="AutoShape 12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95" name="AutoShape 12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96" name="AutoShape 11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97" name="AutoShape 11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98" name="AutoShape 11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899" name="AutoShape 11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00" name="AutoShape 11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01" name="AutoShape 11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02" name="AutoShape 11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03" name="AutoShape 11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04" name="AutoShape 11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05" name="AutoShape 11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06" name="AutoShape 10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07" name="AutoShape 10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08" name="AutoShape 16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09" name="AutoShape 16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10" name="AutoShape 15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11" name="AutoShape 15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12" name="AutoShape 15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13" name="AutoShape 15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14" name="AutoShape 15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15" name="AutoShape 15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16" name="AutoShape 15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17" name="AutoShape 15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18" name="AutoShape 15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19" name="AutoShape 15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20" name="AutoShape 14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21" name="AutoShape 14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22" name="AutoShape 14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23" name="AutoShape 14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24" name="AutoShape 14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25" name="AutoShape 14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26" name="AutoShape 14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27" name="AutoShape 14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28" name="AutoShape 14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29" name="AutoShape 14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30" name="AutoShape 13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31" name="AutoShape 13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32" name="AutoShape 13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33" name="AutoShape 13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34" name="AutoShape 13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35" name="AutoShape 13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36" name="AutoShape 13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37" name="AutoShape 13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38" name="AutoShape 13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39" name="AutoShape 13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40" name="AutoShape 12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41" name="AutoShape 12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42" name="AutoShape 12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43" name="AutoShape 12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44" name="AutoShape 12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45" name="AutoShape 12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46" name="AutoShape 12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47" name="AutoShape 12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48" name="AutoShape 12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49" name="AutoShape 12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50" name="AutoShape 11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51" name="AutoShape 11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52" name="AutoShape 11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53" name="AutoShape 11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54" name="AutoShape 11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55" name="AutoShape 11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56" name="AutoShape 11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57" name="AutoShape 11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58" name="AutoShape 11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59" name="AutoShape 11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60" name="AutoShape 10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61" name="AutoShape 10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62" name="AutoShape 16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63" name="AutoShape 16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64" name="AutoShape 15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65" name="AutoShape 15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66" name="AutoShape 15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67" name="AutoShape 15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68" name="AutoShape 15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69" name="AutoShape 15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70" name="AutoShape 15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71" name="AutoShape 15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72" name="AutoShape 15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73" name="AutoShape 15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74" name="AutoShape 14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75" name="AutoShape 14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76" name="AutoShape 14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77" name="AutoShape 14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78" name="AutoShape 14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79" name="AutoShape 14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80" name="AutoShape 14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81" name="AutoShape 14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82" name="AutoShape 14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83" name="AutoShape 14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84" name="AutoShape 13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85" name="AutoShape 13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86" name="AutoShape 13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87" name="AutoShape 13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88" name="AutoShape 13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89" name="AutoShape 13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90" name="AutoShape 13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91" name="AutoShape 13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92" name="AutoShape 13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93" name="AutoShape 13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94" name="AutoShape 12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95" name="AutoShape 12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96" name="AutoShape 12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97" name="AutoShape 12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98" name="AutoShape 12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999" name="AutoShape 12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00" name="AutoShape 12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01" name="AutoShape 12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02" name="AutoShape 12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03" name="AutoShape 12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04" name="AutoShape 11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05" name="AutoShape 11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06" name="AutoShape 11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07" name="AutoShape 11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08" name="AutoShape 11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09" name="AutoShape 11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10" name="AutoShape 11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11" name="AutoShape 11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12" name="AutoShape 11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13" name="AutoShape 11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14" name="AutoShape 10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15" name="AutoShape 10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16" name="AutoShape 16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17" name="AutoShape 16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18" name="AutoShape 15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19" name="AutoShape 15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20" name="AutoShape 15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21" name="AutoShape 15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22" name="AutoShape 15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23" name="AutoShape 15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24" name="AutoShape 15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25" name="AutoShape 15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26" name="AutoShape 15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27" name="AutoShape 15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28" name="AutoShape 14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29" name="AutoShape 14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30" name="AutoShape 14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31" name="AutoShape 14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32" name="AutoShape 14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33" name="AutoShape 14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34" name="AutoShape 14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35" name="AutoShape 14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36" name="AutoShape 14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37" name="AutoShape 14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38" name="AutoShape 13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39" name="AutoShape 13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40" name="AutoShape 13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41" name="AutoShape 13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42" name="AutoShape 13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43" name="AutoShape 13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44" name="AutoShape 13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45" name="AutoShape 13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46" name="AutoShape 13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47" name="AutoShape 13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48" name="AutoShape 12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49" name="AutoShape 12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50" name="AutoShape 12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51" name="AutoShape 12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52" name="AutoShape 12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53" name="AutoShape 12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54" name="AutoShape 12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55" name="AutoShape 12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56" name="AutoShape 12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57" name="AutoShape 12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58" name="AutoShape 11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59" name="AutoShape 11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60" name="AutoShape 11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61" name="AutoShape 11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62" name="AutoShape 11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63" name="AutoShape 11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64" name="AutoShape 11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65" name="AutoShape 11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66" name="AutoShape 11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67" name="AutoShape 11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68" name="AutoShape 10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69" name="AutoShape 10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70" name="AutoShape 16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71" name="AutoShape 16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72" name="AutoShape 15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73" name="AutoShape 15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74" name="AutoShape 15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75" name="AutoShape 15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76" name="AutoShape 15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77" name="AutoShape 15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78" name="AutoShape 15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79" name="AutoShape 15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80" name="AutoShape 15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81" name="AutoShape 15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82" name="AutoShape 14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83" name="AutoShape 14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84" name="AutoShape 14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85" name="AutoShape 14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86" name="AutoShape 14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87" name="AutoShape 14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88" name="AutoShape 14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89" name="AutoShape 14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90" name="AutoShape 14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91" name="AutoShape 14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92" name="AutoShape 13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93" name="AutoShape 13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94" name="AutoShape 13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95" name="AutoShape 13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96" name="AutoShape 13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97" name="AutoShape 13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98" name="AutoShape 13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099" name="AutoShape 13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00" name="AutoShape 13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01" name="AutoShape 13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02" name="AutoShape 12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03" name="AutoShape 12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04" name="AutoShape 12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05" name="AutoShape 12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06" name="AutoShape 12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07" name="AutoShape 12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08" name="AutoShape 12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09" name="AutoShape 12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10" name="AutoShape 12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11" name="AutoShape 12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12" name="AutoShape 11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13" name="AutoShape 11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14" name="AutoShape 11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15" name="AutoShape 11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16" name="AutoShape 11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17" name="AutoShape 11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18" name="AutoShape 11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19" name="AutoShape 11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20" name="AutoShape 11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21" name="AutoShape 11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22" name="AutoShape 10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23" name="AutoShape 10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24" name="AutoShape 16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25" name="AutoShape 16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26" name="AutoShape 15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27" name="AutoShape 15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28" name="AutoShape 15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29" name="AutoShape 15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30" name="AutoShape 15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31" name="AutoShape 15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32" name="AutoShape 15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33" name="AutoShape 15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34" name="AutoShape 15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35" name="AutoShape 15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36" name="AutoShape 14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37" name="AutoShape 14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38" name="AutoShape 14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39" name="AutoShape 14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40" name="AutoShape 14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41" name="AutoShape 14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42" name="AutoShape 14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43" name="AutoShape 14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44" name="AutoShape 14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45" name="AutoShape 14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46" name="AutoShape 13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47" name="AutoShape 13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48" name="AutoShape 13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49" name="AutoShape 13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50" name="AutoShape 13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51" name="AutoShape 13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52" name="AutoShape 13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53" name="AutoShape 13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54" name="AutoShape 13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55" name="AutoShape 13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56" name="AutoShape 12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57" name="AutoShape 12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58" name="AutoShape 12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59" name="AutoShape 12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60" name="AutoShape 12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61" name="AutoShape 12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62" name="AutoShape 12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63" name="AutoShape 12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64" name="AutoShape 12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65" name="AutoShape 12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66" name="AutoShape 11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67" name="AutoShape 11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68" name="AutoShape 11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69" name="AutoShape 11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70" name="AutoShape 11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71" name="AutoShape 11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72" name="AutoShape 11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73" name="AutoShape 11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74" name="AutoShape 11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75" name="AutoShape 11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76" name="AutoShape 10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77" name="AutoShape 10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78" name="AutoShape 16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79" name="AutoShape 16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80" name="AutoShape 15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81" name="AutoShape 15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82" name="AutoShape 15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83" name="AutoShape 15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84" name="AutoShape 15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85" name="AutoShape 15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86" name="AutoShape 15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87" name="AutoShape 15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88" name="AutoShape 15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89" name="AutoShape 15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90" name="AutoShape 14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91" name="AutoShape 14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92" name="AutoShape 14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93" name="AutoShape 14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94" name="AutoShape 14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95" name="AutoShape 14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96" name="AutoShape 14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97" name="AutoShape 14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98" name="AutoShape 14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199" name="AutoShape 14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00" name="AutoShape 13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01" name="AutoShape 13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02" name="AutoShape 13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03" name="AutoShape 13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04" name="AutoShape 13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05" name="AutoShape 13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06" name="AutoShape 13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07" name="AutoShape 13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08" name="AutoShape 13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09" name="AutoShape 13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10" name="AutoShape 12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11" name="AutoShape 12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12" name="AutoShape 12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13" name="AutoShape 12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14" name="AutoShape 12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15" name="AutoShape 12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16" name="AutoShape 12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17" name="AutoShape 12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18" name="AutoShape 12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19" name="AutoShape 12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20" name="AutoShape 11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21" name="AutoShape 11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22" name="AutoShape 11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23" name="AutoShape 11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24" name="AutoShape 11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25" name="AutoShape 11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26" name="AutoShape 11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27" name="AutoShape 11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28" name="AutoShape 11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29" name="AutoShape 11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30" name="AutoShape 10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31" name="AutoShape 10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32" name="AutoShape 16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33" name="AutoShape 16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34" name="AutoShape 15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35" name="AutoShape 15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36" name="AutoShape 15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37" name="AutoShape 15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38" name="AutoShape 15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39" name="AutoShape 15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40" name="AutoShape 15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41" name="AutoShape 15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42" name="AutoShape 15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43" name="AutoShape 15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44" name="AutoShape 14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45" name="AutoShape 14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46" name="AutoShape 14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47" name="AutoShape 14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48" name="AutoShape 14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49" name="AutoShape 14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50" name="AutoShape 14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51" name="AutoShape 14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52" name="AutoShape 14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53" name="AutoShape 14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54" name="AutoShape 13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55" name="AutoShape 13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56" name="AutoShape 13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57" name="AutoShape 13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58" name="AutoShape 13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59" name="AutoShape 13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60" name="AutoShape 13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61" name="AutoShape 13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62" name="AutoShape 13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63" name="AutoShape 13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64" name="AutoShape 12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65" name="AutoShape 12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66" name="AutoShape 12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67" name="AutoShape 12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68" name="AutoShape 12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69" name="AutoShape 12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70" name="AutoShape 12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71" name="AutoShape 12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72" name="AutoShape 12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73" name="AutoShape 12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74" name="AutoShape 11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75" name="AutoShape 11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76" name="AutoShape 11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77" name="AutoShape 11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78" name="AutoShape 11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79" name="AutoShape 11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80" name="AutoShape 11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81" name="AutoShape 11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82" name="AutoShape 11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83" name="AutoShape 11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84" name="AutoShape 10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85" name="AutoShape 10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86" name="AutoShape 16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87" name="AutoShape 16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88" name="AutoShape 15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89" name="AutoShape 15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90" name="AutoShape 15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91" name="AutoShape 15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92" name="AutoShape 15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93" name="AutoShape 15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94" name="AutoShape 15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95" name="AutoShape 15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96" name="AutoShape 15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97" name="AutoShape 15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98" name="AutoShape 14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299" name="AutoShape 14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00" name="AutoShape 14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01" name="AutoShape 14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02" name="AutoShape 14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03" name="AutoShape 14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04" name="AutoShape 14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05" name="AutoShape 14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06" name="AutoShape 14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07" name="AutoShape 14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08" name="AutoShape 13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09" name="AutoShape 13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10" name="AutoShape 13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11" name="AutoShape 13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12" name="AutoShape 13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13" name="AutoShape 13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14" name="AutoShape 13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15" name="AutoShape 13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16" name="AutoShape 13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17" name="AutoShape 13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18" name="AutoShape 12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19" name="AutoShape 12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20" name="AutoShape 12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21" name="AutoShape 12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22" name="AutoShape 12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23" name="AutoShape 12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24" name="AutoShape 12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25" name="AutoShape 12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26" name="AutoShape 12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27" name="AutoShape 12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28" name="AutoShape 11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29" name="AutoShape 11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30" name="AutoShape 11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31" name="AutoShape 11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32" name="AutoShape 11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33" name="AutoShape 11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34" name="AutoShape 11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35" name="AutoShape 11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36" name="AutoShape 11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37" name="AutoShape 11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38" name="AutoShape 10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39" name="AutoShape 10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40" name="AutoShape 16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41" name="AutoShape 16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42" name="AutoShape 15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43" name="AutoShape 15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44" name="AutoShape 15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45" name="AutoShape 15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46" name="AutoShape 15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47" name="AutoShape 15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48" name="AutoShape 15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49" name="AutoShape 15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50" name="AutoShape 15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51" name="AutoShape 15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52" name="AutoShape 14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53" name="AutoShape 14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54" name="AutoShape 14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55" name="AutoShape 14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56" name="AutoShape 14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57" name="AutoShape 14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58" name="AutoShape 14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59" name="AutoShape 14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60" name="AutoShape 14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61" name="AutoShape 14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62" name="AutoShape 13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63" name="AutoShape 13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64" name="AutoShape 13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65" name="AutoShape 13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66" name="AutoShape 13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67" name="AutoShape 13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68" name="AutoShape 13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69" name="AutoShape 13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70" name="AutoShape 13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71" name="AutoShape 13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72" name="AutoShape 12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73" name="AutoShape 12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74" name="AutoShape 12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75" name="AutoShape 12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76" name="AutoShape 12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77" name="AutoShape 12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78" name="AutoShape 12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79" name="AutoShape 12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80" name="AutoShape 12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81" name="AutoShape 12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82" name="AutoShape 11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83" name="AutoShape 11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84" name="AutoShape 11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85" name="AutoShape 11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86" name="AutoShape 11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87" name="AutoShape 11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88" name="AutoShape 11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89" name="AutoShape 11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90" name="AutoShape 11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91" name="AutoShape 11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92" name="AutoShape 10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93" name="AutoShape 10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94" name="AutoShape 16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95" name="AutoShape 16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96" name="AutoShape 15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97" name="AutoShape 15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98" name="AutoShape 15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399" name="AutoShape 15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00" name="AutoShape 15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01" name="AutoShape 15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02" name="AutoShape 15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03" name="AutoShape 15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04" name="AutoShape 15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05" name="AutoShape 15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06" name="AutoShape 14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07" name="AutoShape 14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08" name="AutoShape 14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09" name="AutoShape 14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10" name="AutoShape 14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11" name="AutoShape 14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12" name="AutoShape 14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13" name="AutoShape 14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14" name="AutoShape 14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15" name="AutoShape 14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16" name="AutoShape 13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17" name="AutoShape 13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18" name="AutoShape 13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19" name="AutoShape 13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20" name="AutoShape 13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21" name="AutoShape 13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22" name="AutoShape 13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23" name="AutoShape 13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24" name="AutoShape 13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25" name="AutoShape 13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26" name="AutoShape 12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27" name="AutoShape 12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28" name="AutoShape 12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29" name="AutoShape 12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30" name="AutoShape 12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31" name="AutoShape 12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32" name="AutoShape 12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33" name="AutoShape 12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34" name="AutoShape 12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35" name="AutoShape 12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36" name="AutoShape 11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37" name="AutoShape 11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38" name="AutoShape 11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39" name="AutoShape 11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40" name="AutoShape 11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41" name="AutoShape 11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42" name="AutoShape 11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43" name="AutoShape 11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44" name="AutoShape 11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45" name="AutoShape 11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46" name="AutoShape 10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47" name="AutoShape 10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48" name="AutoShape 16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49" name="AutoShape 16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50" name="AutoShape 15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51" name="AutoShape 15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52" name="AutoShape 15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53" name="AutoShape 15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54" name="AutoShape 15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55" name="AutoShape 15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56" name="AutoShape 15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57" name="AutoShape 15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58" name="AutoShape 15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59" name="AutoShape 15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60" name="AutoShape 14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61" name="AutoShape 14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62" name="AutoShape 14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63" name="AutoShape 14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64" name="AutoShape 14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65" name="AutoShape 14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66" name="AutoShape 14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67" name="AutoShape 14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68" name="AutoShape 14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69" name="AutoShape 14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70" name="AutoShape 13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71" name="AutoShape 13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72" name="AutoShape 13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73" name="AutoShape 13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74" name="AutoShape 13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75" name="AutoShape 13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76" name="AutoShape 13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77" name="AutoShape 13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78" name="AutoShape 13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79" name="AutoShape 13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80" name="AutoShape 12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81" name="AutoShape 12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82" name="AutoShape 12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83" name="AutoShape 12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84" name="AutoShape 12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85" name="AutoShape 12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86" name="AutoShape 12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87" name="AutoShape 12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88" name="AutoShape 12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89" name="AutoShape 12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90" name="AutoShape 11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91" name="AutoShape 11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92" name="AutoShape 11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93" name="AutoShape 11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94" name="AutoShape 11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95" name="AutoShape 11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96" name="AutoShape 11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97" name="AutoShape 11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98" name="AutoShape 11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499" name="AutoShape 11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00" name="AutoShape 10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01" name="AutoShape 10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02" name="AutoShape 16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03" name="AutoShape 16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04" name="AutoShape 15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05" name="AutoShape 15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06" name="AutoShape 15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07" name="AutoShape 15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08" name="AutoShape 15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09" name="AutoShape 15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10" name="AutoShape 15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11" name="AutoShape 15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12" name="AutoShape 15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13" name="AutoShape 15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14" name="AutoShape 14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15" name="AutoShape 14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16" name="AutoShape 14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17" name="AutoShape 14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18" name="AutoShape 14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19" name="AutoShape 14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20" name="AutoShape 14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21" name="AutoShape 14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22" name="AutoShape 14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23" name="AutoShape 14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24" name="AutoShape 13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25" name="AutoShape 13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26" name="AutoShape 13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27" name="AutoShape 13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28" name="AutoShape 13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29" name="AutoShape 13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30" name="AutoShape 13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31" name="AutoShape 13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32" name="AutoShape 13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33" name="AutoShape 13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34" name="AutoShape 12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35" name="AutoShape 12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36" name="AutoShape 12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37" name="AutoShape 12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38" name="AutoShape 12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39" name="AutoShape 12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40" name="AutoShape 12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41" name="AutoShape 12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42" name="AutoShape 12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43" name="AutoShape 12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44" name="AutoShape 11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45" name="AutoShape 11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46" name="AutoShape 11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47" name="AutoShape 11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48" name="AutoShape 11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49" name="AutoShape 11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50" name="AutoShape 11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51" name="AutoShape 11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52" name="AutoShape 11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53" name="AutoShape 11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54" name="AutoShape 10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55" name="AutoShape 10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56" name="AutoShape 16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57" name="AutoShape 16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58" name="AutoShape 15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59" name="AutoShape 15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60" name="AutoShape 15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61" name="AutoShape 15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62" name="AutoShape 15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63" name="AutoShape 15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64" name="AutoShape 15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65" name="AutoShape 15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66" name="AutoShape 15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67" name="AutoShape 15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68" name="AutoShape 14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69" name="AutoShape 14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70" name="AutoShape 14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71" name="AutoShape 14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72" name="AutoShape 14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73" name="AutoShape 14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74" name="AutoShape 14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75" name="AutoShape 14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76" name="AutoShape 14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77" name="AutoShape 14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78" name="AutoShape 13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79" name="AutoShape 13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80" name="AutoShape 13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81" name="AutoShape 13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82" name="AutoShape 13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83" name="AutoShape 13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84" name="AutoShape 13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85" name="AutoShape 13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86" name="AutoShape 13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87" name="AutoShape 13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88" name="AutoShape 12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89" name="AutoShape 12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90" name="AutoShape 12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91" name="AutoShape 12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92" name="AutoShape 12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93" name="AutoShape 12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94" name="AutoShape 12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95" name="AutoShape 12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96" name="AutoShape 12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97" name="AutoShape 12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98" name="AutoShape 11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599" name="AutoShape 11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00" name="AutoShape 11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01" name="AutoShape 11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02" name="AutoShape 11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03" name="AutoShape 11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04" name="AutoShape 11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05" name="AutoShape 11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06" name="AutoShape 11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07" name="AutoShape 11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08" name="AutoShape 10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09" name="AutoShape 10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10" name="AutoShape 16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11" name="AutoShape 16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12" name="AutoShape 15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13" name="AutoShape 15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14" name="AutoShape 15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15" name="AutoShape 15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16" name="AutoShape 15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17" name="AutoShape 15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18" name="AutoShape 15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19" name="AutoShape 15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20" name="AutoShape 15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21" name="AutoShape 15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22" name="AutoShape 14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23" name="AutoShape 14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24" name="AutoShape 14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25" name="AutoShape 14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26" name="AutoShape 14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27" name="AutoShape 14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28" name="AutoShape 14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29" name="AutoShape 14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30" name="AutoShape 14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31" name="AutoShape 14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32" name="AutoShape 13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33" name="AutoShape 13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34" name="AutoShape 13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35" name="AutoShape 13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36" name="AutoShape 13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37" name="AutoShape 13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38" name="AutoShape 13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39" name="AutoShape 13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40" name="AutoShape 13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41" name="AutoShape 13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42" name="AutoShape 12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43" name="AutoShape 12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44" name="AutoShape 12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45" name="AutoShape 12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46" name="AutoShape 12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47" name="AutoShape 12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48" name="AutoShape 12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49" name="AutoShape 12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50" name="AutoShape 12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51" name="AutoShape 12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52" name="AutoShape 11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53" name="AutoShape 11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54" name="AutoShape 11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55" name="AutoShape 11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56" name="AutoShape 11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57" name="AutoShape 11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58" name="AutoShape 11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59" name="AutoShape 11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60" name="AutoShape 11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61" name="AutoShape 11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62" name="AutoShape 10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63" name="AutoShape 10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64" name="AutoShape 16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65" name="AutoShape 16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66" name="AutoShape 15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67" name="AutoShape 15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68" name="AutoShape 15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69" name="AutoShape 15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70" name="AutoShape 15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71" name="AutoShape 15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72" name="AutoShape 15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73" name="AutoShape 15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74" name="AutoShape 15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75" name="AutoShape 15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76" name="AutoShape 14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77" name="AutoShape 14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78" name="AutoShape 14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79" name="AutoShape 14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80" name="AutoShape 14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81" name="AutoShape 14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82" name="AutoShape 14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83" name="AutoShape 14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84" name="AutoShape 14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85" name="AutoShape 14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86" name="AutoShape 13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87" name="AutoShape 13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88" name="AutoShape 13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89" name="AutoShape 13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90" name="AutoShape 13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91" name="AutoShape 13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92" name="AutoShape 13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93" name="AutoShape 13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94" name="AutoShape 13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95" name="AutoShape 13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96" name="AutoShape 12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97" name="AutoShape 12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98" name="AutoShape 12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699" name="AutoShape 12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700" name="AutoShape 12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701" name="AutoShape 12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702" name="AutoShape 12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703" name="AutoShape 12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704" name="AutoShape 12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705" name="AutoShape 12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706" name="AutoShape 11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707" name="AutoShape 11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708" name="AutoShape 11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709" name="AutoShape 11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710" name="AutoShape 11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711" name="AutoShape 11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712" name="AutoShape 11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713" name="AutoShape 11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714" name="AutoShape 11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715" name="AutoShape 11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716" name="AutoShape 10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4717" name="AutoShape 10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410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409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410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1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1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1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1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1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15" name="AutoShape 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16" name="AutoShape 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17" name="AutoShape 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18" name="AutoShape 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19" name="AutoShape 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20" name="AutoShape 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21" name="AutoShape 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22" name="AutoShape 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23" name="AutoShape 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24" name="AutoShape 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25" name="AutoShape 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26" name="AutoShape 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27" name="AutoShape 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28" name="AutoShape 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29" name="AutoShape 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30" name="AutoShape 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31" name="AutoShape 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4096" name="AutoShape 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4097" name="AutoShape 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4099" name="AutoShape 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4102" name="AutoShape 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4103" name="AutoShape 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4104" name="AutoShape 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4105" name="AutoShape 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4106" name="AutoShape 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4107" name="AutoShape 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4108" name="AutoShape 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4109" name="AutoShape 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4110" name="AutoShape 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4111" name="AutoShape 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4112" name="AutoShape 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4113" name="AutoShape 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4114" name="AutoShape 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4115" name="AutoShape 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4116" name="AutoShape 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4117" name="AutoShape 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4118" name="AutoShape 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4119" name="AutoShape 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4120" name="AutoShape 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4121" name="AutoShape 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4122" name="AutoShape 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4123" name="AutoShape 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4124" name="AutoShape 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4125" name="AutoShape 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4126" name="AutoShape 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4127" name="AutoShape 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4128" name="AutoShape 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4129" name="AutoShape 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4130" name="AutoShape 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4131" name="AutoShape 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4132" name="AutoShape 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4133" name="AutoShape 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4134" name="AutoShape 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4135" name="AutoShape 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4136" name="AutoShape 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4137" name="AutoShape 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4138" name="AutoShape 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4139" name="AutoShape 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4140" name="AutoShape 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4141" name="AutoShape 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4142" name="AutoShape 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4143" name="AutoShape 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4144" name="AutoShape 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4145" name="AutoShape 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4146" name="AutoShape 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4147" name="AutoShape 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4148" name="AutoShape 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4149" name="AutoShape 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4150" name="AutoShape 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4151" name="AutoShape 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4152" name="AutoShape 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4153" name="AutoShape 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4154" name="AutoShape 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4155" name="AutoShape 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4156" name="AutoShape 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4157" name="AutoShape 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4158" name="AutoShape 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4159" name="AutoShape 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4160" name="AutoShape 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4161" name="AutoShape 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4162" name="AutoShape 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4163" name="AutoShape 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4164" name="AutoShape 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447675</xdr:colOff>
      <xdr:row>44</xdr:row>
      <xdr:rowOff>28575</xdr:rowOff>
    </xdr:to>
    <xdr:sp macro="" textlink="">
      <xdr:nvSpPr>
        <xdr:cNvPr id="4165" name="AutoShape 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4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3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3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3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3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3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2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2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2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2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2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1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1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1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1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1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0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0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0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0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0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19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19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19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19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19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18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18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18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18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18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17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17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17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17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17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16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16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16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16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16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15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15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15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15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15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14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14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8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8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8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8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8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8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8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8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7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7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7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7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7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7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7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7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7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7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6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6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6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6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6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6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6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6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6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6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5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5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5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5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5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5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5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5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5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5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4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4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4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4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4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4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4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4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4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1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1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1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1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1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1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1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1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1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1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2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2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2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2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2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2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2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2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2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2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3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3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8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8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9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9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9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9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9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9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9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9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9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9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0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0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0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0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14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14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14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14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15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15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15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15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15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16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16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16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16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16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17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17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17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17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17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18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18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18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18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18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19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19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19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19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19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0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0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0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0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0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1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1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1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1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1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2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2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2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2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2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3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3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3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3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23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0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0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0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0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0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0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1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1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1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1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1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1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1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1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1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1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2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2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2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2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2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2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2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2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2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2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3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3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3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3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3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3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3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3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3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3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4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4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4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4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4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4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4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4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4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4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5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5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5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5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5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5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5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5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5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5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6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6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6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6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6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6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6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6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6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6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7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7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7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7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7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7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7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7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7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7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8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8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8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8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8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8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8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8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8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8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9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9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9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9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9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9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9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9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9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39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0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0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0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0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0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0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0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0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0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0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1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1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1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1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1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1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1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1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1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1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2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2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2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2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2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2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2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2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2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2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3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3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3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3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3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3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3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3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3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3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4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4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4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4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4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4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4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4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4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4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5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5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5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5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5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5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5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5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5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5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6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6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6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6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6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6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6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6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6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6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7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7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7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7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7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7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7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7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7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7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8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8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8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8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8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8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8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8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8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8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9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9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9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9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9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9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9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9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98" name="AutoShape 14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499" name="AutoShape 14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00" name="AutoShape 14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01" name="AutoShape 14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02" name="AutoShape 13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03" name="AutoShape 13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04" name="AutoShape 13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05" name="AutoShape 13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06" name="AutoShape 13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07" name="AutoShape 13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08" name="AutoShape 13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09" name="AutoShape 13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10" name="AutoShape 13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11" name="AutoShape 13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12" name="AutoShape 12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13" name="AutoShape 12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14" name="AutoShape 12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15" name="AutoShape 12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16" name="AutoShape 12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17" name="AutoShape 12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18" name="AutoShape 12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19" name="AutoShape 12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20" name="AutoShape 12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21" name="AutoShape 12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22" name="AutoShape 11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23" name="AutoShape 11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24" name="AutoShape 11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25" name="AutoShape 11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26" name="AutoShape 11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27" name="AutoShape 1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28" name="AutoShape 1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29" name="AutoShape 1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30" name="AutoShape 1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31" name="AutoShape 1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32" name="AutoShape 1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33" name="AutoShape 1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34" name="AutoShape 10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35" name="AutoShape 10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36" name="AutoShape 10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37" name="AutoShape 10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38" name="AutoShape 10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39" name="AutoShape 10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40" name="AutoShape 10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41" name="AutoShape 10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42" name="AutoShape 9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43" name="AutoShape 9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44" name="AutoShape 9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45" name="AutoShape 9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46" name="AutoShape 14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47" name="AutoShape 14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48" name="AutoShape 14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49" name="AutoShape 14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50" name="AutoShape 13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51" name="AutoShape 13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52" name="AutoShape 13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53" name="AutoShape 13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54" name="AutoShape 13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55" name="AutoShape 13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56" name="AutoShape 13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57" name="AutoShape 13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58" name="AutoShape 13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59" name="AutoShape 13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60" name="AutoShape 12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61" name="AutoShape 12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62" name="AutoShape 12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63" name="AutoShape 12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64" name="AutoShape 12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65" name="AutoShape 12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66" name="AutoShape 12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67" name="AutoShape 12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68" name="AutoShape 12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69" name="AutoShape 12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70" name="AutoShape 11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71" name="AutoShape 11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72" name="AutoShape 11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73" name="AutoShape 11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74" name="AutoShape 11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75" name="AutoShape 1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76" name="AutoShape 1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77" name="AutoShape 1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78" name="AutoShape 1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79" name="AutoShape 1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80" name="AutoShape 1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81" name="AutoShape 1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82" name="AutoShape 10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83" name="AutoShape 10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84" name="AutoShape 10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85" name="AutoShape 10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86" name="AutoShape 10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87" name="AutoShape 10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88" name="AutoShape 10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89" name="AutoShape 10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90" name="AutoShape 9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91" name="AutoShape 9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92" name="AutoShape 9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93" name="AutoShape 9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94" name="AutoShape 14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95" name="AutoShape 14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96" name="AutoShape 14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97" name="AutoShape 14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98" name="AutoShape 13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599" name="AutoShape 13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00" name="AutoShape 13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01" name="AutoShape 13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02" name="AutoShape 13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03" name="AutoShape 13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04" name="AutoShape 13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05" name="AutoShape 13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06" name="AutoShape 13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07" name="AutoShape 13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08" name="AutoShape 12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09" name="AutoShape 12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10" name="AutoShape 12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11" name="AutoShape 12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12" name="AutoShape 12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13" name="AutoShape 12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14" name="AutoShape 12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15" name="AutoShape 12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16" name="AutoShape 12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17" name="AutoShape 12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18" name="AutoShape 11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19" name="AutoShape 11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20" name="AutoShape 11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21" name="AutoShape 11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22" name="AutoShape 11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23" name="AutoShape 1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24" name="AutoShape 1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25" name="AutoShape 1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26" name="AutoShape 1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27" name="AutoShape 1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28" name="AutoShape 1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29" name="AutoShape 1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30" name="AutoShape 10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31" name="AutoShape 10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32" name="AutoShape 10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33" name="AutoShape 10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34" name="AutoShape 10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35" name="AutoShape 10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36" name="AutoShape 10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37" name="AutoShape 10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38" name="AutoShape 9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39" name="AutoShape 9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40" name="AutoShape 9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41" name="AutoShape 9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42" name="AutoShape 14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43" name="AutoShape 14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44" name="AutoShape 14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45" name="AutoShape 14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46" name="AutoShape 13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47" name="AutoShape 13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48" name="AutoShape 13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49" name="AutoShape 13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50" name="AutoShape 13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51" name="AutoShape 13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52" name="AutoShape 13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53" name="AutoShape 13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54" name="AutoShape 13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55" name="AutoShape 13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56" name="AutoShape 12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57" name="AutoShape 12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58" name="AutoShape 12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59" name="AutoShape 12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60" name="AutoShape 12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61" name="AutoShape 12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62" name="AutoShape 12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63" name="AutoShape 12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64" name="AutoShape 12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65" name="AutoShape 12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66" name="AutoShape 11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67" name="AutoShape 11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68" name="AutoShape 11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69" name="AutoShape 11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70" name="AutoShape 11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71" name="AutoShape 1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72" name="AutoShape 1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73" name="AutoShape 1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74" name="AutoShape 1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75" name="AutoShape 1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76" name="AutoShape 1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77" name="AutoShape 1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78" name="AutoShape 10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79" name="AutoShape 10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80" name="AutoShape 10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81" name="AutoShape 10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82" name="AutoShape 10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83" name="AutoShape 10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84" name="AutoShape 10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85" name="AutoShape 10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86" name="AutoShape 9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87" name="AutoShape 9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88" name="AutoShape 9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89" name="AutoShape 9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90" name="AutoShape 14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91" name="AutoShape 14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92" name="AutoShape 14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93" name="AutoShape 14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94" name="AutoShape 13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95" name="AutoShape 13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96" name="AutoShape 13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97" name="AutoShape 13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98" name="AutoShape 13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699" name="AutoShape 13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00" name="AutoShape 13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01" name="AutoShape 13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02" name="AutoShape 13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03" name="AutoShape 13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04" name="AutoShape 12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05" name="AutoShape 12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06" name="AutoShape 12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07" name="AutoShape 12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08" name="AutoShape 12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09" name="AutoShape 12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10" name="AutoShape 12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11" name="AutoShape 12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12" name="AutoShape 12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13" name="AutoShape 12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14" name="AutoShape 11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15" name="AutoShape 11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16" name="AutoShape 11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17" name="AutoShape 11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18" name="AutoShape 11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19" name="AutoShape 1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20" name="AutoShape 1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21" name="AutoShape 1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22" name="AutoShape 1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23" name="AutoShape 1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24" name="AutoShape 1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25" name="AutoShape 1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26" name="AutoShape 10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27" name="AutoShape 10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28" name="AutoShape 10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29" name="AutoShape 10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30" name="AutoShape 10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31" name="AutoShape 10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32" name="AutoShape 10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33" name="AutoShape 10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34" name="AutoShape 9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35" name="AutoShape 9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36" name="AutoShape 9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37" name="AutoShape 9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38" name="AutoShape 14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39" name="AutoShape 14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40" name="AutoShape 14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41" name="AutoShape 14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42" name="AutoShape 13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43" name="AutoShape 13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44" name="AutoShape 13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45" name="AutoShape 13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46" name="AutoShape 13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47" name="AutoShape 13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48" name="AutoShape 13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49" name="AutoShape 13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50" name="AutoShape 13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51" name="AutoShape 13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52" name="AutoShape 12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53" name="AutoShape 12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54" name="AutoShape 12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55" name="AutoShape 12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56" name="AutoShape 12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57" name="AutoShape 12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58" name="AutoShape 12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59" name="AutoShape 12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60" name="AutoShape 12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61" name="AutoShape 12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62" name="AutoShape 11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63" name="AutoShape 11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64" name="AutoShape 11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65" name="AutoShape 11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66" name="AutoShape 11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67" name="AutoShape 1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68" name="AutoShape 1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69" name="AutoShape 1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70" name="AutoShape 1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71" name="AutoShape 1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72" name="AutoShape 1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73" name="AutoShape 1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74" name="AutoShape 10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75" name="AutoShape 10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76" name="AutoShape 10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77" name="AutoShape 10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78" name="AutoShape 10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79" name="AutoShape 10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80" name="AutoShape 10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81" name="AutoShape 10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82" name="AutoShape 9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83" name="AutoShape 9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84" name="AutoShape 9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85" name="AutoShape 9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86" name="AutoShape 14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87" name="AutoShape 14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88" name="AutoShape 14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89" name="AutoShape 14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90" name="AutoShape 13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91" name="AutoShape 13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92" name="AutoShape 13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93" name="AutoShape 13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94" name="AutoShape 13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95" name="AutoShape 13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96" name="AutoShape 13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97" name="AutoShape 13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98" name="AutoShape 13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799" name="AutoShape 13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00" name="AutoShape 12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01" name="AutoShape 12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02" name="AutoShape 12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03" name="AutoShape 12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04" name="AutoShape 12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05" name="AutoShape 12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06" name="AutoShape 12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07" name="AutoShape 12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08" name="AutoShape 12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09" name="AutoShape 12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10" name="AutoShape 11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11" name="AutoShape 11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12" name="AutoShape 11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13" name="AutoShape 11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14" name="AutoShape 11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15" name="AutoShape 1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16" name="AutoShape 1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17" name="AutoShape 1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18" name="AutoShape 1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19" name="AutoShape 1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20" name="AutoShape 1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21" name="AutoShape 1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22" name="AutoShape 10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23" name="AutoShape 10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24" name="AutoShape 10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25" name="AutoShape 10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26" name="AutoShape 10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27" name="AutoShape 10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28" name="AutoShape 10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29" name="AutoShape 10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30" name="AutoShape 9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31" name="AutoShape 9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32" name="AutoShape 9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33" name="AutoShape 9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34" name="AutoShape 14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35" name="AutoShape 14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36" name="AutoShape 14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37" name="AutoShape 14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38" name="AutoShape 13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39" name="AutoShape 13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40" name="AutoShape 13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41" name="AutoShape 13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42" name="AutoShape 13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43" name="AutoShape 13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44" name="AutoShape 13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45" name="AutoShape 13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46" name="AutoShape 13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47" name="AutoShape 13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48" name="AutoShape 12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49" name="AutoShape 12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50" name="AutoShape 12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51" name="AutoShape 12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52" name="AutoShape 12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53" name="AutoShape 12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54" name="AutoShape 12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55" name="AutoShape 12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56" name="AutoShape 12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57" name="AutoShape 12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58" name="AutoShape 11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59" name="AutoShape 11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60" name="AutoShape 11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61" name="AutoShape 11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62" name="AutoShape 11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63" name="AutoShape 1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64" name="AutoShape 1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65" name="AutoShape 1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66" name="AutoShape 1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67" name="AutoShape 1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68" name="AutoShape 1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69" name="AutoShape 1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70" name="AutoShape 10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71" name="AutoShape 10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72" name="AutoShape 10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73" name="AutoShape 10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74" name="AutoShape 10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75" name="AutoShape 10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76" name="AutoShape 10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77" name="AutoShape 10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78" name="AutoShape 9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79" name="AutoShape 9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80" name="AutoShape 9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81" name="AutoShape 9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82" name="AutoShape 14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83" name="AutoShape 14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84" name="AutoShape 14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85" name="AutoShape 14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86" name="AutoShape 13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87" name="AutoShape 13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88" name="AutoShape 13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89" name="AutoShape 13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90" name="AutoShape 13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91" name="AutoShape 13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92" name="AutoShape 13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93" name="AutoShape 13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94" name="AutoShape 13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95" name="AutoShape 13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96" name="AutoShape 12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97" name="AutoShape 12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98" name="AutoShape 12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899" name="AutoShape 12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00" name="AutoShape 12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01" name="AutoShape 12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02" name="AutoShape 12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03" name="AutoShape 12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04" name="AutoShape 12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05" name="AutoShape 12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06" name="AutoShape 11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07" name="AutoShape 11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08" name="AutoShape 11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09" name="AutoShape 11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10" name="AutoShape 11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11" name="AutoShape 1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12" name="AutoShape 1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13" name="AutoShape 1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14" name="AutoShape 1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15" name="AutoShape 1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16" name="AutoShape 1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17" name="AutoShape 1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18" name="AutoShape 10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19" name="AutoShape 10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20" name="AutoShape 10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21" name="AutoShape 10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22" name="AutoShape 10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23" name="AutoShape 10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24" name="AutoShape 10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25" name="AutoShape 10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26" name="AutoShape 9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27" name="AutoShape 9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28" name="AutoShape 9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29" name="AutoShape 9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30" name="AutoShape 14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31" name="AutoShape 14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32" name="AutoShape 14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33" name="AutoShape 14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34" name="AutoShape 13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35" name="AutoShape 13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36" name="AutoShape 13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37" name="AutoShape 13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38" name="AutoShape 13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39" name="AutoShape 13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40" name="AutoShape 13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41" name="AutoShape 13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42" name="AutoShape 13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43" name="AutoShape 13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44" name="AutoShape 12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45" name="AutoShape 12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46" name="AutoShape 12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47" name="AutoShape 12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48" name="AutoShape 12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49" name="AutoShape 12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50" name="AutoShape 12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51" name="AutoShape 12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52" name="AutoShape 12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53" name="AutoShape 12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54" name="AutoShape 11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55" name="AutoShape 11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56" name="AutoShape 11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57" name="AutoShape 11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58" name="AutoShape 11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59" name="AutoShape 1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60" name="AutoShape 1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61" name="AutoShape 1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62" name="AutoShape 1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63" name="AutoShape 1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64" name="AutoShape 1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65" name="AutoShape 1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66" name="AutoShape 10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67" name="AutoShape 10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68" name="AutoShape 10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69" name="AutoShape 10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70" name="AutoShape 10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71" name="AutoShape 10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72" name="AutoShape 10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73" name="AutoShape 10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74" name="AutoShape 9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75" name="AutoShape 9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76" name="AutoShape 9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77" name="AutoShape 9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78" name="AutoShape 14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79" name="AutoShape 14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80" name="AutoShape 14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81" name="AutoShape 14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82" name="AutoShape 13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83" name="AutoShape 13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84" name="AutoShape 13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85" name="AutoShape 13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86" name="AutoShape 13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87" name="AutoShape 13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88" name="AutoShape 13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89" name="AutoShape 13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90" name="AutoShape 13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91" name="AutoShape 13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92" name="AutoShape 12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93" name="AutoShape 12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94" name="AutoShape 12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95" name="AutoShape 12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96" name="AutoShape 12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97" name="AutoShape 12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98" name="AutoShape 12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6999" name="AutoShape 12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00" name="AutoShape 12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01" name="AutoShape 12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02" name="AutoShape 11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03" name="AutoShape 11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04" name="AutoShape 11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05" name="AutoShape 11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06" name="AutoShape 11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07" name="AutoShape 1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08" name="AutoShape 1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09" name="AutoShape 1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10" name="AutoShape 1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11" name="AutoShape 1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12" name="AutoShape 1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13" name="AutoShape 1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14" name="AutoShape 10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15" name="AutoShape 10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16" name="AutoShape 10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17" name="AutoShape 10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18" name="AutoShape 10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19" name="AutoShape 10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20" name="AutoShape 10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21" name="AutoShape 10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22" name="AutoShape 9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23" name="AutoShape 9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24" name="AutoShape 9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25" name="AutoShape 9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26" name="AutoShape 14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27" name="AutoShape 14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28" name="AutoShape 14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29" name="AutoShape 14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30" name="AutoShape 13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31" name="AutoShape 13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32" name="AutoShape 13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33" name="AutoShape 13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34" name="AutoShape 13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35" name="AutoShape 13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36" name="AutoShape 13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37" name="AutoShape 13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38" name="AutoShape 13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39" name="AutoShape 13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40" name="AutoShape 12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41" name="AutoShape 12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42" name="AutoShape 12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43" name="AutoShape 12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44" name="AutoShape 12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45" name="AutoShape 12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46" name="AutoShape 12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47" name="AutoShape 12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48" name="AutoShape 12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49" name="AutoShape 12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50" name="AutoShape 11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51" name="AutoShape 11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52" name="AutoShape 11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53" name="AutoShape 11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54" name="AutoShape 11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55" name="AutoShape 1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56" name="AutoShape 1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57" name="AutoShape 1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58" name="AutoShape 1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59" name="AutoShape 1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60" name="AutoShape 1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61" name="AutoShape 1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62" name="AutoShape 10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63" name="AutoShape 10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64" name="AutoShape 10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65" name="AutoShape 10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66" name="AutoShape 10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67" name="AutoShape 10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68" name="AutoShape 10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69" name="AutoShape 10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70" name="AutoShape 9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71" name="AutoShape 9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72" name="AutoShape 9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73" name="AutoShape 9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74" name="AutoShape 14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75" name="AutoShape 14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76" name="AutoShape 14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77" name="AutoShape 14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78" name="AutoShape 13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79" name="AutoShape 13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80" name="AutoShape 13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81" name="AutoShape 13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82" name="AutoShape 13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83" name="AutoShape 13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84" name="AutoShape 13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85" name="AutoShape 13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86" name="AutoShape 13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87" name="AutoShape 13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88" name="AutoShape 12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89" name="AutoShape 12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90" name="AutoShape 12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91" name="AutoShape 12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92" name="AutoShape 12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93" name="AutoShape 12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94" name="AutoShape 12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95" name="AutoShape 12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96" name="AutoShape 12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97" name="AutoShape 12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98" name="AutoShape 11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099" name="AutoShape 11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00" name="AutoShape 11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01" name="AutoShape 11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02" name="AutoShape 11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03" name="AutoShape 1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04" name="AutoShape 1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05" name="AutoShape 1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06" name="AutoShape 1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07" name="AutoShape 1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08" name="AutoShape 1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09" name="AutoShape 1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10" name="AutoShape 10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11" name="AutoShape 10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12" name="AutoShape 10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13" name="AutoShape 10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14" name="AutoShape 10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15" name="AutoShape 10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16" name="AutoShape 10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17" name="AutoShape 10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18" name="AutoShape 9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19" name="AutoShape 9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20" name="AutoShape 9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21" name="AutoShape 9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22" name="AutoShape 14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23" name="AutoShape 14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24" name="AutoShape 14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25" name="AutoShape 14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26" name="AutoShape 13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27" name="AutoShape 13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28" name="AutoShape 13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29" name="AutoShape 13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30" name="AutoShape 13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31" name="AutoShape 13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32" name="AutoShape 13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33" name="AutoShape 13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34" name="AutoShape 13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35" name="AutoShape 13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36" name="AutoShape 12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37" name="AutoShape 12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38" name="AutoShape 12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39" name="AutoShape 12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40" name="AutoShape 12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41" name="AutoShape 12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42" name="AutoShape 12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43" name="AutoShape 12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44" name="AutoShape 12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45" name="AutoShape 12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46" name="AutoShape 11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47" name="AutoShape 11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48" name="AutoShape 11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49" name="AutoShape 11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50" name="AutoShape 11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51" name="AutoShape 1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52" name="AutoShape 1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53" name="AutoShape 1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54" name="AutoShape 1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55" name="AutoShape 1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56" name="AutoShape 1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57" name="AutoShape 1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58" name="AutoShape 10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59" name="AutoShape 10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60" name="AutoShape 10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61" name="AutoShape 10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62" name="AutoShape 10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63" name="AutoShape 10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64" name="AutoShape 10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65" name="AutoShape 10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66" name="AutoShape 9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67" name="AutoShape 9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68" name="AutoShape 9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69" name="AutoShape 9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70" name="AutoShape 14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71" name="AutoShape 14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72" name="AutoShape 14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73" name="AutoShape 14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74" name="AutoShape 13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75" name="AutoShape 13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76" name="AutoShape 13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77" name="AutoShape 13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78" name="AutoShape 13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79" name="AutoShape 13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80" name="AutoShape 13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81" name="AutoShape 13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82" name="AutoShape 13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83" name="AutoShape 13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84" name="AutoShape 12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85" name="AutoShape 12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86" name="AutoShape 12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87" name="AutoShape 12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88" name="AutoShape 12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89" name="AutoShape 12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90" name="AutoShape 12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91" name="AutoShape 12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92" name="AutoShape 12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93" name="AutoShape 12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94" name="AutoShape 11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95" name="AutoShape 11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96" name="AutoShape 11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97" name="AutoShape 11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98" name="AutoShape 11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199" name="AutoShape 1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00" name="AutoShape 1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01" name="AutoShape 1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02" name="AutoShape 1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03" name="AutoShape 1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04" name="AutoShape 1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05" name="AutoShape 1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06" name="AutoShape 10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07" name="AutoShape 10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08" name="AutoShape 10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09" name="AutoShape 10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10" name="AutoShape 10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11" name="AutoShape 10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12" name="AutoShape 10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13" name="AutoShape 10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14" name="AutoShape 9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15" name="AutoShape 9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16" name="AutoShape 9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17" name="AutoShape 9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18" name="AutoShape 14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19" name="AutoShape 14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20" name="AutoShape 14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21" name="AutoShape 14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22" name="AutoShape 13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23" name="AutoShape 13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24" name="AutoShape 13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25" name="AutoShape 13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26" name="AutoShape 13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27" name="AutoShape 13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28" name="AutoShape 13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29" name="AutoShape 13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30" name="AutoShape 13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31" name="AutoShape 13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32" name="AutoShape 12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33" name="AutoShape 12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34" name="AutoShape 12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35" name="AutoShape 12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36" name="AutoShape 12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37" name="AutoShape 12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38" name="AutoShape 12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39" name="AutoShape 12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40" name="AutoShape 12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41" name="AutoShape 12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42" name="AutoShape 11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43" name="AutoShape 11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44" name="AutoShape 11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45" name="AutoShape 11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46" name="AutoShape 11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47" name="AutoShape 1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48" name="AutoShape 1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49" name="AutoShape 1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50" name="AutoShape 1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51" name="AutoShape 1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52" name="AutoShape 1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53" name="AutoShape 1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54" name="AutoShape 10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55" name="AutoShape 10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56" name="AutoShape 10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57" name="AutoShape 10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58" name="AutoShape 10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59" name="AutoShape 10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60" name="AutoShape 10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61" name="AutoShape 10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62" name="AutoShape 9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63" name="AutoShape 9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64" name="AutoShape 9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65" name="AutoShape 9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66" name="AutoShape 14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67" name="AutoShape 14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68" name="AutoShape 14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69" name="AutoShape 14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70" name="AutoShape 13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71" name="AutoShape 13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72" name="AutoShape 13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73" name="AutoShape 13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74" name="AutoShape 13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75" name="AutoShape 13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76" name="AutoShape 13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77" name="AutoShape 13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78" name="AutoShape 13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79" name="AutoShape 13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80" name="AutoShape 12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81" name="AutoShape 12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82" name="AutoShape 12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83" name="AutoShape 12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84" name="AutoShape 12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85" name="AutoShape 12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86" name="AutoShape 12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87" name="AutoShape 12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88" name="AutoShape 12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89" name="AutoShape 12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90" name="AutoShape 11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91" name="AutoShape 11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92" name="AutoShape 11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93" name="AutoShape 11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94" name="AutoShape 11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95" name="AutoShape 1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96" name="AutoShape 1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97" name="AutoShape 1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98" name="AutoShape 1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299" name="AutoShape 1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00" name="AutoShape 1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01" name="AutoShape 1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02" name="AutoShape 10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03" name="AutoShape 10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04" name="AutoShape 10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05" name="AutoShape 10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06" name="AutoShape 10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07" name="AutoShape 10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08" name="AutoShape 10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09" name="AutoShape 10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10" name="AutoShape 9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11" name="AutoShape 9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12" name="AutoShape 9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13" name="AutoShape 9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14" name="AutoShape 14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15" name="AutoShape 14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16" name="AutoShape 14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17" name="AutoShape 14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18" name="AutoShape 13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19" name="AutoShape 13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20" name="AutoShape 13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21" name="AutoShape 13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22" name="AutoShape 13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23" name="AutoShape 13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24" name="AutoShape 13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25" name="AutoShape 13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26" name="AutoShape 13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27" name="AutoShape 13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28" name="AutoShape 12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29" name="AutoShape 12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30" name="AutoShape 12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31" name="AutoShape 12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32" name="AutoShape 12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33" name="AutoShape 12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34" name="AutoShape 12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35" name="AutoShape 12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36" name="AutoShape 12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37" name="AutoShape 12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38" name="AutoShape 11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39" name="AutoShape 11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40" name="AutoShape 11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41" name="AutoShape 11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42" name="AutoShape 11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43" name="AutoShape 1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44" name="AutoShape 1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45" name="AutoShape 1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46" name="AutoShape 1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47" name="AutoShape 1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48" name="AutoShape 1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49" name="AutoShape 1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50" name="AutoShape 10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51" name="AutoShape 10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52" name="AutoShape 10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53" name="AutoShape 10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54" name="AutoShape 10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55" name="AutoShape 10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56" name="AutoShape 10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57" name="AutoShape 10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58" name="AutoShape 9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59" name="AutoShape 9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60" name="AutoShape 9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61" name="AutoShape 9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62" name="AutoShape 14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63" name="AutoShape 14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64" name="AutoShape 14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65" name="AutoShape 14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66" name="AutoShape 13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67" name="AutoShape 13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68" name="AutoShape 13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69" name="AutoShape 13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70" name="AutoShape 13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71" name="AutoShape 13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72" name="AutoShape 13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73" name="AutoShape 13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74" name="AutoShape 13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75" name="AutoShape 13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76" name="AutoShape 12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77" name="AutoShape 12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78" name="AutoShape 12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79" name="AutoShape 12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80" name="AutoShape 12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81" name="AutoShape 12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82" name="AutoShape 12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83" name="AutoShape 12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84" name="AutoShape 12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85" name="AutoShape 12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86" name="AutoShape 11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87" name="AutoShape 11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88" name="AutoShape 11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89" name="AutoShape 11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90" name="AutoShape 11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91" name="AutoShape 1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92" name="AutoShape 1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93" name="AutoShape 1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94" name="AutoShape 1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95" name="AutoShape 1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96" name="AutoShape 1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97" name="AutoShape 1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98" name="AutoShape 10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399" name="AutoShape 10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00" name="AutoShape 10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01" name="AutoShape 10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02" name="AutoShape 10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03" name="AutoShape 10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04" name="AutoShape 10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05" name="AutoShape 10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06" name="AutoShape 9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07" name="AutoShape 9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08" name="AutoShape 9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09" name="AutoShape 9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10" name="AutoShape 14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11" name="AutoShape 14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12" name="AutoShape 14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13" name="AutoShape 14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14" name="AutoShape 13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15" name="AutoShape 13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16" name="AutoShape 13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17" name="AutoShape 13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18" name="AutoShape 13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19" name="AutoShape 13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20" name="AutoShape 13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21" name="AutoShape 13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22" name="AutoShape 13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23" name="AutoShape 13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24" name="AutoShape 12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25" name="AutoShape 12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26" name="AutoShape 12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27" name="AutoShape 12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28" name="AutoShape 12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29" name="AutoShape 12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30" name="AutoShape 12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31" name="AutoShape 12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32" name="AutoShape 12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33" name="AutoShape 12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34" name="AutoShape 11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35" name="AutoShape 11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36" name="AutoShape 11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37" name="AutoShape 11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38" name="AutoShape 11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39" name="AutoShape 1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40" name="AutoShape 1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41" name="AutoShape 1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42" name="AutoShape 1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43" name="AutoShape 1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44" name="AutoShape 1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45" name="AutoShape 1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46" name="AutoShape 10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47" name="AutoShape 10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48" name="AutoShape 10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49" name="AutoShape 10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50" name="AutoShape 10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51" name="AutoShape 10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52" name="AutoShape 10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53" name="AutoShape 10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54" name="AutoShape 9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55" name="AutoShape 9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56" name="AutoShape 9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57" name="AutoShape 9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58" name="AutoShape 14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59" name="AutoShape 14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60" name="AutoShape 14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61" name="AutoShape 14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62" name="AutoShape 13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63" name="AutoShape 13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64" name="AutoShape 13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65" name="AutoShape 13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66" name="AutoShape 13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67" name="AutoShape 13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68" name="AutoShape 13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69" name="AutoShape 13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70" name="AutoShape 13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71" name="AutoShape 13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72" name="AutoShape 12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73" name="AutoShape 12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74" name="AutoShape 12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75" name="AutoShape 12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76" name="AutoShape 12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77" name="AutoShape 12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78" name="AutoShape 12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79" name="AutoShape 12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80" name="AutoShape 12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81" name="AutoShape 12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82" name="AutoShape 11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83" name="AutoShape 11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84" name="AutoShape 11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85" name="AutoShape 11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86" name="AutoShape 11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87" name="AutoShape 1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88" name="AutoShape 1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89" name="AutoShape 1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90" name="AutoShape 1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91" name="AutoShape 1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92" name="AutoShape 1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93" name="AutoShape 1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94" name="AutoShape 10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95" name="AutoShape 10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96" name="AutoShape 10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97" name="AutoShape 10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98" name="AutoShape 10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499" name="AutoShape 10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00" name="AutoShape 10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01" name="AutoShape 10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02" name="AutoShape 9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03" name="AutoShape 9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04" name="AutoShape 9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05" name="AutoShape 9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06" name="AutoShape 14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07" name="AutoShape 14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08" name="AutoShape 14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09" name="AutoShape 14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10" name="AutoShape 13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11" name="AutoShape 13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12" name="AutoShape 13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13" name="AutoShape 13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14" name="AutoShape 13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15" name="AutoShape 13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16" name="AutoShape 13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17" name="AutoShape 13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18" name="AutoShape 13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19" name="AutoShape 13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20" name="AutoShape 12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21" name="AutoShape 12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22" name="AutoShape 12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23" name="AutoShape 12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24" name="AutoShape 12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25" name="AutoShape 12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26" name="AutoShape 12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27" name="AutoShape 12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28" name="AutoShape 12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29" name="AutoShape 12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30" name="AutoShape 11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31" name="AutoShape 11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32" name="AutoShape 11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33" name="AutoShape 11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34" name="AutoShape 11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35" name="AutoShape 1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36" name="AutoShape 1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37" name="AutoShape 1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38" name="AutoShape 1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39" name="AutoShape 1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40" name="AutoShape 1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41" name="AutoShape 1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42" name="AutoShape 10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43" name="AutoShape 10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44" name="AutoShape 10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45" name="AutoShape 10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46" name="AutoShape 10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47" name="AutoShape 10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48" name="AutoShape 10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49" name="AutoShape 10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50" name="AutoShape 9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51" name="AutoShape 9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52" name="AutoShape 9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53" name="AutoShape 9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54" name="AutoShape 14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55" name="AutoShape 14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56" name="AutoShape 14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57" name="AutoShape 14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58" name="AutoShape 13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59" name="AutoShape 13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60" name="AutoShape 13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61" name="AutoShape 13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62" name="AutoShape 13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63" name="AutoShape 13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64" name="AutoShape 13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65" name="AutoShape 13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66" name="AutoShape 13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67" name="AutoShape 13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68" name="AutoShape 12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69" name="AutoShape 12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70" name="AutoShape 12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71" name="AutoShape 12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72" name="AutoShape 12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73" name="AutoShape 12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74" name="AutoShape 12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75" name="AutoShape 12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76" name="AutoShape 12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77" name="AutoShape 12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78" name="AutoShape 11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79" name="AutoShape 11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80" name="AutoShape 11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81" name="AutoShape 11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82" name="AutoShape 11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83" name="AutoShape 1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84" name="AutoShape 1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85" name="AutoShape 1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86" name="AutoShape 1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87" name="AutoShape 1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88" name="AutoShape 1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89" name="AutoShape 1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90" name="AutoShape 10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91" name="AutoShape 10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92" name="AutoShape 10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93" name="AutoShape 10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94" name="AutoShape 10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95" name="AutoShape 10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96" name="AutoShape 10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97" name="AutoShape 10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98" name="AutoShape 9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599" name="AutoShape 9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00" name="AutoShape 9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01" name="AutoShape 9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02" name="AutoShape 14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03" name="AutoShape 14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04" name="AutoShape 14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05" name="AutoShape 14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06" name="AutoShape 13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07" name="AutoShape 13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08" name="AutoShape 13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09" name="AutoShape 13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10" name="AutoShape 13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11" name="AutoShape 13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12" name="AutoShape 13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13" name="AutoShape 13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14" name="AutoShape 13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15" name="AutoShape 13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16" name="AutoShape 12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17" name="AutoShape 12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18" name="AutoShape 12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19" name="AutoShape 12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20" name="AutoShape 12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21" name="AutoShape 12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22" name="AutoShape 12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23" name="AutoShape 12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24" name="AutoShape 12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25" name="AutoShape 12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26" name="AutoShape 11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27" name="AutoShape 11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28" name="AutoShape 11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29" name="AutoShape 11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30" name="AutoShape 11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31" name="AutoShape 1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32" name="AutoShape 1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33" name="AutoShape 1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34" name="AutoShape 1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35" name="AutoShape 1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36" name="AutoShape 1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37" name="AutoShape 1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38" name="AutoShape 10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39" name="AutoShape 10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40" name="AutoShape 10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41" name="AutoShape 10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42" name="AutoShape 10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43" name="AutoShape 10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44" name="AutoShape 10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45" name="AutoShape 10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46" name="AutoShape 9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47" name="AutoShape 9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48" name="AutoShape 9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49" name="AutoShape 9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50" name="AutoShape 14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51" name="AutoShape 14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52" name="AutoShape 14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53" name="AutoShape 14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54" name="AutoShape 13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55" name="AutoShape 13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56" name="AutoShape 13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57" name="AutoShape 13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58" name="AutoShape 13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59" name="AutoShape 13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60" name="AutoShape 13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61" name="AutoShape 13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62" name="AutoShape 13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63" name="AutoShape 13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64" name="AutoShape 12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65" name="AutoShape 12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66" name="AutoShape 12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67" name="AutoShape 12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68" name="AutoShape 12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69" name="AutoShape 12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70" name="AutoShape 12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71" name="AutoShape 12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72" name="AutoShape 12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73" name="AutoShape 12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74" name="AutoShape 11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75" name="AutoShape 11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76" name="AutoShape 11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77" name="AutoShape 11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78" name="AutoShape 11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79" name="AutoShape 1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80" name="AutoShape 1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81" name="AutoShape 1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82" name="AutoShape 1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83" name="AutoShape 1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84" name="AutoShape 1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85" name="AutoShape 1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86" name="AutoShape 10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87" name="AutoShape 10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88" name="AutoShape 10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89" name="AutoShape 10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90" name="AutoShape 10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91" name="AutoShape 10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92" name="AutoShape 10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93" name="AutoShape 10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94" name="AutoShape 9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95" name="AutoShape 9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96" name="AutoShape 9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97" name="AutoShape 9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98" name="AutoShape 14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699" name="AutoShape 14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00" name="AutoShape 14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01" name="AutoShape 14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02" name="AutoShape 13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03" name="AutoShape 13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04" name="AutoShape 13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05" name="AutoShape 13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06" name="AutoShape 13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07" name="AutoShape 13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08" name="AutoShape 13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09" name="AutoShape 13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10" name="AutoShape 13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11" name="AutoShape 13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12" name="AutoShape 12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13" name="AutoShape 12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14" name="AutoShape 12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15" name="AutoShape 12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16" name="AutoShape 12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17" name="AutoShape 12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18" name="AutoShape 12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19" name="AutoShape 12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20" name="AutoShape 12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21" name="AutoShape 12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22" name="AutoShape 11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23" name="AutoShape 11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24" name="AutoShape 11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25" name="AutoShape 11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26" name="AutoShape 11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27" name="AutoShape 1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28" name="AutoShape 1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29" name="AutoShape 1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30" name="AutoShape 1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31" name="AutoShape 1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32" name="AutoShape 1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33" name="AutoShape 1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34" name="AutoShape 10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35" name="AutoShape 10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36" name="AutoShape 10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37" name="AutoShape 10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38" name="AutoShape 10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39" name="AutoShape 10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40" name="AutoShape 10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41" name="AutoShape 10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42" name="AutoShape 9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43" name="AutoShape 9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44" name="AutoShape 9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45" name="AutoShape 9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46" name="AutoShape 14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47" name="AutoShape 14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48" name="AutoShape 14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49" name="AutoShape 14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50" name="AutoShape 13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51" name="AutoShape 13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52" name="AutoShape 13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53" name="AutoShape 13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54" name="AutoShape 13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55" name="AutoShape 13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56" name="AutoShape 13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57" name="AutoShape 13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58" name="AutoShape 13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59" name="AutoShape 13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60" name="AutoShape 12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61" name="AutoShape 12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62" name="AutoShape 12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63" name="AutoShape 12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64" name="AutoShape 12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65" name="AutoShape 12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66" name="AutoShape 12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67" name="AutoShape 12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68" name="AutoShape 12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69" name="AutoShape 12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70" name="AutoShape 11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71" name="AutoShape 11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72" name="AutoShape 11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73" name="AutoShape 11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74" name="AutoShape 11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75" name="AutoShape 1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76" name="AutoShape 1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77" name="AutoShape 1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78" name="AutoShape 1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79" name="AutoShape 1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80" name="AutoShape 1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81" name="AutoShape 1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82" name="AutoShape 10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83" name="AutoShape 10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84" name="AutoShape 10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85" name="AutoShape 10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86" name="AutoShape 10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87" name="AutoShape 10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88" name="AutoShape 10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89" name="AutoShape 10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90" name="AutoShape 9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91" name="AutoShape 9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92" name="AutoShape 9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93" name="AutoShape 9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94" name="AutoShape 14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95" name="AutoShape 14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96" name="AutoShape 14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97" name="AutoShape 14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98" name="AutoShape 13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799" name="AutoShape 13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00" name="AutoShape 13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01" name="AutoShape 13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02" name="AutoShape 13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03" name="AutoShape 13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04" name="AutoShape 13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05" name="AutoShape 13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06" name="AutoShape 13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07" name="AutoShape 13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08" name="AutoShape 12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09" name="AutoShape 12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10" name="AutoShape 12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11" name="AutoShape 12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12" name="AutoShape 12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13" name="AutoShape 12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14" name="AutoShape 12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15" name="AutoShape 12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16" name="AutoShape 12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17" name="AutoShape 12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18" name="AutoShape 11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19" name="AutoShape 11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20" name="AutoShape 11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21" name="AutoShape 11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22" name="AutoShape 11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23" name="AutoShape 1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24" name="AutoShape 1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25" name="AutoShape 1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26" name="AutoShape 1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27" name="AutoShape 1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28" name="AutoShape 1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29" name="AutoShape 1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30" name="AutoShape 10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31" name="AutoShape 10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32" name="AutoShape 10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33" name="AutoShape 10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34" name="AutoShape 10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35" name="AutoShape 10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36" name="AutoShape 10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37" name="AutoShape 10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38" name="AutoShape 9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39" name="AutoShape 9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40" name="AutoShape 9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41" name="AutoShape 9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42" name="AutoShape 14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43" name="AutoShape 14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44" name="AutoShape 14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45" name="AutoShape 14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46" name="AutoShape 13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47" name="AutoShape 13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48" name="AutoShape 13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49" name="AutoShape 13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50" name="AutoShape 13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51" name="AutoShape 13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52" name="AutoShape 13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53" name="AutoShape 13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54" name="AutoShape 13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55" name="AutoShape 13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56" name="AutoShape 12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57" name="AutoShape 12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58" name="AutoShape 12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59" name="AutoShape 12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60" name="AutoShape 12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61" name="AutoShape 12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62" name="AutoShape 12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63" name="AutoShape 12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64" name="AutoShape 12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65" name="AutoShape 12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66" name="AutoShape 11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67" name="AutoShape 11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68" name="AutoShape 11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69" name="AutoShape 11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70" name="AutoShape 11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71" name="AutoShape 1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72" name="AutoShape 1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73" name="AutoShape 1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74" name="AutoShape 1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75" name="AutoShape 1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76" name="AutoShape 1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77" name="AutoShape 1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78" name="AutoShape 10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79" name="AutoShape 10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80" name="AutoShape 10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81" name="AutoShape 10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82" name="AutoShape 10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83" name="AutoShape 10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84" name="AutoShape 10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85" name="AutoShape 10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86" name="AutoShape 9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87" name="AutoShape 9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88" name="AutoShape 9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89" name="AutoShape 9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90" name="AutoShape 14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91" name="AutoShape 14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92" name="AutoShape 14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93" name="AutoShape 14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94" name="AutoShape 13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95" name="AutoShape 13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96" name="AutoShape 13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97" name="AutoShape 13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98" name="AutoShape 13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899" name="AutoShape 13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00" name="AutoShape 13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01" name="AutoShape 13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02" name="AutoShape 13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03" name="AutoShape 13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04" name="AutoShape 12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05" name="AutoShape 12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06" name="AutoShape 12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07" name="AutoShape 12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08" name="AutoShape 12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09" name="AutoShape 12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10" name="AutoShape 12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11" name="AutoShape 12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12" name="AutoShape 12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13" name="AutoShape 12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14" name="AutoShape 11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15" name="AutoShape 11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16" name="AutoShape 11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17" name="AutoShape 11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18" name="AutoShape 11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19" name="AutoShape 1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20" name="AutoShape 1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21" name="AutoShape 1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22" name="AutoShape 1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23" name="AutoShape 1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24" name="AutoShape 1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25" name="AutoShape 1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26" name="AutoShape 10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27" name="AutoShape 10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28" name="AutoShape 10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29" name="AutoShape 10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30" name="AutoShape 10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31" name="AutoShape 10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32" name="AutoShape 10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33" name="AutoShape 10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34" name="AutoShape 9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35" name="AutoShape 9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36" name="AutoShape 9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37" name="AutoShape 9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38" name="AutoShape 14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39" name="AutoShape 14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40" name="AutoShape 14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41" name="AutoShape 14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42" name="AutoShape 13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43" name="AutoShape 13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44" name="AutoShape 13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45" name="AutoShape 13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46" name="AutoShape 13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47" name="AutoShape 13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48" name="AutoShape 13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49" name="AutoShape 13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50" name="AutoShape 13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51" name="AutoShape 13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52" name="AutoShape 12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53" name="AutoShape 12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54" name="AutoShape 12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55" name="AutoShape 12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56" name="AutoShape 12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57" name="AutoShape 12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58" name="AutoShape 12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59" name="AutoShape 12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60" name="AutoShape 12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61" name="AutoShape 12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62" name="AutoShape 11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63" name="AutoShape 11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64" name="AutoShape 11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65" name="AutoShape 11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66" name="AutoShape 11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67" name="AutoShape 1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68" name="AutoShape 1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69" name="AutoShape 1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70" name="AutoShape 1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71" name="AutoShape 1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72" name="AutoShape 1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73" name="AutoShape 1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74" name="AutoShape 10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75" name="AutoShape 10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76" name="AutoShape 10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77" name="AutoShape 10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78" name="AutoShape 10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79" name="AutoShape 10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80" name="AutoShape 10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81" name="AutoShape 10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82" name="AutoShape 9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83" name="AutoShape 9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84" name="AutoShape 9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85" name="AutoShape 9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86" name="AutoShape 14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87" name="AutoShape 14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88" name="AutoShape 14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89" name="AutoShape 14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90" name="AutoShape 13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91" name="AutoShape 13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92" name="AutoShape 13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93" name="AutoShape 13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94" name="AutoShape 13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95" name="AutoShape 13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96" name="AutoShape 13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97" name="AutoShape 13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98" name="AutoShape 13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7999" name="AutoShape 13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00" name="AutoShape 12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01" name="AutoShape 12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02" name="AutoShape 12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03" name="AutoShape 12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04" name="AutoShape 12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05" name="AutoShape 12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06" name="AutoShape 12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07" name="AutoShape 12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08" name="AutoShape 12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09" name="AutoShape 12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10" name="AutoShape 11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11" name="AutoShape 11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12" name="AutoShape 11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13" name="AutoShape 11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14" name="AutoShape 11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15" name="AutoShape 1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16" name="AutoShape 1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17" name="AutoShape 1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18" name="AutoShape 1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19" name="AutoShape 1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20" name="AutoShape 1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21" name="AutoShape 1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22" name="AutoShape 10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23" name="AutoShape 10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24" name="AutoShape 10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25" name="AutoShape 10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26" name="AutoShape 10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27" name="AutoShape 10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28" name="AutoShape 10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29" name="AutoShape 10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30" name="AutoShape 9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31" name="AutoShape 9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32" name="AutoShape 9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33" name="AutoShape 9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34" name="AutoShape 14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35" name="AutoShape 14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36" name="AutoShape 14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37" name="AutoShape 14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38" name="AutoShape 13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39" name="AutoShape 13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40" name="AutoShape 13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41" name="AutoShape 13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42" name="AutoShape 13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43" name="AutoShape 13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44" name="AutoShape 13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45" name="AutoShape 13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46" name="AutoShape 13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47" name="AutoShape 13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48" name="AutoShape 12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49" name="AutoShape 12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50" name="AutoShape 12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51" name="AutoShape 12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52" name="AutoShape 12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53" name="AutoShape 12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54" name="AutoShape 12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55" name="AutoShape 12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56" name="AutoShape 12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57" name="AutoShape 12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58" name="AutoShape 11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59" name="AutoShape 11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60" name="AutoShape 11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61" name="AutoShape 11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62" name="AutoShape 11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63" name="AutoShape 1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64" name="AutoShape 1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65" name="AutoShape 1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66" name="AutoShape 1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67" name="AutoShape 1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68" name="AutoShape 1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69" name="AutoShape 1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70" name="AutoShape 10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71" name="AutoShape 10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72" name="AutoShape 10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73" name="AutoShape 10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74" name="AutoShape 10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75" name="AutoShape 10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76" name="AutoShape 10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77" name="AutoShape 10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78" name="AutoShape 9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79" name="AutoShape 9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80" name="AutoShape 9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81" name="AutoShape 9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82" name="AutoShape 14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83" name="AutoShape 14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84" name="AutoShape 14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85" name="AutoShape 14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86" name="AutoShape 13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87" name="AutoShape 13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88" name="AutoShape 13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89" name="AutoShape 13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90" name="AutoShape 13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91" name="AutoShape 13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92" name="AutoShape 13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93" name="AutoShape 13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94" name="AutoShape 13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95" name="AutoShape 13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96" name="AutoShape 12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97" name="AutoShape 12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98" name="AutoShape 12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099" name="AutoShape 12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00" name="AutoShape 12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01" name="AutoShape 12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02" name="AutoShape 12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03" name="AutoShape 12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04" name="AutoShape 12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05" name="AutoShape 12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06" name="AutoShape 11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07" name="AutoShape 11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08" name="AutoShape 11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09" name="AutoShape 11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10" name="AutoShape 11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11" name="AutoShape 1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12" name="AutoShape 1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13" name="AutoShape 1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14" name="AutoShape 1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15" name="AutoShape 1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16" name="AutoShape 1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17" name="AutoShape 1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18" name="AutoShape 10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19" name="AutoShape 10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20" name="AutoShape 10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21" name="AutoShape 10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22" name="AutoShape 10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23" name="AutoShape 10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24" name="AutoShape 10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25" name="AutoShape 10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26" name="AutoShape 9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27" name="AutoShape 9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28" name="AutoShape 9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29" name="AutoShape 9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30" name="AutoShape 14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31" name="AutoShape 14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32" name="AutoShape 14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33" name="AutoShape 14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34" name="AutoShape 13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35" name="AutoShape 13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36" name="AutoShape 13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37" name="AutoShape 13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38" name="AutoShape 13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39" name="AutoShape 13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40" name="AutoShape 13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41" name="AutoShape 13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42" name="AutoShape 13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43" name="AutoShape 13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44" name="AutoShape 12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45" name="AutoShape 12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46" name="AutoShape 12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47" name="AutoShape 12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48" name="AutoShape 12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49" name="AutoShape 12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50" name="AutoShape 12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51" name="AutoShape 12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52" name="AutoShape 12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53" name="AutoShape 12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54" name="AutoShape 11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55" name="AutoShape 11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56" name="AutoShape 11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57" name="AutoShape 11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58" name="AutoShape 11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59" name="AutoShape 1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60" name="AutoShape 1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61" name="AutoShape 1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62" name="AutoShape 1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63" name="AutoShape 1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64" name="AutoShape 1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65" name="AutoShape 1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66" name="AutoShape 10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67" name="AutoShape 10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68" name="AutoShape 10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69" name="AutoShape 10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70" name="AutoShape 10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71" name="AutoShape 10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72" name="AutoShape 10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73" name="AutoShape 10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74" name="AutoShape 9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75" name="AutoShape 9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76" name="AutoShape 9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77" name="AutoShape 9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78" name="AutoShape 14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79" name="AutoShape 14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80" name="AutoShape 14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81" name="AutoShape 14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82" name="AutoShape 13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83" name="AutoShape 13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84" name="AutoShape 13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85" name="AutoShape 13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86" name="AutoShape 13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87" name="AutoShape 13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88" name="AutoShape 13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89" name="AutoShape 13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90" name="AutoShape 13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91" name="AutoShape 13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92" name="AutoShape 12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93" name="AutoShape 12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94" name="AutoShape 12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95" name="AutoShape 12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96" name="AutoShape 12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97" name="AutoShape 12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98" name="AutoShape 12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199" name="AutoShape 12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00" name="AutoShape 12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01" name="AutoShape 12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02" name="AutoShape 11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03" name="AutoShape 11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04" name="AutoShape 11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05" name="AutoShape 11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06" name="AutoShape 11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07" name="AutoShape 1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08" name="AutoShape 1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09" name="AutoShape 1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10" name="AutoShape 1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11" name="AutoShape 1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12" name="AutoShape 1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13" name="AutoShape 1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14" name="AutoShape 10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15" name="AutoShape 10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16" name="AutoShape 10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17" name="AutoShape 10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18" name="AutoShape 10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19" name="AutoShape 10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20" name="AutoShape 10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21" name="AutoShape 10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22" name="AutoShape 9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23" name="AutoShape 9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24" name="AutoShape 9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25" name="AutoShape 9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26" name="AutoShape 14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27" name="AutoShape 14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28" name="AutoShape 14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29" name="AutoShape 14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30" name="AutoShape 13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31" name="AutoShape 13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32" name="AutoShape 13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33" name="AutoShape 13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34" name="AutoShape 13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35" name="AutoShape 13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36" name="AutoShape 13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37" name="AutoShape 13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38" name="AutoShape 13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39" name="AutoShape 13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40" name="AutoShape 12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41" name="AutoShape 12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42" name="AutoShape 12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43" name="AutoShape 12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44" name="AutoShape 12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45" name="AutoShape 12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46" name="AutoShape 12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47" name="AutoShape 12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48" name="AutoShape 12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49" name="AutoShape 12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50" name="AutoShape 11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51" name="AutoShape 11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52" name="AutoShape 11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53" name="AutoShape 11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54" name="AutoShape 11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55" name="AutoShape 1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56" name="AutoShape 1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57" name="AutoShape 1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58" name="AutoShape 1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59" name="AutoShape 1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60" name="AutoShape 1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61" name="AutoShape 1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62" name="AutoShape 10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63" name="AutoShape 10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64" name="AutoShape 10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65" name="AutoShape 10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66" name="AutoShape 10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67" name="AutoShape 10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68" name="AutoShape 10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69" name="AutoShape 10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70" name="AutoShape 9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71" name="AutoShape 9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72" name="AutoShape 9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73" name="AutoShape 9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74" name="AutoShape 14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75" name="AutoShape 14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76" name="AutoShape 14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77" name="AutoShape 14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78" name="AutoShape 13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79" name="AutoShape 13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80" name="AutoShape 13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81" name="AutoShape 13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82" name="AutoShape 13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83" name="AutoShape 13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84" name="AutoShape 13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85" name="AutoShape 13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86" name="AutoShape 13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87" name="AutoShape 13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88" name="AutoShape 12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89" name="AutoShape 12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90" name="AutoShape 12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91" name="AutoShape 12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92" name="AutoShape 12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93" name="AutoShape 12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94" name="AutoShape 12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95" name="AutoShape 12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96" name="AutoShape 12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97" name="AutoShape 12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98" name="AutoShape 11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299" name="AutoShape 11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00" name="AutoShape 11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01" name="AutoShape 11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02" name="AutoShape 11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03" name="AutoShape 1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04" name="AutoShape 1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05" name="AutoShape 1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06" name="AutoShape 1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07" name="AutoShape 1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08" name="AutoShape 1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09" name="AutoShape 1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10" name="AutoShape 10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11" name="AutoShape 10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12" name="AutoShape 10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13" name="AutoShape 10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14" name="AutoShape 10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15" name="AutoShape 10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16" name="AutoShape 10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17" name="AutoShape 10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18" name="AutoShape 9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19" name="AutoShape 9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20" name="AutoShape 9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21" name="AutoShape 9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22" name="AutoShape 14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23" name="AutoShape 14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24" name="AutoShape 14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25" name="AutoShape 14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26" name="AutoShape 13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27" name="AutoShape 13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28" name="AutoShape 13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29" name="AutoShape 13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30" name="AutoShape 13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31" name="AutoShape 13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32" name="AutoShape 13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33" name="AutoShape 13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34" name="AutoShape 13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35" name="AutoShape 13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36" name="AutoShape 12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37" name="AutoShape 12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38" name="AutoShape 12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39" name="AutoShape 12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40" name="AutoShape 12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41" name="AutoShape 12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42" name="AutoShape 12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43" name="AutoShape 12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44" name="AutoShape 12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45" name="AutoShape 12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46" name="AutoShape 11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47" name="AutoShape 11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48" name="AutoShape 11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49" name="AutoShape 11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50" name="AutoShape 11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51" name="AutoShape 1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52" name="AutoShape 1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53" name="AutoShape 1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54" name="AutoShape 1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55" name="AutoShape 1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56" name="AutoShape 1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57" name="AutoShape 1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58" name="AutoShape 10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59" name="AutoShape 10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60" name="AutoShape 10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61" name="AutoShape 10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62" name="AutoShape 10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63" name="AutoShape 10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64" name="AutoShape 10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65" name="AutoShape 10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66" name="AutoShape 9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67" name="AutoShape 9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68" name="AutoShape 9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69" name="AutoShape 9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70" name="AutoShape 14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71" name="AutoShape 14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72" name="AutoShape 14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73" name="AutoShape 14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74" name="AutoShape 13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75" name="AutoShape 13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76" name="AutoShape 13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77" name="AutoShape 13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78" name="AutoShape 13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79" name="AutoShape 13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80" name="AutoShape 13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81" name="AutoShape 13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82" name="AutoShape 13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83" name="AutoShape 13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84" name="AutoShape 12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85" name="AutoShape 12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86" name="AutoShape 12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87" name="AutoShape 12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88" name="AutoShape 12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89" name="AutoShape 12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90" name="AutoShape 12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91" name="AutoShape 12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92" name="AutoShape 12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93" name="AutoShape 12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94" name="AutoShape 11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95" name="AutoShape 11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96" name="AutoShape 11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97" name="AutoShape 11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98" name="AutoShape 11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399" name="AutoShape 1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00" name="AutoShape 1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01" name="AutoShape 1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02" name="AutoShape 1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03" name="AutoShape 1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04" name="AutoShape 1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05" name="AutoShape 1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06" name="AutoShape 10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07" name="AutoShape 10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08" name="AutoShape 10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09" name="AutoShape 10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10" name="AutoShape 10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11" name="AutoShape 10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12" name="AutoShape 10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13" name="AutoShape 10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14" name="AutoShape 9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15" name="AutoShape 9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16" name="AutoShape 9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17" name="AutoShape 9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18" name="AutoShape 14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19" name="AutoShape 14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20" name="AutoShape 14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21" name="AutoShape 14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22" name="AutoShape 13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23" name="AutoShape 13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24" name="AutoShape 13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25" name="AutoShape 13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26" name="AutoShape 13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27" name="AutoShape 13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28" name="AutoShape 13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29" name="AutoShape 13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30" name="AutoShape 13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31" name="AutoShape 13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32" name="AutoShape 12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33" name="AutoShape 12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34" name="AutoShape 12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35" name="AutoShape 12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36" name="AutoShape 12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37" name="AutoShape 12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38" name="AutoShape 12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39" name="AutoShape 12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40" name="AutoShape 12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41" name="AutoShape 12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42" name="AutoShape 11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43" name="AutoShape 11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44" name="AutoShape 11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45" name="AutoShape 11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46" name="AutoShape 11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47" name="AutoShape 1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48" name="AutoShape 1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49" name="AutoShape 1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50" name="AutoShape 1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51" name="AutoShape 1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52" name="AutoShape 1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53" name="AutoShape 1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54" name="AutoShape 10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55" name="AutoShape 10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56" name="AutoShape 10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57" name="AutoShape 10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58" name="AutoShape 10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59" name="AutoShape 10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60" name="AutoShape 10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61" name="AutoShape 10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62" name="AutoShape 9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63" name="AutoShape 9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64" name="AutoShape 9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65" name="AutoShape 9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66" name="AutoShape 14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67" name="AutoShape 14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68" name="AutoShape 14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69" name="AutoShape 14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70" name="AutoShape 13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71" name="AutoShape 13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72" name="AutoShape 13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73" name="AutoShape 13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74" name="AutoShape 13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75" name="AutoShape 13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76" name="AutoShape 13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77" name="AutoShape 13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78" name="AutoShape 13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79" name="AutoShape 13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80" name="AutoShape 12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81" name="AutoShape 12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82" name="AutoShape 12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83" name="AutoShape 12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84" name="AutoShape 12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85" name="AutoShape 12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86" name="AutoShape 12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87" name="AutoShape 12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88" name="AutoShape 12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89" name="AutoShape 12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90" name="AutoShape 11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91" name="AutoShape 11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92" name="AutoShape 11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93" name="AutoShape 11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94" name="AutoShape 11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95" name="AutoShape 1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96" name="AutoShape 1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97" name="AutoShape 1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98" name="AutoShape 1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499" name="AutoShape 1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500" name="AutoShape 1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501" name="AutoShape 1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502" name="AutoShape 10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503" name="AutoShape 10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504" name="AutoShape 10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505" name="AutoShape 10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506" name="AutoShape 10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507" name="AutoShape 10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508" name="AutoShape 10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509" name="AutoShape 10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510" name="AutoShape 9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511" name="AutoShape 9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512" name="AutoShape 9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49</xdr:row>
      <xdr:rowOff>9525</xdr:rowOff>
    </xdr:to>
    <xdr:sp macro="" textlink="">
      <xdr:nvSpPr>
        <xdr:cNvPr id="8513" name="AutoShape 9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9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9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8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8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8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8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8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7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7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7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7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7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6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6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6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6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6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5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5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5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5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5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4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4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4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4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4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3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3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3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3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3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2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2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2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2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2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1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1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1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1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1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0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0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0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0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0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19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19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19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19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19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18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18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18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18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18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17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17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17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17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17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5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5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5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5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4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4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4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4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4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4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4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4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4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4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3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3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3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3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3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3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3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3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3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3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2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2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2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2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2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2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2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2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2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2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1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1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1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1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1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1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1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1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1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1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0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0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0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0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0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0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0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0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0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0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9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9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9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9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9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9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9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1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1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1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1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1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1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1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1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1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1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2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2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2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2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2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2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2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2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2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2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3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3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16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16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17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17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17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17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17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18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18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18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18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18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19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19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19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19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19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0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0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0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0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0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1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1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1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1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1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2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2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2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2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2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3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3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3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3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3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4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4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4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4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4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5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5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5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5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5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6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6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6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6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6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7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7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7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7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7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8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8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8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8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8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29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5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5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5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5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5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5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6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6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6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6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6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6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6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6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6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6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7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7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7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7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7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7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7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7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7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7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8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8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8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8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8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8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8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8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8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8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9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9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9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9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9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9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9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9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9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39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0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0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0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0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0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0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0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0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0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0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1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1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1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1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1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1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1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1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1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1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2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2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2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2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2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2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2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2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2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2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3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3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3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3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3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3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3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3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3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3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4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4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4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4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4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4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4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4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4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4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5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5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5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5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5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5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5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5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5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5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6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6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6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6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6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6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6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6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6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6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7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7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7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7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7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7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7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7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7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7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8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8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8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8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8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8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8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8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8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8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9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9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9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9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9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9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9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9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9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49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0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0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0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0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0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0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0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0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0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0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1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1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1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1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1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1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1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1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1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1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2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2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2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2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2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2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2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2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2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2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3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3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3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3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3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3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3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3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3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3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4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4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4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4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4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4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4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4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4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4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5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5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5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5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5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5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5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5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5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5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6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6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6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6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6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6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6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6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6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6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7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7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7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7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7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7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7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7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7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7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8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8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8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8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8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8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8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8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8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8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9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9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9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9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9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9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9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9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9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59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0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0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0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0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0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0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0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0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0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0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1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1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1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1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1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1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1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1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1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1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2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2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2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2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2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2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2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2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2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2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3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3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3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3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34" name="AutoShape 18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35" name="AutoShape 18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36" name="AutoShape 18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37" name="AutoShape 18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38" name="AutoShape 18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39" name="AutoShape 18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40" name="AutoShape 17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41" name="AutoShape 17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42" name="AutoShape 17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43" name="AutoShape 17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44" name="AutoShape 17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45" name="AutoShape 17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46" name="AutoShape 17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47" name="AutoShape 17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48" name="AutoShape 17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49" name="AutoShape 17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50" name="AutoShape 16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51" name="AutoShape 16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52" name="AutoShape 16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53" name="AutoShape 16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54" name="AutoShape 16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55" name="AutoShape 16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56" name="AutoShape 16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57" name="AutoShape 16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58" name="AutoShape 16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59" name="AutoShape 16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60" name="AutoShape 15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61" name="AutoShape 15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62" name="AutoShape 15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63" name="AutoShape 15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64" name="AutoShape 15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65" name="AutoShape 15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66" name="AutoShape 15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67" name="AutoShape 15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68" name="AutoShape 15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69" name="AutoShape 15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70" name="AutoShape 14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71" name="AutoShape 14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72" name="AutoShape 14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73" name="AutoShape 14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74" name="AutoShape 14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75" name="AutoShape 14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76" name="AutoShape 14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77" name="AutoShape 14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78" name="AutoShape 14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79" name="AutoShape 14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80" name="AutoShape 13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81" name="AutoShape 13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82" name="AutoShape 13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83" name="AutoShape 13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84" name="AutoShape 13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85" name="AutoShape 13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86" name="AutoShape 13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87" name="AutoShape 13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88" name="AutoShape 13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89" name="AutoShape 13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90" name="AutoShape 12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91" name="AutoShape 12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92" name="AutoShape 12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93" name="AutoShape 12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94" name="AutoShape 12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95" name="AutoShape 12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96" name="AutoShape 18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97" name="AutoShape 18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98" name="AutoShape 18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699" name="AutoShape 18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700" name="AutoShape 18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701" name="AutoShape 18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702" name="AutoShape 17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703" name="AutoShape 17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704" name="AutoShape 17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705" name="AutoShape 17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706" name="AutoShape 17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707" name="AutoShape 17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708" name="AutoShape 17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709" name="AutoShape 17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710" name="AutoShape 17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711" name="AutoShape 17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712" name="AutoShape 16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713" name="AutoShape 16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714" name="AutoShape 16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715" name="AutoShape 16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716" name="AutoShape 16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717" name="AutoShape 16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718" name="AutoShape 16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719" name="AutoShape 16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720" name="AutoShape 16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721" name="AutoShape 16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722" name="AutoShape 15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723" name="AutoShape 15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724" name="AutoShape 15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725" name="AutoShape 15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726" name="AutoShape 15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727" name="AutoShape 15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728" name="AutoShape 15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729" name="AutoShape 15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730" name="AutoShape 15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731" name="AutoShape 15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732" name="AutoShape 14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733" name="AutoShape 14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734" name="AutoShape 14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735" name="AutoShape 14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736" name="AutoShape 14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737" name="AutoShape 14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738" name="AutoShape 14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739" name="AutoShape 14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740" name="AutoShape 14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741" name="AutoShape 14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742" name="AutoShape 13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743" name="AutoShape 13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744" name="AutoShape 13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745" name="AutoShape 13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746" name="AutoShape 13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747" name="AutoShape 13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748" name="AutoShape 13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749" name="AutoShape 13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750" name="AutoShape 13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751" name="AutoShape 13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752" name="AutoShape 12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753" name="AutoShape 12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754" name="AutoShape 12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755" name="AutoShape 12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756" name="AutoShape 12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</xdr:colOff>
      <xdr:row>44</xdr:row>
      <xdr:rowOff>66675</xdr:rowOff>
    </xdr:to>
    <xdr:sp macro="" textlink="">
      <xdr:nvSpPr>
        <xdr:cNvPr id="7757" name="AutoShape 12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9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9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9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8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8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8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8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8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7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7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7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7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7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6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6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6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6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6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5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5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5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5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5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4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4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4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4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4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3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3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3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3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3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2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2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2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2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2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1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1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1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1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1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0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0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0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0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0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19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19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19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4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4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4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4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4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3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3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3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3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3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3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3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3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3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3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2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2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2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2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2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2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2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2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2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2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1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1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1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1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1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1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1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1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1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1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0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0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0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0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0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0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0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0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0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0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9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9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9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9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9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1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1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1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1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1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1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1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1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1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1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2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2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2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2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2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2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2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2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2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2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3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3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8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9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9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4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4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4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4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4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5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5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19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19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19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19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19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0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0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0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0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0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1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1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1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1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1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2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2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2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2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2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3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3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3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3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3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4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4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4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4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4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5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5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5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5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5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6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6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6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6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6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7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7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7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7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7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8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8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8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28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5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5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5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5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5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5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5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5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6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6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6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6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6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6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6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6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6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6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7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7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7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7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7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7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7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7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7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7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8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8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8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8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8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8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8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8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8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8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9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9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9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9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9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9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9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9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9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39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0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0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0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0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0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0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0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0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0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0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1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1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1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1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1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1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1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1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1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1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2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2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2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2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2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2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2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2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2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2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3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3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3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3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3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3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3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3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3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3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4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4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4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4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4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4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4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4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4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4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5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5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5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5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5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5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5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5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5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5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6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6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6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6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6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6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6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6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6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6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7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7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7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7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7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7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7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7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7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7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8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8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8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8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8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8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8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8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8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8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9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9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9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9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9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9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9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9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9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49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0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0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0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0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0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0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0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0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0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0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1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1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1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1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1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1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1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1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1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1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2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2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2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2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2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2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2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2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2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2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3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3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3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3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3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3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3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3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3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3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4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4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4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4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4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4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4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4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4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4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5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5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5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5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5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5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5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5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5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5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60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61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62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63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64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65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66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67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68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69" name="_x0000_t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70" name="AutoShape 15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71" name="AutoShape 15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72" name="AutoShape 15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73" name="AutoShape 14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74" name="AutoShape 14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75" name="AutoShape 14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76" name="AutoShape 14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77" name="AutoShape 14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78" name="AutoShape 14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79" name="AutoShape 14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80" name="AutoShape 14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81" name="AutoShape 14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82" name="AutoShape 14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83" name="AutoShape 13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84" name="AutoShape 13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85" name="AutoShape 13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86" name="AutoShape 13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87" name="AutoShape 13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88" name="AutoShape 13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89" name="AutoShape 13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90" name="AutoShape 13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91" name="AutoShape 13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92" name="AutoShape 13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93" name="AutoShape 12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94" name="AutoShape 12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95" name="AutoShape 12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96" name="AutoShape 12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97" name="AutoShape 12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98" name="AutoShape 12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599" name="AutoShape 12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600" name="AutoShape 12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601" name="AutoShape 12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602" name="AutoShape 12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603" name="AutoShape 11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604" name="AutoShape 11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605" name="AutoShape 11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606" name="AutoShape 11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607" name="AutoShape 11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608" name="AutoShape 1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609" name="AutoShape 1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610" name="AutoShape 1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611" name="AutoShape 1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612" name="AutoShape 1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613" name="AutoShape 1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614" name="AutoShape 1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615" name="AutoShape 10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616" name="AutoShape 10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617" name="AutoShape 10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618" name="AutoShape 10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619" name="AutoShape 10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620" name="AutoShape 10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621" name="AutoShape 15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622" name="AutoShape 15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623" name="AutoShape 15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624" name="AutoShape 14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625" name="AutoShape 14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626" name="AutoShape 14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627" name="AutoShape 14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628" name="AutoShape 14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629" name="AutoShape 14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630" name="AutoShape 14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631" name="AutoShape 14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632" name="AutoShape 14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633" name="AutoShape 14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634" name="AutoShape 13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635" name="AutoShape 13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636" name="AutoShape 13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637" name="AutoShape 13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638" name="AutoShape 13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639" name="AutoShape 13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640" name="AutoShape 13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641" name="AutoShape 13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642" name="AutoShape 13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643" name="AutoShape 13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644" name="AutoShape 12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645" name="AutoShape 12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646" name="AutoShape 12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647" name="AutoShape 12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648" name="AutoShape 12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649" name="AutoShape 12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650" name="AutoShape 12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651" name="AutoShape 12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652" name="AutoShape 12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653" name="AutoShape 12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654" name="AutoShape 11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655" name="AutoShape 11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656" name="AutoShape 11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657" name="AutoShape 11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658" name="AutoShape 11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659" name="AutoShape 1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660" name="AutoShape 1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661" name="AutoShape 1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662" name="AutoShape 1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663" name="AutoShape 1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664" name="AutoShape 1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665" name="AutoShape 1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666" name="AutoShape 10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667" name="AutoShape 10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668" name="AutoShape 10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669" name="AutoShape 10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670" name="AutoShape 10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695325</xdr:colOff>
      <xdr:row>48</xdr:row>
      <xdr:rowOff>171450</xdr:rowOff>
    </xdr:to>
    <xdr:sp macro="" textlink="">
      <xdr:nvSpPr>
        <xdr:cNvPr id="8671" name="AutoShape 10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12" name="AutoShape 16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13" name="AutoShape 16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14" name="AutoShape 15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15" name="AutoShape 15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16" name="AutoShape 15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17" name="AutoShape 15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18" name="AutoShape 15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19" name="AutoShape 15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20" name="AutoShape 15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21" name="AutoShape 15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22" name="AutoShape 15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23" name="AutoShape 15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24" name="AutoShape 14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25" name="AutoShape 14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26" name="AutoShape 14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27" name="AutoShape 14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28" name="AutoShape 14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29" name="AutoShape 14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30" name="AutoShape 14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31" name="AutoShape 14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32" name="AutoShape 14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33" name="AutoShape 14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34" name="AutoShape 13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35" name="AutoShape 13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36" name="AutoShape 13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37" name="AutoShape 13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38" name="AutoShape 13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39" name="AutoShape 13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40" name="AutoShape 13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41" name="AutoShape 13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42" name="AutoShape 13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43" name="AutoShape 13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44" name="AutoShape 12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45" name="AutoShape 12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46" name="AutoShape 12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47" name="AutoShape 12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48" name="AutoShape 12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49" name="AutoShape 12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50" name="AutoShape 12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51" name="AutoShape 12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52" name="AutoShape 12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53" name="AutoShape 12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54" name="AutoShape 11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55" name="AutoShape 11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56" name="AutoShape 11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57" name="AutoShape 11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58" name="AutoShape 11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59" name="AutoShape 1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60" name="AutoShape 1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61" name="AutoShape 1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62" name="AutoShape 1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63" name="AutoShape 1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64" name="AutoShape 1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65" name="AutoShape 1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66" name="AutoShape 16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67" name="AutoShape 16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68" name="AutoShape 15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69" name="AutoShape 15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70" name="AutoShape 15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71" name="AutoShape 15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72" name="AutoShape 15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73" name="AutoShape 15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74" name="AutoShape 15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75" name="AutoShape 15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76" name="AutoShape 15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77" name="AutoShape 15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78" name="AutoShape 14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79" name="AutoShape 14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80" name="AutoShape 14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81" name="AutoShape 14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82" name="AutoShape 14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83" name="AutoShape 14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84" name="AutoShape 14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85" name="AutoShape 14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86" name="AutoShape 14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87" name="AutoShape 14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88" name="AutoShape 13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89" name="AutoShape 13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90" name="AutoShape 13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91" name="AutoShape 13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92" name="AutoShape 13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93" name="AutoShape 13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94" name="AutoShape 13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95" name="AutoShape 13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96" name="AutoShape 13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97" name="AutoShape 13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98" name="AutoShape 12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599" name="AutoShape 12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00" name="AutoShape 12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01" name="AutoShape 12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02" name="AutoShape 12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03" name="AutoShape 12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04" name="AutoShape 12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05" name="AutoShape 12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06" name="AutoShape 12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07" name="AutoShape 12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08" name="AutoShape 11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09" name="AutoShape 11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10" name="AutoShape 11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11" name="AutoShape 11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12" name="AutoShape 11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13" name="AutoShape 1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14" name="AutoShape 1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15" name="AutoShape 1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16" name="AutoShape 1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17" name="AutoShape 1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18" name="AutoShape 1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19" name="AutoShape 1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20" name="AutoShape 16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21" name="AutoShape 16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22" name="AutoShape 15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23" name="AutoShape 15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24" name="AutoShape 15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25" name="AutoShape 15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26" name="AutoShape 15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27" name="AutoShape 15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28" name="AutoShape 15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29" name="AutoShape 15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30" name="AutoShape 15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31" name="AutoShape 15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32" name="AutoShape 14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33" name="AutoShape 14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34" name="AutoShape 14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35" name="AutoShape 14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36" name="AutoShape 14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37" name="AutoShape 14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38" name="AutoShape 14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39" name="AutoShape 14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40" name="AutoShape 14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41" name="AutoShape 14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42" name="AutoShape 13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43" name="AutoShape 13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44" name="AutoShape 13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45" name="AutoShape 13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46" name="AutoShape 13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47" name="AutoShape 13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48" name="AutoShape 13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49" name="AutoShape 13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50" name="AutoShape 13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51" name="AutoShape 13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52" name="AutoShape 12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53" name="AutoShape 12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54" name="AutoShape 12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55" name="AutoShape 12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56" name="AutoShape 12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57" name="AutoShape 12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58" name="AutoShape 12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59" name="AutoShape 12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60" name="AutoShape 12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61" name="AutoShape 12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62" name="AutoShape 11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63" name="AutoShape 11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64" name="AutoShape 11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65" name="AutoShape 11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66" name="AutoShape 11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67" name="AutoShape 1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68" name="AutoShape 1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69" name="AutoShape 1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70" name="AutoShape 1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71" name="AutoShape 1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72" name="AutoShape 1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73" name="AutoShape 1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74" name="AutoShape 16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75" name="AutoShape 16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76" name="AutoShape 15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77" name="AutoShape 15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78" name="AutoShape 15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79" name="AutoShape 15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80" name="AutoShape 15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81" name="AutoShape 15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82" name="AutoShape 15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83" name="AutoShape 15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84" name="AutoShape 15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85" name="AutoShape 15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86" name="AutoShape 14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87" name="AutoShape 14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88" name="AutoShape 14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89" name="AutoShape 14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90" name="AutoShape 14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91" name="AutoShape 14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92" name="AutoShape 14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93" name="AutoShape 14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94" name="AutoShape 14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95" name="AutoShape 14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96" name="AutoShape 13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97" name="AutoShape 13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98" name="AutoShape 13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699" name="AutoShape 13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700" name="AutoShape 13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701" name="AutoShape 13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702" name="AutoShape 13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703" name="AutoShape 13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704" name="AutoShape 13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705" name="AutoShape 13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706" name="AutoShape 12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707" name="AutoShape 12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708" name="AutoShape 12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709" name="AutoShape 12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710" name="AutoShape 12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711" name="AutoShape 12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712" name="AutoShape 12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713" name="AutoShape 12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714" name="AutoShape 12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715" name="AutoShape 12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716" name="AutoShape 11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717" name="AutoShape 11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718" name="AutoShape 11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719" name="AutoShape 11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720" name="AutoShape 11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721" name="AutoShape 1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722" name="AutoShape 1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723" name="AutoShape 1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724" name="AutoShape 1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725" name="AutoShape 1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726" name="AutoShape 1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727" name="AutoShape 1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728" name="AutoShape 3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729" name="AutoShape 3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730" name="AutoShape 3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731" name="AutoShape 3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732" name="AutoShape 3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733" name="AutoShape 3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734" name="AutoShape 3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735" name="AutoShape 30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672" name="AutoShape 30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673" name="AutoShape 30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674" name="AutoShape 30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675" name="AutoShape 30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676" name="AutoShape 30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677" name="AutoShape 30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678" name="AutoShape 30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679" name="AutoShape 29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680" name="AutoShape 29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681" name="AutoShape 29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682" name="AutoShape 29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683" name="AutoShape 29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684" name="AutoShape 29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685" name="AutoShape 29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686" name="AutoShape 29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687" name="AutoShape 29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688" name="AutoShape 29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689" name="AutoShape 28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690" name="AutoShape 28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691" name="AutoShape 28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692" name="AutoShape 28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693" name="AutoShape 28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694" name="AutoShape 28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695" name="AutoShape 28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696" name="AutoShape 28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697" name="AutoShape 28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698" name="AutoShape 28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699" name="AutoShape 27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00" name="AutoShape 27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01" name="AutoShape 27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02" name="AutoShape 27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03" name="AutoShape 27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04" name="AutoShape 27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05" name="AutoShape 27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06" name="AutoShape 27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07" name="AutoShape 27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08" name="AutoShape 27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09" name="AutoShape 26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10" name="AutoShape 26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11" name="AutoShape 26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12" name="AutoShape 26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13" name="AutoShape 26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14" name="AutoShape 26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15" name="AutoShape 26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16" name="AutoShape 26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17" name="AutoShape 26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18" name="AutoShape 3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19" name="AutoShape 3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20" name="AutoShape 3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21" name="AutoShape 3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22" name="AutoShape 3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23" name="AutoShape 3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24" name="AutoShape 3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25" name="AutoShape 30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26" name="AutoShape 30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27" name="AutoShape 30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28" name="AutoShape 30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29" name="AutoShape 30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30" name="AutoShape 30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31" name="AutoShape 30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32" name="AutoShape 30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33" name="AutoShape 29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34" name="AutoShape 29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35" name="AutoShape 29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36" name="AutoShape 29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37" name="AutoShape 29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38" name="AutoShape 29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39" name="AutoShape 29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40" name="AutoShape 29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41" name="AutoShape 29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42" name="AutoShape 29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43" name="AutoShape 28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44" name="AutoShape 28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45" name="AutoShape 28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46" name="AutoShape 28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47" name="AutoShape 28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48" name="AutoShape 28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49" name="AutoShape 28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50" name="AutoShape 28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51" name="AutoShape 28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52" name="AutoShape 28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53" name="AutoShape 27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54" name="AutoShape 27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55" name="AutoShape 27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56" name="AutoShape 27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57" name="AutoShape 27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58" name="AutoShape 27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59" name="AutoShape 27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60" name="AutoShape 27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61" name="AutoShape 27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62" name="AutoShape 27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63" name="AutoShape 26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64" name="AutoShape 26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65" name="AutoShape 26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66" name="AutoShape 26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67" name="AutoShape 26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68" name="AutoShape 26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69" name="AutoShape 26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70" name="AutoShape 26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71" name="AutoShape 26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72" name="AutoShape 3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73" name="AutoShape 3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74" name="AutoShape 3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75" name="AutoShape 3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76" name="AutoShape 3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77" name="AutoShape 3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78" name="AutoShape 3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79" name="AutoShape 30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80" name="AutoShape 30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81" name="AutoShape 30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82" name="AutoShape 30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83" name="AutoShape 30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84" name="AutoShape 30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85" name="AutoShape 30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86" name="AutoShape 30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87" name="AutoShape 29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88" name="AutoShape 29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89" name="AutoShape 29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90" name="AutoShape 29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91" name="AutoShape 29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92" name="AutoShape 29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93" name="AutoShape 29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94" name="AutoShape 29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95" name="AutoShape 29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96" name="AutoShape 29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97" name="AutoShape 28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98" name="AutoShape 28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799" name="AutoShape 28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00" name="AutoShape 28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01" name="AutoShape 28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02" name="AutoShape 28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03" name="AutoShape 28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04" name="AutoShape 28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05" name="AutoShape 28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06" name="AutoShape 28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07" name="AutoShape 27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08" name="AutoShape 27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09" name="AutoShape 27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10" name="AutoShape 27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11" name="AutoShape 27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12" name="AutoShape 27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13" name="AutoShape 27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14" name="AutoShape 27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15" name="AutoShape 27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16" name="AutoShape 27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17" name="AutoShape 26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18" name="AutoShape 26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19" name="AutoShape 26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20" name="AutoShape 26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21" name="AutoShape 26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22" name="AutoShape 26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23" name="AutoShape 26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24" name="AutoShape 26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25" name="AutoShape 26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26" name="AutoShape 3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27" name="AutoShape 3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28" name="AutoShape 3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29" name="AutoShape 3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30" name="AutoShape 3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31" name="AutoShape 3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32" name="AutoShape 3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33" name="AutoShape 30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34" name="AutoShape 30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35" name="AutoShape 30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36" name="AutoShape 30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37" name="AutoShape 30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38" name="AutoShape 30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39" name="AutoShape 30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40" name="AutoShape 30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41" name="AutoShape 29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42" name="AutoShape 29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43" name="AutoShape 29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44" name="AutoShape 29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45" name="AutoShape 29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46" name="AutoShape 29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47" name="AutoShape 29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48" name="AutoShape 29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49" name="AutoShape 29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50" name="AutoShape 29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51" name="AutoShape 28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52" name="AutoShape 28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53" name="AutoShape 28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54" name="AutoShape 28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55" name="AutoShape 28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56" name="AutoShape 28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57" name="AutoShape 28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58" name="AutoShape 28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59" name="AutoShape 28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60" name="AutoShape 28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61" name="AutoShape 27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62" name="AutoShape 27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63" name="AutoShape 27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64" name="AutoShape 27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65" name="AutoShape 27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66" name="AutoShape 27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67" name="AutoShape 27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68" name="AutoShape 27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69" name="AutoShape 27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70" name="AutoShape 27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71" name="AutoShape 26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72" name="AutoShape 26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73" name="AutoShape 26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74" name="AutoShape 26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75" name="AutoShape 26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76" name="AutoShape 26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77" name="AutoShape 26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78" name="AutoShape 26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79" name="AutoShape 26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80" name="AutoShape 3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81" name="AutoShape 3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82" name="AutoShape 3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83" name="AutoShape 3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84" name="AutoShape 3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85" name="AutoShape 3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86" name="AutoShape 3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87" name="AutoShape 30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88" name="AutoShape 30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89" name="AutoShape 30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90" name="AutoShape 30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91" name="AutoShape 30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92" name="AutoShape 30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93" name="AutoShape 30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94" name="AutoShape 30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95" name="AutoShape 29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96" name="AutoShape 29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97" name="AutoShape 29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98" name="AutoShape 29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899" name="AutoShape 29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00" name="AutoShape 29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01" name="AutoShape 29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02" name="AutoShape 29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03" name="AutoShape 29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04" name="AutoShape 29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05" name="AutoShape 28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06" name="AutoShape 28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07" name="AutoShape 28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08" name="AutoShape 28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09" name="AutoShape 28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10" name="AutoShape 28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11" name="AutoShape 28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12" name="AutoShape 28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13" name="AutoShape 28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14" name="AutoShape 28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15" name="AutoShape 27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16" name="AutoShape 27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17" name="AutoShape 27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18" name="AutoShape 27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19" name="AutoShape 27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20" name="AutoShape 27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21" name="AutoShape 27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22" name="AutoShape 27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23" name="AutoShape 27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24" name="AutoShape 27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25" name="AutoShape 26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26" name="AutoShape 26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27" name="AutoShape 26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28" name="AutoShape 26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29" name="AutoShape 26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30" name="AutoShape 26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31" name="AutoShape 26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32" name="AutoShape 26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33" name="AutoShape 26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34" name="AutoShape 3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35" name="AutoShape 3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36" name="AutoShape 3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37" name="AutoShape 3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38" name="AutoShape 3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39" name="AutoShape 3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40" name="AutoShape 3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41" name="AutoShape 30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42" name="AutoShape 30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43" name="AutoShape 30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44" name="AutoShape 30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45" name="AutoShape 30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46" name="AutoShape 30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47" name="AutoShape 30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48" name="AutoShape 30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49" name="AutoShape 29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50" name="AutoShape 29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51" name="AutoShape 29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52" name="AutoShape 29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53" name="AutoShape 29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54" name="AutoShape 29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55" name="AutoShape 29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56" name="AutoShape 29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57" name="AutoShape 29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58" name="AutoShape 29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59" name="AutoShape 28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60" name="AutoShape 28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61" name="AutoShape 28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62" name="AutoShape 28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63" name="AutoShape 28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64" name="AutoShape 28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65" name="AutoShape 28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66" name="AutoShape 28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67" name="AutoShape 28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68" name="AutoShape 28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69" name="AutoShape 27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70" name="AutoShape 27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71" name="AutoShape 27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72" name="AutoShape 27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73" name="AutoShape 27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74" name="AutoShape 27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75" name="AutoShape 27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76" name="AutoShape 27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77" name="AutoShape 27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78" name="AutoShape 27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79" name="AutoShape 26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80" name="AutoShape 26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81" name="AutoShape 26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82" name="AutoShape 26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83" name="AutoShape 26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84" name="AutoShape 26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85" name="AutoShape 26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86" name="AutoShape 26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87" name="AutoShape 26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88" name="AutoShape 3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89" name="AutoShape 3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90" name="AutoShape 3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91" name="AutoShape 3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92" name="AutoShape 3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93" name="AutoShape 3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94" name="AutoShape 3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95" name="AutoShape 30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96" name="AutoShape 30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97" name="AutoShape 30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98" name="AutoShape 30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8999" name="AutoShape 30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00" name="AutoShape 30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01" name="AutoShape 30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02" name="AutoShape 30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03" name="AutoShape 29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04" name="AutoShape 29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05" name="AutoShape 29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06" name="AutoShape 29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07" name="AutoShape 29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08" name="AutoShape 29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09" name="AutoShape 29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10" name="AutoShape 29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11" name="AutoShape 29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12" name="AutoShape 29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13" name="AutoShape 28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14" name="AutoShape 28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15" name="AutoShape 28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16" name="AutoShape 28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17" name="AutoShape 28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18" name="AutoShape 28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19" name="AutoShape 28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20" name="AutoShape 28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21" name="AutoShape 28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22" name="AutoShape 28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23" name="AutoShape 27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24" name="AutoShape 27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25" name="AutoShape 27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26" name="AutoShape 27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27" name="AutoShape 27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28" name="AutoShape 27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29" name="AutoShape 27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30" name="AutoShape 27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31" name="AutoShape 27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32" name="AutoShape 27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33" name="AutoShape 26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34" name="AutoShape 26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35" name="AutoShape 26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36" name="AutoShape 26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37" name="AutoShape 26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38" name="AutoShape 26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39" name="AutoShape 26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40" name="AutoShape 26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41" name="AutoShape 26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42" name="AutoShape 3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43" name="AutoShape 3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44" name="AutoShape 3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45" name="AutoShape 3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46" name="AutoShape 3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47" name="AutoShape 3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48" name="AutoShape 3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49" name="AutoShape 30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50" name="AutoShape 30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51" name="AutoShape 30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52" name="AutoShape 30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53" name="AutoShape 30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54" name="AutoShape 30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55" name="AutoShape 30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56" name="AutoShape 30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57" name="AutoShape 29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58" name="AutoShape 29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59" name="AutoShape 29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60" name="AutoShape 29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61" name="AutoShape 29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62" name="AutoShape 29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63" name="AutoShape 29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64" name="AutoShape 29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65" name="AutoShape 29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66" name="AutoShape 29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67" name="AutoShape 28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68" name="AutoShape 28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69" name="AutoShape 28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70" name="AutoShape 28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71" name="AutoShape 28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72" name="AutoShape 28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73" name="AutoShape 28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74" name="AutoShape 28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75" name="AutoShape 28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76" name="AutoShape 28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77" name="AutoShape 27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78" name="AutoShape 27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79" name="AutoShape 27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80" name="AutoShape 27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81" name="AutoShape 27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82" name="AutoShape 27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83" name="AutoShape 27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84" name="AutoShape 27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85" name="AutoShape 27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86" name="AutoShape 27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87" name="AutoShape 26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88" name="AutoShape 26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89" name="AutoShape 26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90" name="AutoShape 26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91" name="AutoShape 26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92" name="AutoShape 26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93" name="AutoShape 26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94" name="AutoShape 26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95" name="AutoShape 26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96" name="AutoShape 3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97" name="AutoShape 3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98" name="AutoShape 3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099" name="AutoShape 3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00" name="AutoShape 3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01" name="AutoShape 3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02" name="AutoShape 3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03" name="AutoShape 30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04" name="AutoShape 30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05" name="AutoShape 30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06" name="AutoShape 30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07" name="AutoShape 30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08" name="AutoShape 30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09" name="AutoShape 30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10" name="AutoShape 30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11" name="AutoShape 29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12" name="AutoShape 29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13" name="AutoShape 29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14" name="AutoShape 29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15" name="AutoShape 29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16" name="AutoShape 29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17" name="AutoShape 29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18" name="AutoShape 29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19" name="AutoShape 29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20" name="AutoShape 29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21" name="AutoShape 28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22" name="AutoShape 28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23" name="AutoShape 28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24" name="AutoShape 28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25" name="AutoShape 28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26" name="AutoShape 28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27" name="AutoShape 28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28" name="AutoShape 28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29" name="AutoShape 28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30" name="AutoShape 28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31" name="AutoShape 27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32" name="AutoShape 27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33" name="AutoShape 27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34" name="AutoShape 27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35" name="AutoShape 27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36" name="AutoShape 27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37" name="AutoShape 27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38" name="AutoShape 27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39" name="AutoShape 27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40" name="AutoShape 27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41" name="AutoShape 26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42" name="AutoShape 26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43" name="AutoShape 26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44" name="AutoShape 26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45" name="AutoShape 26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46" name="AutoShape 26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47" name="AutoShape 26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48" name="AutoShape 26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49" name="AutoShape 26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50" name="AutoShape 3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51" name="AutoShape 3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52" name="AutoShape 3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53" name="AutoShape 3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54" name="AutoShape 3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55" name="AutoShape 3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56" name="AutoShape 3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57" name="AutoShape 30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58" name="AutoShape 30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59" name="AutoShape 30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60" name="AutoShape 30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61" name="AutoShape 30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62" name="AutoShape 30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63" name="AutoShape 30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64" name="AutoShape 30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65" name="AutoShape 29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66" name="AutoShape 29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67" name="AutoShape 29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68" name="AutoShape 29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69" name="AutoShape 29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70" name="AutoShape 29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71" name="AutoShape 29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72" name="AutoShape 29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73" name="AutoShape 29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74" name="AutoShape 29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75" name="AutoShape 28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76" name="AutoShape 28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77" name="AutoShape 28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78" name="AutoShape 28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79" name="AutoShape 28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80" name="AutoShape 28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81" name="AutoShape 28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82" name="AutoShape 28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83" name="AutoShape 28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84" name="AutoShape 28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85" name="AutoShape 27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86" name="AutoShape 27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87" name="AutoShape 27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88" name="AutoShape 27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89" name="AutoShape 27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90" name="AutoShape 27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91" name="AutoShape 27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92" name="AutoShape 27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93" name="AutoShape 27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94" name="AutoShape 27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95" name="AutoShape 26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96" name="AutoShape 26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97" name="AutoShape 26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98" name="AutoShape 26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199" name="AutoShape 26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00" name="AutoShape 26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01" name="AutoShape 26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02" name="AutoShape 26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03" name="AutoShape 26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04" name="AutoShape 3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05" name="AutoShape 3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06" name="AutoShape 3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07" name="AutoShape 3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08" name="AutoShape 3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09" name="AutoShape 3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10" name="AutoShape 3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11" name="AutoShape 30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12" name="AutoShape 30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13" name="AutoShape 30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14" name="AutoShape 30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15" name="AutoShape 30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16" name="AutoShape 30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17" name="AutoShape 30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18" name="AutoShape 30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19" name="AutoShape 29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20" name="AutoShape 29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21" name="AutoShape 29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22" name="AutoShape 29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23" name="AutoShape 29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24" name="AutoShape 29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25" name="AutoShape 29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26" name="AutoShape 29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27" name="AutoShape 29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28" name="AutoShape 29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29" name="AutoShape 28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30" name="AutoShape 28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31" name="AutoShape 28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32" name="AutoShape 28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33" name="AutoShape 28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34" name="AutoShape 28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35" name="AutoShape 28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36" name="AutoShape 28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37" name="AutoShape 28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38" name="AutoShape 28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39" name="AutoShape 27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40" name="AutoShape 27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41" name="AutoShape 27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42" name="AutoShape 27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43" name="AutoShape 27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44" name="AutoShape 27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45" name="AutoShape 27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46" name="AutoShape 27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47" name="AutoShape 27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48" name="AutoShape 27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49" name="AutoShape 26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50" name="AutoShape 26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51" name="AutoShape 26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52" name="AutoShape 26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53" name="AutoShape 26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54" name="AutoShape 26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55" name="AutoShape 26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56" name="AutoShape 26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57" name="AutoShape 26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58" name="AutoShape 3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59" name="AutoShape 3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60" name="AutoShape 3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61" name="AutoShape 3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62" name="AutoShape 3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63" name="AutoShape 3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64" name="AutoShape 3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65" name="AutoShape 30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66" name="AutoShape 30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67" name="AutoShape 30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68" name="AutoShape 30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69" name="AutoShape 30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70" name="AutoShape 30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71" name="AutoShape 30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72" name="AutoShape 30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73" name="AutoShape 29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74" name="AutoShape 29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75" name="AutoShape 29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76" name="AutoShape 29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77" name="AutoShape 29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78" name="AutoShape 29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79" name="AutoShape 29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80" name="AutoShape 29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81" name="AutoShape 29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82" name="AutoShape 29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83" name="AutoShape 28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84" name="AutoShape 28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85" name="AutoShape 28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86" name="AutoShape 28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87" name="AutoShape 28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88" name="AutoShape 28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89" name="AutoShape 28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90" name="AutoShape 28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91" name="AutoShape 28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92" name="AutoShape 28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93" name="AutoShape 27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94" name="AutoShape 27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95" name="AutoShape 27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96" name="AutoShape 27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97" name="AutoShape 27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98" name="AutoShape 27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299" name="AutoShape 27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00" name="AutoShape 27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01" name="AutoShape 27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02" name="AutoShape 27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03" name="AutoShape 26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04" name="AutoShape 26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05" name="AutoShape 26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06" name="AutoShape 26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07" name="AutoShape 26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08" name="AutoShape 26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09" name="AutoShape 26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10" name="AutoShape 26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11" name="AutoShape 26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12" name="AutoShape 3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13" name="AutoShape 3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14" name="AutoShape 3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15" name="AutoShape 3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16" name="AutoShape 3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17" name="AutoShape 3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18" name="AutoShape 3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19" name="AutoShape 30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20" name="AutoShape 30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21" name="AutoShape 30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22" name="AutoShape 30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23" name="AutoShape 30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24" name="AutoShape 30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25" name="AutoShape 30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26" name="AutoShape 30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27" name="AutoShape 29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28" name="AutoShape 29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29" name="AutoShape 29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30" name="AutoShape 29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31" name="AutoShape 29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32" name="AutoShape 29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33" name="AutoShape 29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34" name="AutoShape 29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35" name="AutoShape 29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36" name="AutoShape 29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37" name="AutoShape 28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38" name="AutoShape 28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39" name="AutoShape 28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40" name="AutoShape 28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41" name="AutoShape 28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42" name="AutoShape 28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43" name="AutoShape 28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44" name="AutoShape 28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45" name="AutoShape 28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46" name="AutoShape 28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47" name="AutoShape 27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48" name="AutoShape 27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49" name="AutoShape 27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50" name="AutoShape 27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51" name="AutoShape 27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52" name="AutoShape 27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53" name="AutoShape 27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54" name="AutoShape 27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55" name="AutoShape 27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56" name="AutoShape 27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57" name="AutoShape 26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58" name="AutoShape 26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59" name="AutoShape 26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60" name="AutoShape 26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61" name="AutoShape 26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62" name="AutoShape 26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63" name="AutoShape 26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64" name="AutoShape 26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65" name="AutoShape 26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66" name="AutoShape 3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67" name="AutoShape 3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68" name="AutoShape 3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69" name="AutoShape 3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70" name="AutoShape 3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71" name="AutoShape 3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72" name="AutoShape 3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73" name="AutoShape 30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74" name="AutoShape 30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75" name="AutoShape 30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76" name="AutoShape 30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77" name="AutoShape 30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78" name="AutoShape 30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79" name="AutoShape 30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80" name="AutoShape 30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81" name="AutoShape 29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82" name="AutoShape 29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83" name="AutoShape 29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84" name="AutoShape 29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85" name="AutoShape 29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86" name="AutoShape 29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87" name="AutoShape 29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88" name="AutoShape 29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89" name="AutoShape 29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90" name="AutoShape 29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91" name="AutoShape 28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92" name="AutoShape 28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93" name="AutoShape 28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94" name="AutoShape 28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95" name="AutoShape 28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96" name="AutoShape 28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97" name="AutoShape 28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98" name="AutoShape 28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399" name="AutoShape 28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00" name="AutoShape 28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01" name="AutoShape 27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02" name="AutoShape 27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03" name="AutoShape 27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04" name="AutoShape 27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05" name="AutoShape 27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06" name="AutoShape 27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07" name="AutoShape 27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08" name="AutoShape 27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09" name="AutoShape 27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10" name="AutoShape 27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11" name="AutoShape 26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12" name="AutoShape 26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13" name="AutoShape 26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14" name="AutoShape 26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15" name="AutoShape 26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16" name="AutoShape 26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17" name="AutoShape 26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18" name="AutoShape 26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19" name="AutoShape 26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20" name="AutoShape 3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21" name="AutoShape 3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22" name="AutoShape 3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23" name="AutoShape 3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24" name="AutoShape 3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25" name="AutoShape 3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26" name="AutoShape 3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27" name="AutoShape 30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28" name="AutoShape 30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29" name="AutoShape 30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30" name="AutoShape 30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31" name="AutoShape 30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32" name="AutoShape 30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33" name="AutoShape 30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34" name="AutoShape 30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35" name="AutoShape 29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36" name="AutoShape 29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37" name="AutoShape 29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38" name="AutoShape 29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39" name="AutoShape 29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40" name="AutoShape 29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41" name="AutoShape 29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42" name="AutoShape 29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43" name="AutoShape 29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44" name="AutoShape 29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45" name="AutoShape 28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46" name="AutoShape 28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47" name="AutoShape 28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48" name="AutoShape 28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49" name="AutoShape 28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50" name="AutoShape 28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51" name="AutoShape 28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52" name="AutoShape 28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53" name="AutoShape 28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54" name="AutoShape 28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55" name="AutoShape 27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56" name="AutoShape 27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57" name="AutoShape 27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58" name="AutoShape 27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59" name="AutoShape 27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60" name="AutoShape 27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61" name="AutoShape 27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62" name="AutoShape 27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63" name="AutoShape 27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64" name="AutoShape 27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65" name="AutoShape 26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66" name="AutoShape 26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67" name="AutoShape 26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68" name="AutoShape 26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69" name="AutoShape 26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70" name="AutoShape 26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71" name="AutoShape 26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72" name="AutoShape 26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73" name="AutoShape 26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74" name="AutoShape 3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75" name="AutoShape 3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76" name="AutoShape 3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77" name="AutoShape 3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78" name="AutoShape 3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79" name="AutoShape 3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80" name="AutoShape 3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81" name="AutoShape 30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82" name="AutoShape 30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83" name="AutoShape 30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84" name="AutoShape 30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85" name="AutoShape 30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86" name="AutoShape 30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87" name="AutoShape 30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88" name="AutoShape 30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89" name="AutoShape 29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90" name="AutoShape 29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91" name="AutoShape 29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92" name="AutoShape 29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93" name="AutoShape 29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94" name="AutoShape 29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95" name="AutoShape 29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96" name="AutoShape 29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97" name="AutoShape 29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98" name="AutoShape 29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499" name="AutoShape 28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00" name="AutoShape 28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01" name="AutoShape 28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02" name="AutoShape 28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03" name="AutoShape 28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04" name="AutoShape 28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05" name="AutoShape 28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06" name="AutoShape 28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07" name="AutoShape 28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08" name="AutoShape 28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09" name="AutoShape 27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10" name="AutoShape 27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11" name="AutoShape 27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12" name="AutoShape 27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13" name="AutoShape 27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14" name="AutoShape 27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15" name="AutoShape 27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16" name="AutoShape 27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17" name="AutoShape 27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18" name="AutoShape 27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19" name="AutoShape 26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20" name="AutoShape 26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21" name="AutoShape 26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22" name="AutoShape 26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23" name="AutoShape 26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24" name="AutoShape 26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25" name="AutoShape 26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26" name="AutoShape 26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27" name="AutoShape 26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28" name="AutoShape 3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29" name="AutoShape 3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30" name="AutoShape 3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31" name="AutoShape 3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32" name="AutoShape 3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33" name="AutoShape 3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34" name="AutoShape 3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35" name="AutoShape 30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36" name="AutoShape 30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37" name="AutoShape 30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38" name="AutoShape 30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39" name="AutoShape 30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40" name="AutoShape 30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41" name="AutoShape 30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42" name="AutoShape 30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43" name="AutoShape 29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44" name="AutoShape 29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45" name="AutoShape 29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46" name="AutoShape 29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47" name="AutoShape 29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48" name="AutoShape 29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49" name="AutoShape 29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50" name="AutoShape 29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51" name="AutoShape 29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52" name="AutoShape 29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53" name="AutoShape 28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54" name="AutoShape 28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55" name="AutoShape 28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56" name="AutoShape 28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57" name="AutoShape 28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58" name="AutoShape 28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59" name="AutoShape 28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60" name="AutoShape 28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61" name="AutoShape 28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62" name="AutoShape 28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63" name="AutoShape 27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64" name="AutoShape 27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65" name="AutoShape 27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66" name="AutoShape 27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67" name="AutoShape 27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68" name="AutoShape 27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69" name="AutoShape 27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70" name="AutoShape 27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71" name="AutoShape 27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72" name="AutoShape 27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73" name="AutoShape 26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74" name="AutoShape 26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75" name="AutoShape 26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76" name="AutoShape 26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77" name="AutoShape 26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78" name="AutoShape 26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79" name="AutoShape 26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80" name="AutoShape 26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81" name="AutoShape 26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82" name="AutoShape 3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83" name="AutoShape 3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84" name="AutoShape 3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85" name="AutoShape 3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86" name="AutoShape 3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87" name="AutoShape 3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88" name="AutoShape 3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89" name="AutoShape 30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90" name="AutoShape 30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91" name="AutoShape 30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92" name="AutoShape 30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93" name="AutoShape 30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94" name="AutoShape 30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95" name="AutoShape 30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96" name="AutoShape 30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97" name="AutoShape 29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98" name="AutoShape 29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599" name="AutoShape 29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00" name="AutoShape 29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01" name="AutoShape 29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02" name="AutoShape 29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03" name="AutoShape 29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04" name="AutoShape 29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05" name="AutoShape 29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06" name="AutoShape 29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07" name="AutoShape 28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08" name="AutoShape 28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09" name="AutoShape 28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10" name="AutoShape 28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11" name="AutoShape 28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12" name="AutoShape 28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13" name="AutoShape 28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14" name="AutoShape 28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15" name="AutoShape 28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16" name="AutoShape 28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17" name="AutoShape 27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18" name="AutoShape 27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19" name="AutoShape 27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20" name="AutoShape 27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21" name="AutoShape 27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22" name="AutoShape 27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23" name="AutoShape 27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24" name="AutoShape 27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25" name="AutoShape 27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26" name="AutoShape 27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27" name="AutoShape 26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28" name="AutoShape 26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29" name="AutoShape 26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30" name="AutoShape 26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31" name="AutoShape 26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32" name="AutoShape 26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33" name="AutoShape 26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34" name="AutoShape 26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35" name="AutoShape 26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36" name="AutoShape 3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37" name="AutoShape 3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38" name="AutoShape 3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39" name="AutoShape 3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40" name="AutoShape 3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41" name="AutoShape 3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42" name="AutoShape 3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43" name="AutoShape 30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44" name="AutoShape 30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45" name="AutoShape 30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46" name="AutoShape 30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47" name="AutoShape 30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48" name="AutoShape 30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49" name="AutoShape 30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50" name="AutoShape 30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51" name="AutoShape 29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52" name="AutoShape 29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53" name="AutoShape 29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54" name="AutoShape 29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55" name="AutoShape 29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56" name="AutoShape 29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57" name="AutoShape 29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58" name="AutoShape 29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59" name="AutoShape 29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60" name="AutoShape 29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61" name="AutoShape 28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62" name="AutoShape 28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63" name="AutoShape 28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64" name="AutoShape 28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65" name="AutoShape 28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66" name="AutoShape 28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67" name="AutoShape 28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68" name="AutoShape 28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69" name="AutoShape 28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70" name="AutoShape 28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71" name="AutoShape 27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72" name="AutoShape 27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73" name="AutoShape 27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74" name="AutoShape 27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75" name="AutoShape 27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76" name="AutoShape 27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77" name="AutoShape 27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78" name="AutoShape 27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79" name="AutoShape 27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80" name="AutoShape 27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81" name="AutoShape 26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82" name="AutoShape 26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83" name="AutoShape 26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84" name="AutoShape 26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85" name="AutoShape 26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86" name="AutoShape 26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87" name="AutoShape 26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88" name="AutoShape 26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89" name="AutoShape 26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90" name="AutoShape 3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91" name="AutoShape 3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92" name="AutoShape 3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93" name="AutoShape 3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94" name="AutoShape 3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95" name="AutoShape 3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96" name="AutoShape 3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97" name="AutoShape 30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98" name="AutoShape 30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699" name="AutoShape 30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00" name="AutoShape 30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01" name="AutoShape 30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02" name="AutoShape 30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03" name="AutoShape 30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04" name="AutoShape 30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05" name="AutoShape 29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06" name="AutoShape 29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07" name="AutoShape 29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08" name="AutoShape 29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09" name="AutoShape 29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10" name="AutoShape 29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11" name="AutoShape 29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12" name="AutoShape 29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13" name="AutoShape 29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14" name="AutoShape 29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15" name="AutoShape 28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16" name="AutoShape 28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17" name="AutoShape 28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18" name="AutoShape 28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19" name="AutoShape 28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20" name="AutoShape 28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21" name="AutoShape 28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22" name="AutoShape 28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23" name="AutoShape 28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24" name="AutoShape 28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25" name="AutoShape 27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26" name="AutoShape 27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27" name="AutoShape 27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28" name="AutoShape 27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29" name="AutoShape 27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30" name="AutoShape 27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31" name="AutoShape 27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32" name="AutoShape 27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33" name="AutoShape 27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34" name="AutoShape 27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35" name="AutoShape 26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36" name="AutoShape 26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37" name="AutoShape 26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38" name="AutoShape 26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39" name="AutoShape 26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40" name="AutoShape 26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41" name="AutoShape 26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42" name="AutoShape 26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43" name="AutoShape 26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44" name="AutoShape 3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45" name="AutoShape 3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46" name="AutoShape 3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47" name="AutoShape 3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48" name="AutoShape 3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49" name="AutoShape 3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50" name="AutoShape 3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51" name="AutoShape 30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52" name="AutoShape 30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53" name="AutoShape 30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54" name="AutoShape 30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55" name="AutoShape 30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56" name="AutoShape 30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57" name="AutoShape 30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58" name="AutoShape 30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59" name="AutoShape 29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60" name="AutoShape 29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61" name="AutoShape 29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62" name="AutoShape 29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63" name="AutoShape 29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64" name="AutoShape 29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65" name="AutoShape 29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66" name="AutoShape 29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67" name="AutoShape 29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68" name="AutoShape 29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69" name="AutoShape 28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70" name="AutoShape 28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71" name="AutoShape 28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72" name="AutoShape 28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73" name="AutoShape 28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74" name="AutoShape 28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75" name="AutoShape 28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76" name="AutoShape 28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77" name="AutoShape 28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78" name="AutoShape 28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79" name="AutoShape 27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80" name="AutoShape 27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81" name="AutoShape 27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82" name="AutoShape 27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83" name="AutoShape 27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84" name="AutoShape 27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85" name="AutoShape 27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86" name="AutoShape 27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87" name="AutoShape 27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88" name="AutoShape 27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89" name="AutoShape 26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90" name="AutoShape 26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91" name="AutoShape 26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92" name="AutoShape 26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93" name="AutoShape 26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94" name="AutoShape 26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95" name="AutoShape 26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96" name="AutoShape 26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97" name="AutoShape 26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98" name="AutoShape 3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799" name="AutoShape 3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00" name="AutoShape 3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01" name="AutoShape 3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02" name="AutoShape 3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03" name="AutoShape 3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04" name="AutoShape 3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05" name="AutoShape 30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06" name="AutoShape 30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07" name="AutoShape 30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08" name="AutoShape 30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09" name="AutoShape 30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10" name="AutoShape 30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11" name="AutoShape 30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12" name="AutoShape 30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13" name="AutoShape 29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14" name="AutoShape 29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15" name="AutoShape 29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16" name="AutoShape 29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17" name="AutoShape 29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18" name="AutoShape 29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19" name="AutoShape 29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20" name="AutoShape 29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21" name="AutoShape 29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22" name="AutoShape 29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23" name="AutoShape 28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24" name="AutoShape 28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25" name="AutoShape 28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26" name="AutoShape 28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27" name="AutoShape 28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28" name="AutoShape 28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29" name="AutoShape 28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30" name="AutoShape 28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31" name="AutoShape 28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32" name="AutoShape 28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33" name="AutoShape 27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34" name="AutoShape 27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35" name="AutoShape 27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36" name="AutoShape 27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37" name="AutoShape 27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38" name="AutoShape 27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39" name="AutoShape 27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40" name="AutoShape 27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41" name="AutoShape 27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42" name="AutoShape 27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43" name="AutoShape 26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44" name="AutoShape 26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45" name="AutoShape 26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46" name="AutoShape 26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47" name="AutoShape 26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48" name="AutoShape 26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49" name="AutoShape 26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50" name="AutoShape 26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51" name="AutoShape 26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52" name="AutoShape 3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53" name="AutoShape 3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54" name="AutoShape 3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55" name="AutoShape 3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56" name="AutoShape 3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57" name="AutoShape 3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58" name="AutoShape 3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59" name="AutoShape 30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60" name="AutoShape 30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61" name="AutoShape 30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62" name="AutoShape 30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63" name="AutoShape 30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64" name="AutoShape 30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65" name="AutoShape 30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66" name="AutoShape 30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67" name="AutoShape 29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68" name="AutoShape 29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69" name="AutoShape 29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70" name="AutoShape 29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71" name="AutoShape 29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72" name="AutoShape 29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73" name="AutoShape 29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74" name="AutoShape 29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75" name="AutoShape 29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76" name="AutoShape 29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77" name="AutoShape 28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78" name="AutoShape 28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79" name="AutoShape 28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80" name="AutoShape 28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81" name="AutoShape 28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82" name="AutoShape 28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83" name="AutoShape 28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84" name="AutoShape 28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85" name="AutoShape 28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86" name="AutoShape 28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87" name="AutoShape 27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88" name="AutoShape 27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89" name="AutoShape 27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90" name="AutoShape 27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91" name="AutoShape 27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92" name="AutoShape 27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93" name="AutoShape 27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94" name="AutoShape 27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95" name="AutoShape 27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96" name="AutoShape 27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97" name="AutoShape 26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98" name="AutoShape 26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899" name="AutoShape 26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00" name="AutoShape 26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01" name="AutoShape 26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02" name="AutoShape 26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03" name="AutoShape 26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04" name="AutoShape 26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05" name="AutoShape 26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06" name="AutoShape 31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07" name="AutoShape 31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08" name="AutoShape 31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09" name="AutoShape 31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10" name="AutoShape 31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11" name="AutoShape 30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12" name="AutoShape 30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13" name="AutoShape 30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14" name="AutoShape 30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15" name="AutoShape 30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16" name="AutoShape 30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17" name="AutoShape 30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18" name="AutoShape 30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19" name="AutoShape 30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20" name="AutoShape 30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21" name="AutoShape 29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22" name="AutoShape 29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23" name="AutoShape 29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24" name="AutoShape 29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25" name="AutoShape 29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26" name="AutoShape 29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27" name="AutoShape 29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28" name="AutoShape 29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29" name="AutoShape 29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30" name="AutoShape 29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31" name="AutoShape 28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32" name="AutoShape 28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33" name="AutoShape 28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34" name="AutoShape 28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35" name="AutoShape 28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36" name="AutoShape 28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37" name="AutoShape 28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38" name="AutoShape 28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39" name="AutoShape 28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40" name="AutoShape 28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41" name="AutoShape 27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42" name="AutoShape 27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43" name="AutoShape 27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44" name="AutoShape 27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45" name="AutoShape 27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46" name="AutoShape 27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47" name="AutoShape 27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48" name="AutoShape 27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49" name="AutoShape 27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50" name="AutoShape 270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51" name="AutoShape 269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52" name="AutoShape 268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53" name="AutoShape 267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54" name="AutoShape 266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55" name="AutoShape 265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56" name="AutoShape 264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57" name="AutoShape 263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58" name="AutoShape 26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59" name="AutoShape 261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24" name="AutoShape 16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25" name="AutoShape 16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26" name="AutoShape 15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27" name="AutoShape 15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28" name="AutoShape 15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29" name="AutoShape 15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30" name="AutoShape 15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31" name="AutoShape 15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32" name="AutoShape 15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33" name="AutoShape 15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34" name="AutoShape 15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35" name="AutoShape 15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36" name="AutoShape 14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37" name="AutoShape 14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38" name="AutoShape 14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39" name="AutoShape 14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40" name="AutoShape 14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41" name="AutoShape 14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42" name="AutoShape 14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43" name="AutoShape 14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44" name="AutoShape 14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45" name="AutoShape 14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46" name="AutoShape 13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47" name="AutoShape 13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48" name="AutoShape 13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49" name="AutoShape 13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50" name="AutoShape 13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51" name="AutoShape 13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52" name="AutoShape 13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53" name="AutoShape 13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54" name="AutoShape 13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55" name="AutoShape 13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56" name="AutoShape 12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57" name="AutoShape 12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58" name="AutoShape 12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59" name="AutoShape 12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60" name="AutoShape 12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61" name="AutoShape 12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62" name="AutoShape 12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63" name="AutoShape 12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64" name="AutoShape 12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65" name="AutoShape 12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66" name="AutoShape 11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67" name="AutoShape 11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68" name="AutoShape 11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69" name="AutoShape 11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70" name="AutoShape 11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71" name="AutoShape 11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72" name="AutoShape 11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73" name="AutoShape 11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74" name="AutoShape 11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75" name="AutoShape 11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76" name="AutoShape 10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77" name="AutoShape 10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78" name="AutoShape 16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79" name="AutoShape 16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80" name="AutoShape 15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81" name="AutoShape 15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82" name="AutoShape 15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83" name="AutoShape 15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84" name="AutoShape 15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85" name="AutoShape 15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86" name="AutoShape 15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87" name="AutoShape 15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88" name="AutoShape 15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89" name="AutoShape 15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90" name="AutoShape 14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91" name="AutoShape 14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92" name="AutoShape 14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93" name="AutoShape 14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94" name="AutoShape 14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95" name="AutoShape 14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96" name="AutoShape 14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97" name="AutoShape 14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98" name="AutoShape 14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99" name="AutoShape 14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00" name="AutoShape 13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01" name="AutoShape 13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02" name="AutoShape 13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03" name="AutoShape 13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04" name="AutoShape 13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05" name="AutoShape 13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06" name="AutoShape 13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07" name="AutoShape 13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08" name="AutoShape 13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09" name="AutoShape 13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10" name="AutoShape 12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11" name="AutoShape 12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12" name="AutoShape 12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13" name="AutoShape 12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14" name="AutoShape 12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15" name="AutoShape 12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16" name="AutoShape 12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17" name="AutoShape 12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18" name="AutoShape 12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19" name="AutoShape 12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20" name="AutoShape 11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21" name="AutoShape 11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22" name="AutoShape 11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23" name="AutoShape 11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24" name="AutoShape 11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25" name="AutoShape 11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26" name="AutoShape 11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27" name="AutoShape 11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28" name="AutoShape 11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29" name="AutoShape 11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30" name="AutoShape 10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31" name="AutoShape 10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32" name="AutoShape 16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33" name="AutoShape 16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34" name="AutoShape 15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35" name="AutoShape 15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36" name="AutoShape 15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37" name="AutoShape 15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38" name="AutoShape 15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39" name="AutoShape 15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40" name="AutoShape 15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41" name="AutoShape 15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42" name="AutoShape 15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43" name="AutoShape 15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44" name="AutoShape 14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45" name="AutoShape 14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46" name="AutoShape 14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47" name="AutoShape 14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48" name="AutoShape 14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49" name="AutoShape 14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50" name="AutoShape 14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51" name="AutoShape 14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52" name="AutoShape 14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53" name="AutoShape 14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54" name="AutoShape 13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55" name="AutoShape 13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56" name="AutoShape 13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57" name="AutoShape 13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58" name="AutoShape 13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59" name="AutoShape 13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60" name="AutoShape 13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61" name="AutoShape 13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62" name="AutoShape 13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63" name="AutoShape 13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64" name="AutoShape 12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65" name="AutoShape 12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66" name="AutoShape 12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67" name="AutoShape 12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68" name="AutoShape 12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69" name="AutoShape 12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70" name="AutoShape 12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71" name="AutoShape 12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72" name="AutoShape 12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73" name="AutoShape 12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74" name="AutoShape 11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75" name="AutoShape 11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76" name="AutoShape 11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77" name="AutoShape 11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78" name="AutoShape 11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79" name="AutoShape 11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80" name="AutoShape 11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81" name="AutoShape 11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82" name="AutoShape 11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83" name="AutoShape 11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84" name="AutoShape 10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85" name="AutoShape 10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86" name="AutoShape 16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87" name="AutoShape 16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88" name="AutoShape 15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89" name="AutoShape 15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90" name="AutoShape 15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91" name="AutoShape 15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92" name="AutoShape 15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93" name="AutoShape 15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94" name="AutoShape 15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95" name="AutoShape 15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96" name="AutoShape 15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97" name="AutoShape 15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98" name="AutoShape 14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199" name="AutoShape 14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00" name="AutoShape 14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01" name="AutoShape 14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02" name="AutoShape 14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03" name="AutoShape 14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04" name="AutoShape 14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05" name="AutoShape 14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06" name="AutoShape 14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07" name="AutoShape 14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08" name="AutoShape 13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09" name="AutoShape 13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10" name="AutoShape 13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11" name="AutoShape 13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12" name="AutoShape 13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13" name="AutoShape 13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14" name="AutoShape 13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15" name="AutoShape 13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16" name="AutoShape 13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17" name="AutoShape 13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18" name="AutoShape 12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19" name="AutoShape 12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20" name="AutoShape 12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21" name="AutoShape 12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22" name="AutoShape 12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23" name="AutoShape 12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24" name="AutoShape 12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25" name="AutoShape 12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26" name="AutoShape 12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27" name="AutoShape 12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28" name="AutoShape 11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29" name="AutoShape 11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30" name="AutoShape 11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31" name="AutoShape 11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32" name="AutoShape 11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33" name="AutoShape 11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34" name="AutoShape 11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35" name="AutoShape 11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36" name="AutoShape 11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37" name="AutoShape 11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38" name="AutoShape 10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39" name="AutoShape 10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40" name="AutoShape 16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41" name="AutoShape 16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42" name="AutoShape 15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43" name="AutoShape 15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44" name="AutoShape 15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45" name="AutoShape 15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46" name="AutoShape 15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47" name="AutoShape 15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48" name="AutoShape 15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49" name="AutoShape 15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50" name="AutoShape 15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51" name="AutoShape 15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52" name="AutoShape 14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53" name="AutoShape 14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54" name="AutoShape 14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55" name="AutoShape 14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56" name="AutoShape 14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57" name="AutoShape 14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58" name="AutoShape 14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59" name="AutoShape 14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60" name="AutoShape 14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61" name="AutoShape 14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62" name="AutoShape 13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63" name="AutoShape 13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64" name="AutoShape 13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65" name="AutoShape 13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66" name="AutoShape 13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67" name="AutoShape 13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68" name="AutoShape 13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69" name="AutoShape 13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70" name="AutoShape 13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71" name="AutoShape 13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72" name="AutoShape 12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73" name="AutoShape 12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74" name="AutoShape 12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75" name="AutoShape 12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76" name="AutoShape 12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77" name="AutoShape 12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78" name="AutoShape 12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79" name="AutoShape 12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80" name="AutoShape 12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81" name="AutoShape 12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82" name="AutoShape 11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83" name="AutoShape 11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84" name="AutoShape 11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85" name="AutoShape 11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86" name="AutoShape 11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87" name="AutoShape 11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88" name="AutoShape 11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89" name="AutoShape 11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90" name="AutoShape 11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91" name="AutoShape 11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92" name="AutoShape 10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93" name="AutoShape 10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94" name="AutoShape 16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95" name="AutoShape 16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96" name="AutoShape 15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97" name="AutoShape 15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98" name="AutoShape 15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299" name="AutoShape 15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00" name="AutoShape 15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01" name="AutoShape 15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02" name="AutoShape 15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03" name="AutoShape 15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04" name="AutoShape 15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05" name="AutoShape 15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06" name="AutoShape 14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07" name="AutoShape 14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08" name="AutoShape 14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09" name="AutoShape 14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10" name="AutoShape 14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11" name="AutoShape 14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12" name="AutoShape 14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13" name="AutoShape 14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14" name="AutoShape 14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15" name="AutoShape 14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16" name="AutoShape 13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17" name="AutoShape 13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18" name="AutoShape 13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19" name="AutoShape 13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20" name="AutoShape 13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21" name="AutoShape 13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22" name="AutoShape 13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23" name="AutoShape 13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24" name="AutoShape 13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25" name="AutoShape 13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26" name="AutoShape 12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27" name="AutoShape 12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28" name="AutoShape 12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29" name="AutoShape 12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30" name="AutoShape 12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31" name="AutoShape 12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32" name="AutoShape 12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33" name="AutoShape 12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34" name="AutoShape 12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35" name="AutoShape 12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36" name="AutoShape 11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37" name="AutoShape 11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38" name="AutoShape 11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39" name="AutoShape 11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40" name="AutoShape 11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41" name="AutoShape 11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42" name="AutoShape 11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43" name="AutoShape 11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44" name="AutoShape 11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45" name="AutoShape 11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46" name="AutoShape 10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47" name="AutoShape 10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48" name="AutoShape 16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49" name="AutoShape 16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50" name="AutoShape 15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51" name="AutoShape 15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52" name="AutoShape 15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53" name="AutoShape 15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54" name="AutoShape 15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55" name="AutoShape 15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56" name="AutoShape 15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57" name="AutoShape 15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58" name="AutoShape 15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59" name="AutoShape 15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60" name="AutoShape 14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61" name="AutoShape 14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62" name="AutoShape 14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63" name="AutoShape 14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64" name="AutoShape 14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65" name="AutoShape 14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66" name="AutoShape 14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67" name="AutoShape 14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68" name="AutoShape 14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69" name="AutoShape 14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70" name="AutoShape 13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71" name="AutoShape 13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72" name="AutoShape 13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73" name="AutoShape 13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74" name="AutoShape 13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75" name="AutoShape 13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76" name="AutoShape 13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77" name="AutoShape 13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78" name="AutoShape 13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79" name="AutoShape 13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80" name="AutoShape 12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81" name="AutoShape 12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82" name="AutoShape 12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83" name="AutoShape 12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84" name="AutoShape 12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85" name="AutoShape 12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86" name="AutoShape 12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87" name="AutoShape 12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88" name="AutoShape 12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89" name="AutoShape 12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90" name="AutoShape 11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91" name="AutoShape 11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92" name="AutoShape 11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93" name="AutoShape 11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94" name="AutoShape 11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95" name="AutoShape 11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96" name="AutoShape 11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97" name="AutoShape 11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98" name="AutoShape 11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399" name="AutoShape 11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00" name="AutoShape 10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01" name="AutoShape 10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02" name="AutoShape 16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03" name="AutoShape 16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04" name="AutoShape 15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05" name="AutoShape 15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06" name="AutoShape 15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07" name="AutoShape 15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08" name="AutoShape 15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09" name="AutoShape 15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10" name="AutoShape 15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11" name="AutoShape 15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12" name="AutoShape 15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13" name="AutoShape 15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14" name="AutoShape 14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15" name="AutoShape 14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16" name="AutoShape 14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17" name="AutoShape 14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18" name="AutoShape 14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19" name="AutoShape 14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20" name="AutoShape 14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21" name="AutoShape 14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22" name="AutoShape 14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23" name="AutoShape 14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24" name="AutoShape 13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25" name="AutoShape 13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26" name="AutoShape 13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27" name="AutoShape 13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28" name="AutoShape 13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29" name="AutoShape 13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30" name="AutoShape 13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31" name="AutoShape 13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32" name="AutoShape 13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33" name="AutoShape 13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34" name="AutoShape 12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35" name="AutoShape 12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36" name="AutoShape 12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37" name="AutoShape 12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38" name="AutoShape 12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39" name="AutoShape 12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40" name="AutoShape 12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41" name="AutoShape 12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42" name="AutoShape 12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43" name="AutoShape 12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44" name="AutoShape 11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45" name="AutoShape 11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46" name="AutoShape 11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47" name="AutoShape 11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48" name="AutoShape 11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49" name="AutoShape 11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50" name="AutoShape 11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51" name="AutoShape 11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52" name="AutoShape 11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53" name="AutoShape 11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54" name="AutoShape 10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55" name="AutoShape 10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56" name="AutoShape 16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57" name="AutoShape 16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58" name="AutoShape 15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59" name="AutoShape 15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60" name="AutoShape 15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61" name="AutoShape 15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62" name="AutoShape 15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63" name="AutoShape 15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64" name="AutoShape 15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65" name="AutoShape 15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66" name="AutoShape 15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67" name="AutoShape 15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68" name="AutoShape 14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69" name="AutoShape 14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70" name="AutoShape 14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71" name="AutoShape 14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72" name="AutoShape 14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73" name="AutoShape 14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74" name="AutoShape 14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75" name="AutoShape 14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76" name="AutoShape 14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77" name="AutoShape 14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78" name="AutoShape 13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79" name="AutoShape 13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80" name="AutoShape 13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81" name="AutoShape 13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82" name="AutoShape 13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83" name="AutoShape 13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84" name="AutoShape 13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85" name="AutoShape 13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86" name="AutoShape 13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87" name="AutoShape 13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88" name="AutoShape 12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89" name="AutoShape 12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90" name="AutoShape 12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91" name="AutoShape 12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92" name="AutoShape 12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93" name="AutoShape 12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94" name="AutoShape 12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95" name="AutoShape 12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96" name="AutoShape 12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97" name="AutoShape 12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98" name="AutoShape 11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499" name="AutoShape 11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00" name="AutoShape 11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01" name="AutoShape 11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02" name="AutoShape 11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03" name="AutoShape 11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04" name="AutoShape 11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05" name="AutoShape 11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06" name="AutoShape 11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07" name="AutoShape 11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08" name="AutoShape 10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09" name="AutoShape 10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10" name="AutoShape 16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11" name="AutoShape 16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12" name="AutoShape 15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13" name="AutoShape 15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14" name="AutoShape 15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15" name="AutoShape 15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16" name="AutoShape 15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17" name="AutoShape 15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18" name="AutoShape 15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19" name="AutoShape 15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20" name="AutoShape 15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21" name="AutoShape 15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22" name="AutoShape 14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23" name="AutoShape 14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24" name="AutoShape 14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25" name="AutoShape 14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26" name="AutoShape 14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27" name="AutoShape 14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28" name="AutoShape 14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29" name="AutoShape 14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30" name="AutoShape 14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31" name="AutoShape 14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32" name="AutoShape 13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33" name="AutoShape 13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34" name="AutoShape 13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35" name="AutoShape 13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36" name="AutoShape 13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37" name="AutoShape 13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38" name="AutoShape 13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39" name="AutoShape 13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40" name="AutoShape 13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41" name="AutoShape 13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42" name="AutoShape 12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43" name="AutoShape 12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44" name="AutoShape 12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45" name="AutoShape 12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46" name="AutoShape 12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47" name="AutoShape 12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48" name="AutoShape 12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49" name="AutoShape 12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50" name="AutoShape 12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51" name="AutoShape 12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52" name="AutoShape 11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53" name="AutoShape 11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54" name="AutoShape 11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55" name="AutoShape 11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56" name="AutoShape 11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57" name="AutoShape 11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58" name="AutoShape 11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59" name="AutoShape 11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60" name="AutoShape 11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61" name="AutoShape 11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62" name="AutoShape 10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63" name="AutoShape 10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64" name="AutoShape 16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65" name="AutoShape 16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66" name="AutoShape 15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67" name="AutoShape 15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68" name="AutoShape 15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69" name="AutoShape 15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70" name="AutoShape 15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71" name="AutoShape 15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72" name="AutoShape 15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73" name="AutoShape 15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74" name="AutoShape 15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75" name="AutoShape 15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76" name="AutoShape 14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77" name="AutoShape 14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78" name="AutoShape 14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79" name="AutoShape 14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80" name="AutoShape 14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81" name="AutoShape 14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82" name="AutoShape 14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83" name="AutoShape 14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84" name="AutoShape 14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85" name="AutoShape 14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86" name="AutoShape 13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87" name="AutoShape 13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88" name="AutoShape 13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89" name="AutoShape 13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90" name="AutoShape 13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91" name="AutoShape 13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92" name="AutoShape 13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93" name="AutoShape 13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94" name="AutoShape 13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95" name="AutoShape 13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96" name="AutoShape 12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97" name="AutoShape 12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98" name="AutoShape 12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599" name="AutoShape 12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00" name="AutoShape 12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01" name="AutoShape 12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02" name="AutoShape 12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03" name="AutoShape 12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04" name="AutoShape 12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05" name="AutoShape 12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06" name="AutoShape 11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07" name="AutoShape 11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08" name="AutoShape 11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09" name="AutoShape 11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10" name="AutoShape 11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11" name="AutoShape 11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12" name="AutoShape 11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13" name="AutoShape 11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14" name="AutoShape 11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15" name="AutoShape 11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16" name="AutoShape 10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17" name="AutoShape 10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18" name="AutoShape 16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19" name="AutoShape 16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20" name="AutoShape 15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21" name="AutoShape 15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22" name="AutoShape 15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23" name="AutoShape 15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24" name="AutoShape 15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25" name="AutoShape 15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26" name="AutoShape 15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27" name="AutoShape 15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28" name="AutoShape 15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29" name="AutoShape 15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30" name="AutoShape 14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31" name="AutoShape 14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32" name="AutoShape 14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33" name="AutoShape 14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34" name="AutoShape 14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35" name="AutoShape 14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36" name="AutoShape 14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37" name="AutoShape 14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38" name="AutoShape 14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39" name="AutoShape 14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40" name="AutoShape 13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41" name="AutoShape 13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42" name="AutoShape 13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43" name="AutoShape 13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44" name="AutoShape 13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45" name="AutoShape 13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46" name="AutoShape 13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47" name="AutoShape 13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48" name="AutoShape 13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49" name="AutoShape 13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50" name="AutoShape 12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51" name="AutoShape 12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52" name="AutoShape 12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53" name="AutoShape 12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54" name="AutoShape 12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55" name="AutoShape 12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56" name="AutoShape 12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57" name="AutoShape 12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58" name="AutoShape 12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59" name="AutoShape 12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60" name="AutoShape 11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61" name="AutoShape 11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62" name="AutoShape 11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63" name="AutoShape 11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64" name="AutoShape 11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65" name="AutoShape 11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66" name="AutoShape 11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67" name="AutoShape 11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68" name="AutoShape 11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69" name="AutoShape 11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70" name="AutoShape 10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71" name="AutoShape 10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72" name="AutoShape 16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73" name="AutoShape 16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74" name="AutoShape 15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75" name="AutoShape 15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76" name="AutoShape 15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77" name="AutoShape 15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78" name="AutoShape 15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79" name="AutoShape 15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80" name="AutoShape 15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81" name="AutoShape 15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82" name="AutoShape 15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83" name="AutoShape 15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84" name="AutoShape 14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85" name="AutoShape 14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86" name="AutoShape 14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87" name="AutoShape 14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88" name="AutoShape 14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89" name="AutoShape 14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90" name="AutoShape 14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91" name="AutoShape 14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92" name="AutoShape 14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93" name="AutoShape 14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94" name="AutoShape 13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95" name="AutoShape 13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96" name="AutoShape 13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97" name="AutoShape 13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98" name="AutoShape 13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699" name="AutoShape 13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00" name="AutoShape 13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01" name="AutoShape 13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02" name="AutoShape 13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03" name="AutoShape 13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04" name="AutoShape 12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05" name="AutoShape 12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06" name="AutoShape 12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07" name="AutoShape 12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08" name="AutoShape 12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09" name="AutoShape 12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10" name="AutoShape 12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11" name="AutoShape 12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12" name="AutoShape 12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13" name="AutoShape 12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14" name="AutoShape 11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15" name="AutoShape 11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16" name="AutoShape 11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17" name="AutoShape 11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18" name="AutoShape 11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19" name="AutoShape 11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20" name="AutoShape 11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21" name="AutoShape 11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22" name="AutoShape 11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23" name="AutoShape 11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24" name="AutoShape 10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25" name="AutoShape 10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26" name="AutoShape 16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27" name="AutoShape 16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28" name="AutoShape 15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29" name="AutoShape 15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30" name="AutoShape 15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31" name="AutoShape 15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32" name="AutoShape 15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33" name="AutoShape 15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34" name="AutoShape 15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35" name="AutoShape 15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36" name="AutoShape 15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37" name="AutoShape 15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38" name="AutoShape 14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39" name="AutoShape 14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40" name="AutoShape 14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41" name="AutoShape 14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42" name="AutoShape 14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43" name="AutoShape 14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44" name="AutoShape 14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45" name="AutoShape 14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46" name="AutoShape 14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47" name="AutoShape 14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48" name="AutoShape 13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49" name="AutoShape 13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50" name="AutoShape 13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51" name="AutoShape 13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52" name="AutoShape 13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53" name="AutoShape 13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54" name="AutoShape 13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55" name="AutoShape 13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56" name="AutoShape 13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57" name="AutoShape 13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58" name="AutoShape 12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59" name="AutoShape 12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60" name="AutoShape 12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61" name="AutoShape 12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62" name="AutoShape 12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63" name="AutoShape 12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64" name="AutoShape 12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65" name="AutoShape 12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66" name="AutoShape 12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67" name="AutoShape 12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68" name="AutoShape 11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69" name="AutoShape 11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70" name="AutoShape 11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71" name="AutoShape 11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72" name="AutoShape 11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73" name="AutoShape 11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74" name="AutoShape 11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75" name="AutoShape 11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76" name="AutoShape 11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77" name="AutoShape 11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78" name="AutoShape 10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79" name="AutoShape 10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80" name="AutoShape 16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81" name="AutoShape 16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82" name="AutoShape 15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83" name="AutoShape 15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84" name="AutoShape 15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85" name="AutoShape 15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86" name="AutoShape 15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87" name="AutoShape 15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88" name="AutoShape 15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89" name="AutoShape 15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90" name="AutoShape 15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91" name="AutoShape 15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92" name="AutoShape 14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93" name="AutoShape 14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94" name="AutoShape 14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95" name="AutoShape 14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96" name="AutoShape 14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97" name="AutoShape 14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98" name="AutoShape 14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799" name="AutoShape 14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00" name="AutoShape 14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01" name="AutoShape 14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02" name="AutoShape 13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03" name="AutoShape 13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04" name="AutoShape 13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05" name="AutoShape 13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06" name="AutoShape 13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07" name="AutoShape 13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08" name="AutoShape 13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09" name="AutoShape 13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10" name="AutoShape 13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11" name="AutoShape 13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12" name="AutoShape 12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13" name="AutoShape 12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14" name="AutoShape 12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15" name="AutoShape 12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16" name="AutoShape 12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17" name="AutoShape 12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18" name="AutoShape 12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19" name="AutoShape 12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20" name="AutoShape 12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21" name="AutoShape 12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22" name="AutoShape 11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23" name="AutoShape 11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24" name="AutoShape 11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25" name="AutoShape 11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26" name="AutoShape 11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27" name="AutoShape 11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28" name="AutoShape 11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29" name="AutoShape 11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30" name="AutoShape 11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31" name="AutoShape 11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32" name="AutoShape 10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33" name="AutoShape 10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34" name="AutoShape 16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35" name="AutoShape 16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36" name="AutoShape 15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37" name="AutoShape 15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38" name="AutoShape 15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39" name="AutoShape 15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40" name="AutoShape 15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41" name="AutoShape 15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42" name="AutoShape 15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43" name="AutoShape 15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44" name="AutoShape 15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45" name="AutoShape 15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46" name="AutoShape 14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47" name="AutoShape 14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48" name="AutoShape 14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49" name="AutoShape 14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50" name="AutoShape 14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51" name="AutoShape 14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52" name="AutoShape 14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53" name="AutoShape 14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54" name="AutoShape 14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55" name="AutoShape 14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56" name="AutoShape 13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57" name="AutoShape 13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58" name="AutoShape 13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59" name="AutoShape 13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60" name="AutoShape 13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61" name="AutoShape 13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62" name="AutoShape 13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63" name="AutoShape 13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64" name="AutoShape 13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65" name="AutoShape 13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66" name="AutoShape 12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67" name="AutoShape 12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68" name="AutoShape 12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69" name="AutoShape 12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70" name="AutoShape 12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71" name="AutoShape 12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72" name="AutoShape 12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73" name="AutoShape 12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74" name="AutoShape 12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75" name="AutoShape 12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76" name="AutoShape 11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77" name="AutoShape 11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78" name="AutoShape 11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79" name="AutoShape 11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80" name="AutoShape 11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81" name="AutoShape 11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82" name="AutoShape 11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83" name="AutoShape 11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84" name="AutoShape 11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85" name="AutoShape 11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86" name="AutoShape 10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87" name="AutoShape 10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88" name="AutoShape 16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89" name="AutoShape 16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90" name="AutoShape 15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91" name="AutoShape 15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92" name="AutoShape 15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93" name="AutoShape 15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94" name="AutoShape 15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95" name="AutoShape 15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96" name="AutoShape 15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97" name="AutoShape 15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98" name="AutoShape 15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899" name="AutoShape 15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00" name="AutoShape 14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01" name="AutoShape 14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02" name="AutoShape 14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03" name="AutoShape 14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04" name="AutoShape 14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05" name="AutoShape 14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06" name="AutoShape 14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07" name="AutoShape 14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08" name="AutoShape 14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09" name="AutoShape 14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10" name="AutoShape 13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11" name="AutoShape 13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12" name="AutoShape 13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13" name="AutoShape 13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14" name="AutoShape 13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15" name="AutoShape 13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16" name="AutoShape 13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17" name="AutoShape 13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18" name="AutoShape 13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19" name="AutoShape 13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20" name="AutoShape 12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21" name="AutoShape 12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22" name="AutoShape 12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23" name="AutoShape 12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24" name="AutoShape 12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25" name="AutoShape 12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26" name="AutoShape 12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27" name="AutoShape 12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28" name="AutoShape 12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29" name="AutoShape 12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30" name="AutoShape 11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31" name="AutoShape 11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32" name="AutoShape 11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33" name="AutoShape 11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34" name="AutoShape 11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35" name="AutoShape 11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36" name="AutoShape 11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37" name="AutoShape 11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38" name="AutoShape 11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39" name="AutoShape 11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40" name="AutoShape 10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41" name="AutoShape 10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42" name="AutoShape 16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43" name="AutoShape 16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44" name="AutoShape 15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45" name="AutoShape 15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46" name="AutoShape 15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47" name="AutoShape 15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48" name="AutoShape 15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49" name="AutoShape 15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50" name="AutoShape 15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51" name="AutoShape 15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52" name="AutoShape 15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53" name="AutoShape 15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54" name="AutoShape 14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55" name="AutoShape 14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56" name="AutoShape 14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57" name="AutoShape 14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58" name="AutoShape 14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59" name="AutoShape 14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60" name="AutoShape 14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61" name="AutoShape 14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62" name="AutoShape 14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63" name="AutoShape 14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64" name="AutoShape 13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65" name="AutoShape 13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66" name="AutoShape 13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67" name="AutoShape 13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68" name="AutoShape 13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69" name="AutoShape 13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70" name="AutoShape 13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71" name="AutoShape 13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72" name="AutoShape 13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73" name="AutoShape 13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74" name="AutoShape 12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75" name="AutoShape 12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76" name="AutoShape 12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77" name="AutoShape 12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78" name="AutoShape 12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79" name="AutoShape 12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80" name="AutoShape 12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81" name="AutoShape 12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82" name="AutoShape 12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83" name="AutoShape 12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84" name="AutoShape 11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85" name="AutoShape 11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86" name="AutoShape 11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87" name="AutoShape 11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88" name="AutoShape 11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89" name="AutoShape 11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90" name="AutoShape 11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91" name="AutoShape 11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92" name="AutoShape 11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93" name="AutoShape 11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94" name="AutoShape 10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95" name="AutoShape 10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96" name="AutoShape 16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97" name="AutoShape 16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98" name="AutoShape 15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999" name="AutoShape 15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00" name="AutoShape 15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01" name="AutoShape 15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02" name="AutoShape 15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03" name="AutoShape 15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04" name="AutoShape 15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05" name="AutoShape 15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06" name="AutoShape 15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07" name="AutoShape 15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08" name="AutoShape 14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09" name="AutoShape 14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10" name="AutoShape 14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11" name="AutoShape 14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12" name="AutoShape 14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13" name="AutoShape 14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14" name="AutoShape 14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15" name="AutoShape 14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16" name="AutoShape 14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17" name="AutoShape 14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18" name="AutoShape 13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19" name="AutoShape 13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20" name="AutoShape 13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21" name="AutoShape 13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22" name="AutoShape 13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23" name="AutoShape 13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24" name="AutoShape 13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25" name="AutoShape 13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26" name="AutoShape 13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27" name="AutoShape 13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28" name="AutoShape 12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29" name="AutoShape 12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30" name="AutoShape 12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31" name="AutoShape 12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32" name="AutoShape 12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33" name="AutoShape 12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34" name="AutoShape 12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35" name="AutoShape 12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36" name="AutoShape 12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37" name="AutoShape 12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38" name="AutoShape 11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39" name="AutoShape 11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40" name="AutoShape 11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41" name="AutoShape 11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42" name="AutoShape 11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43" name="AutoShape 11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44" name="AutoShape 11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45" name="AutoShape 11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46" name="AutoShape 11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47" name="AutoShape 11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48" name="AutoShape 10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49" name="AutoShape 10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50" name="AutoShape 16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51" name="AutoShape 16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52" name="AutoShape 15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53" name="AutoShape 15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54" name="AutoShape 15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55" name="AutoShape 15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56" name="AutoShape 15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57" name="AutoShape 15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58" name="AutoShape 15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59" name="AutoShape 15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60" name="AutoShape 15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61" name="AutoShape 15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62" name="AutoShape 14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63" name="AutoShape 14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64" name="AutoShape 14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65" name="AutoShape 14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66" name="AutoShape 14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67" name="AutoShape 14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68" name="AutoShape 14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69" name="AutoShape 14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70" name="AutoShape 14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71" name="AutoShape 14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72" name="AutoShape 13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73" name="AutoShape 13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74" name="AutoShape 13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75" name="AutoShape 13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76" name="AutoShape 13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77" name="AutoShape 13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78" name="AutoShape 13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79" name="AutoShape 13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80" name="AutoShape 13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81" name="AutoShape 13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82" name="AutoShape 12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83" name="AutoShape 12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84" name="AutoShape 12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85" name="AutoShape 12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86" name="AutoShape 12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87" name="AutoShape 12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88" name="AutoShape 12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89" name="AutoShape 12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90" name="AutoShape 12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91" name="AutoShape 12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92" name="AutoShape 11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93" name="AutoShape 11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94" name="AutoShape 11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95" name="AutoShape 11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96" name="AutoShape 11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97" name="AutoShape 11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98" name="AutoShape 11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099" name="AutoShape 11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00" name="AutoShape 11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01" name="AutoShape 11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02" name="AutoShape 10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03" name="AutoShape 10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04" name="AutoShape 16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05" name="AutoShape 16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06" name="AutoShape 15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07" name="AutoShape 15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08" name="AutoShape 15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09" name="AutoShape 15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10" name="AutoShape 15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11" name="AutoShape 15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12" name="AutoShape 15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13" name="AutoShape 15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14" name="AutoShape 15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15" name="AutoShape 15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16" name="AutoShape 14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17" name="AutoShape 14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18" name="AutoShape 14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19" name="AutoShape 14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20" name="AutoShape 14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21" name="AutoShape 14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22" name="AutoShape 14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23" name="AutoShape 14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24" name="AutoShape 14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25" name="AutoShape 14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26" name="AutoShape 13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27" name="AutoShape 13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28" name="AutoShape 13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29" name="AutoShape 13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30" name="AutoShape 13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31" name="AutoShape 13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32" name="AutoShape 13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33" name="AutoShape 13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34" name="AutoShape 13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35" name="AutoShape 13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36" name="AutoShape 12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37" name="AutoShape 12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38" name="AutoShape 12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39" name="AutoShape 12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40" name="AutoShape 12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41" name="AutoShape 12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42" name="AutoShape 12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43" name="AutoShape 12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44" name="AutoShape 12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45" name="AutoShape 12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46" name="AutoShape 11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47" name="AutoShape 11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48" name="AutoShape 11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49" name="AutoShape 11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50" name="AutoShape 11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51" name="AutoShape 11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52" name="AutoShape 11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53" name="AutoShape 11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54" name="AutoShape 11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55" name="AutoShape 11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56" name="AutoShape 10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57" name="AutoShape 10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58" name="AutoShape 16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59" name="AutoShape 16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60" name="AutoShape 15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61" name="AutoShape 15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62" name="AutoShape 15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63" name="AutoShape 15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64" name="AutoShape 15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65" name="AutoShape 15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66" name="AutoShape 15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67" name="AutoShape 15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68" name="AutoShape 15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69" name="AutoShape 15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70" name="AutoShape 14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71" name="AutoShape 14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72" name="AutoShape 14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73" name="AutoShape 14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74" name="AutoShape 14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75" name="AutoShape 14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76" name="AutoShape 14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77" name="AutoShape 14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78" name="AutoShape 14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79" name="AutoShape 14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80" name="AutoShape 13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81" name="AutoShape 13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82" name="AutoShape 13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83" name="AutoShape 13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84" name="AutoShape 13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85" name="AutoShape 13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86" name="AutoShape 13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87" name="AutoShape 13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88" name="AutoShape 13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89" name="AutoShape 13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90" name="AutoShape 12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91" name="AutoShape 12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92" name="AutoShape 12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93" name="AutoShape 12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94" name="AutoShape 12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95" name="AutoShape 12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96" name="AutoShape 12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97" name="AutoShape 12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98" name="AutoShape 12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199" name="AutoShape 12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00" name="AutoShape 11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01" name="AutoShape 11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02" name="AutoShape 11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03" name="AutoShape 11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04" name="AutoShape 11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05" name="AutoShape 11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06" name="AutoShape 11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07" name="AutoShape 11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08" name="AutoShape 11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09" name="AutoShape 11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10" name="AutoShape 10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11" name="AutoShape 10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12" name="AutoShape 16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13" name="AutoShape 16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14" name="AutoShape 15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15" name="AutoShape 15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16" name="AutoShape 15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17" name="AutoShape 15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18" name="AutoShape 15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19" name="AutoShape 15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20" name="AutoShape 15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21" name="AutoShape 15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22" name="AutoShape 15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23" name="AutoShape 15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24" name="AutoShape 14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25" name="AutoShape 14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26" name="AutoShape 14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27" name="AutoShape 14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28" name="AutoShape 14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29" name="AutoShape 14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30" name="AutoShape 14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31" name="AutoShape 14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32" name="AutoShape 14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33" name="AutoShape 14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34" name="AutoShape 13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35" name="AutoShape 13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36" name="AutoShape 13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37" name="AutoShape 13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38" name="AutoShape 13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39" name="AutoShape 13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40" name="AutoShape 13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41" name="AutoShape 13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42" name="AutoShape 13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43" name="AutoShape 13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44" name="AutoShape 12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45" name="AutoShape 12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46" name="AutoShape 12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47" name="AutoShape 12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48" name="AutoShape 12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49" name="AutoShape 12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50" name="AutoShape 12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51" name="AutoShape 12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52" name="AutoShape 12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53" name="AutoShape 12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54" name="AutoShape 11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55" name="AutoShape 11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56" name="AutoShape 11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57" name="AutoShape 11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58" name="AutoShape 11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59" name="AutoShape 11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60" name="AutoShape 11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61" name="AutoShape 11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62" name="AutoShape 11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63" name="AutoShape 11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64" name="AutoShape 10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65" name="AutoShape 10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66" name="AutoShape 16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67" name="AutoShape 16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68" name="AutoShape 15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69" name="AutoShape 15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70" name="AutoShape 15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71" name="AutoShape 15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72" name="AutoShape 15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73" name="AutoShape 15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74" name="AutoShape 15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75" name="AutoShape 15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76" name="AutoShape 15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77" name="AutoShape 15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78" name="AutoShape 14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79" name="AutoShape 14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80" name="AutoShape 14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81" name="AutoShape 14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82" name="AutoShape 14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83" name="AutoShape 14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84" name="AutoShape 14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85" name="AutoShape 14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86" name="AutoShape 14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87" name="AutoShape 14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88" name="AutoShape 13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89" name="AutoShape 13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90" name="AutoShape 13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91" name="AutoShape 13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92" name="AutoShape 13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93" name="AutoShape 13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94" name="AutoShape 13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95" name="AutoShape 13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96" name="AutoShape 13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97" name="AutoShape 13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98" name="AutoShape 12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299" name="AutoShape 12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00" name="AutoShape 12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01" name="AutoShape 12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02" name="AutoShape 12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03" name="AutoShape 12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04" name="AutoShape 12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05" name="AutoShape 12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06" name="AutoShape 12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07" name="AutoShape 12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08" name="AutoShape 11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09" name="AutoShape 11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10" name="AutoShape 11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11" name="AutoShape 11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12" name="AutoShape 11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13" name="AutoShape 11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14" name="AutoShape 11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15" name="AutoShape 11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16" name="AutoShape 11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17" name="AutoShape 11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18" name="AutoShape 10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19" name="AutoShape 10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20" name="AutoShape 16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21" name="AutoShape 16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22" name="AutoShape 15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23" name="AutoShape 15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24" name="AutoShape 15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25" name="AutoShape 15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26" name="AutoShape 15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27" name="AutoShape 15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28" name="AutoShape 15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29" name="AutoShape 15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30" name="AutoShape 15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31" name="AutoShape 15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32" name="AutoShape 14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33" name="AutoShape 14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34" name="AutoShape 14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35" name="AutoShape 14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36" name="AutoShape 14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37" name="AutoShape 14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38" name="AutoShape 14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39" name="AutoShape 14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40" name="AutoShape 14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41" name="AutoShape 14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42" name="AutoShape 13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43" name="AutoShape 13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44" name="AutoShape 13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45" name="AutoShape 13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46" name="AutoShape 13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47" name="AutoShape 13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48" name="AutoShape 13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49" name="AutoShape 13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50" name="AutoShape 13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51" name="AutoShape 13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52" name="AutoShape 12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53" name="AutoShape 12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54" name="AutoShape 12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55" name="AutoShape 12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56" name="AutoShape 12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57" name="AutoShape 12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58" name="AutoShape 12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59" name="AutoShape 12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60" name="AutoShape 12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61" name="AutoShape 12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62" name="AutoShape 11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63" name="AutoShape 11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64" name="AutoShape 11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65" name="AutoShape 11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66" name="AutoShape 11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67" name="AutoShape 11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68" name="AutoShape 11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69" name="AutoShape 11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70" name="AutoShape 11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71" name="AutoShape 11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72" name="AutoShape 10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73" name="AutoShape 10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74" name="AutoShape 16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75" name="AutoShape 16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76" name="AutoShape 15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77" name="AutoShape 15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78" name="AutoShape 15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79" name="AutoShape 15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80" name="AutoShape 15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81" name="AutoShape 15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82" name="AutoShape 15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83" name="AutoShape 15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84" name="AutoShape 15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85" name="AutoShape 15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86" name="AutoShape 14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87" name="AutoShape 14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88" name="AutoShape 14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89" name="AutoShape 14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90" name="AutoShape 14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91" name="AutoShape 14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92" name="AutoShape 14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93" name="AutoShape 14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94" name="AutoShape 14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95" name="AutoShape 14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96" name="AutoShape 13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97" name="AutoShape 13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98" name="AutoShape 13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399" name="AutoShape 13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00" name="AutoShape 13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01" name="AutoShape 13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02" name="AutoShape 13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03" name="AutoShape 13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04" name="AutoShape 13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05" name="AutoShape 13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06" name="AutoShape 12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07" name="AutoShape 12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08" name="AutoShape 12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09" name="AutoShape 12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10" name="AutoShape 12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11" name="AutoShape 12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12" name="AutoShape 12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13" name="AutoShape 12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14" name="AutoShape 12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15" name="AutoShape 12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16" name="AutoShape 11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17" name="AutoShape 11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18" name="AutoShape 11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19" name="AutoShape 11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20" name="AutoShape 11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21" name="AutoShape 11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22" name="AutoShape 11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23" name="AutoShape 11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24" name="AutoShape 11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25" name="AutoShape 11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26" name="AutoShape 10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27" name="AutoShape 10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60" name="AutoShape 42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61" name="AutoShape 42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62" name="AutoShape 42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63" name="AutoShape 41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64" name="AutoShape 41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65" name="AutoShape 41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66" name="AutoShape 41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67" name="AutoShape 41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68" name="AutoShape 41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69" name="AutoShape 41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70" name="AutoShape 41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71" name="AutoShape 41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72" name="AutoShape 41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73" name="AutoShape 40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74" name="AutoShape 40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75" name="AutoShape 40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76" name="AutoShape 40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77" name="AutoShape 40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78" name="AutoShape 40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79" name="AutoShape 40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80" name="AutoShape 40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81" name="AutoShape 40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82" name="AutoShape 40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83" name="AutoShape 39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16" name="AutoShape 39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17" name="AutoShape 39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18" name="AutoShape 39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19" name="AutoShape 39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20" name="AutoShape 39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21" name="AutoShape 39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22" name="AutoShape 39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2023" name="AutoShape 39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28" name="AutoShape 39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29" name="AutoShape 38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30" name="AutoShape 38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31" name="AutoShape 38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32" name="AutoShape 38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33" name="AutoShape 38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34" name="AutoShape 38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35" name="AutoShape 38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36" name="AutoShape 38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37" name="AutoShape 38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38" name="AutoShape 38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39" name="AutoShape 37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40" name="AutoShape 37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41" name="AutoShape 37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42" name="AutoShape 37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43" name="AutoShape 37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44" name="AutoShape 37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45" name="AutoShape 37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46" name="AutoShape 37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47" name="AutoShape 37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48" name="AutoShape 37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49" name="AutoShape 36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50" name="AutoShape 42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51" name="AutoShape 42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52" name="AutoShape 42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53" name="AutoShape 41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54" name="AutoShape 41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3455" name="AutoShape 41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84" name="AutoShape 41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85" name="AutoShape 41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86" name="AutoShape 41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87" name="AutoShape 41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88" name="AutoShape 41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89" name="AutoShape 41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90" name="AutoShape 41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91" name="AutoShape 40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92" name="AutoShape 40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93" name="AutoShape 40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94" name="AutoShape 40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95" name="AutoShape 40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96" name="AutoShape 40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97" name="AutoShape 40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98" name="AutoShape 40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9999" name="AutoShape 40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00" name="AutoShape 40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01" name="AutoShape 39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02" name="AutoShape 39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03" name="AutoShape 39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04" name="AutoShape 39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05" name="AutoShape 39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06" name="AutoShape 39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07" name="AutoShape 39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08" name="AutoShape 39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09" name="AutoShape 39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10" name="AutoShape 39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11" name="AutoShape 38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12" name="AutoShape 38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13" name="AutoShape 38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14" name="AutoShape 38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15" name="AutoShape 38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16" name="AutoShape 38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17" name="AutoShape 38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18" name="AutoShape 38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19" name="AutoShape 38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20" name="AutoShape 38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21" name="AutoShape 37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22" name="AutoShape 37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23" name="AutoShape 37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24" name="AutoShape 37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25" name="AutoShape 37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26" name="AutoShape 37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27" name="AutoShape 37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28" name="AutoShape 37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29" name="AutoShape 37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30" name="AutoShape 37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31" name="AutoShape 36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32" name="AutoShape 42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33" name="AutoShape 42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34" name="AutoShape 42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35" name="AutoShape 41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36" name="AutoShape 41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37" name="AutoShape 41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38" name="AutoShape 41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39" name="AutoShape 41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40" name="AutoShape 41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41" name="AutoShape 41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42" name="AutoShape 41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43" name="AutoShape 41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44" name="AutoShape 41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45" name="AutoShape 40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46" name="AutoShape 40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47" name="AutoShape 40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48" name="AutoShape 40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49" name="AutoShape 40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50" name="AutoShape 40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51" name="AutoShape 40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52" name="AutoShape 40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53" name="AutoShape 40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54" name="AutoShape 40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55" name="AutoShape 39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56" name="AutoShape 39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57" name="AutoShape 39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58" name="AutoShape 39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59" name="AutoShape 39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60" name="AutoShape 39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61" name="AutoShape 39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62" name="AutoShape 39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63" name="AutoShape 39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64" name="AutoShape 39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65" name="AutoShape 38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66" name="AutoShape 38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67" name="AutoShape 38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68" name="AutoShape 38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69" name="AutoShape 38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70" name="AutoShape 38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71" name="AutoShape 38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72" name="AutoShape 38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73" name="AutoShape 38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74" name="AutoShape 38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75" name="AutoShape 37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76" name="AutoShape 37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77" name="AutoShape 37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78" name="AutoShape 37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79" name="AutoShape 37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80" name="AutoShape 37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81" name="AutoShape 37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82" name="AutoShape 37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83" name="AutoShape 37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84" name="AutoShape 37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85" name="AutoShape 36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86" name="AutoShape 42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87" name="AutoShape 42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88" name="AutoShape 42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89" name="AutoShape 41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90" name="AutoShape 41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91" name="AutoShape 41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92" name="AutoShape 41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93" name="AutoShape 41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94" name="AutoShape 41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95" name="AutoShape 41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96" name="AutoShape 41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97" name="AutoShape 41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98" name="AutoShape 41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099" name="AutoShape 40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00" name="AutoShape 40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01" name="AutoShape 40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02" name="AutoShape 40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03" name="AutoShape 40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04" name="AutoShape 40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05" name="AutoShape 40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06" name="AutoShape 40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07" name="AutoShape 40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08" name="AutoShape 40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09" name="AutoShape 39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10" name="AutoShape 39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11" name="AutoShape 39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12" name="AutoShape 39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13" name="AutoShape 39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14" name="AutoShape 39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15" name="AutoShape 39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16" name="AutoShape 39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17" name="AutoShape 39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18" name="AutoShape 39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19" name="AutoShape 38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20" name="AutoShape 38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21" name="AutoShape 38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22" name="AutoShape 38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23" name="AutoShape 38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24" name="AutoShape 38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25" name="AutoShape 38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26" name="AutoShape 38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27" name="AutoShape 38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28" name="AutoShape 38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29" name="AutoShape 37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30" name="AutoShape 37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31" name="AutoShape 37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32" name="AutoShape 37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33" name="AutoShape 37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34" name="AutoShape 37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35" name="AutoShape 37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36" name="AutoShape 37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37" name="AutoShape 37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38" name="AutoShape 37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39" name="AutoShape 36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40" name="AutoShape 42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41" name="AutoShape 42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42" name="AutoShape 42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43" name="AutoShape 41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44" name="AutoShape 41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45" name="AutoShape 41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46" name="AutoShape 41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47" name="AutoShape 41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48" name="AutoShape 41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49" name="AutoShape 41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50" name="AutoShape 41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51" name="AutoShape 41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52" name="AutoShape 41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53" name="AutoShape 40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54" name="AutoShape 40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55" name="AutoShape 40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56" name="AutoShape 40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57" name="AutoShape 40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58" name="AutoShape 40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59" name="AutoShape 40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60" name="AutoShape 40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61" name="AutoShape 40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62" name="AutoShape 40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63" name="AutoShape 39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64" name="AutoShape 39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65" name="AutoShape 39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66" name="AutoShape 39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67" name="AutoShape 39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68" name="AutoShape 39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69" name="AutoShape 39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70" name="AutoShape 39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71" name="AutoShape 39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72" name="AutoShape 39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73" name="AutoShape 38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74" name="AutoShape 38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75" name="AutoShape 38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76" name="AutoShape 38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77" name="AutoShape 38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78" name="AutoShape 38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79" name="AutoShape 38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80" name="AutoShape 38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81" name="AutoShape 38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82" name="AutoShape 38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83" name="AutoShape 37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84" name="AutoShape 37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85" name="AutoShape 37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86" name="AutoShape 37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87" name="AutoShape 37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88" name="AutoShape 37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89" name="AutoShape 37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90" name="AutoShape 37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91" name="AutoShape 37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92" name="AutoShape 37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93" name="AutoShape 36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94" name="AutoShape 42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95" name="AutoShape 42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96" name="AutoShape 42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97" name="AutoShape 41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98" name="AutoShape 41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199" name="AutoShape 41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00" name="AutoShape 41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01" name="AutoShape 41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02" name="AutoShape 41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03" name="AutoShape 41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04" name="AutoShape 41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05" name="AutoShape 41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06" name="AutoShape 41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07" name="AutoShape 40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08" name="AutoShape 40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09" name="AutoShape 40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10" name="AutoShape 40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11" name="AutoShape 40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12" name="AutoShape 40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13" name="AutoShape 40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14" name="AutoShape 40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15" name="AutoShape 40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16" name="AutoShape 40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17" name="AutoShape 39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18" name="AutoShape 39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19" name="AutoShape 39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20" name="AutoShape 39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21" name="AutoShape 39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22" name="AutoShape 39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23" name="AutoShape 39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24" name="AutoShape 39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25" name="AutoShape 39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26" name="AutoShape 39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27" name="AutoShape 38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28" name="AutoShape 38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29" name="AutoShape 38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30" name="AutoShape 38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31" name="AutoShape 38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32" name="AutoShape 38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33" name="AutoShape 38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34" name="AutoShape 38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35" name="AutoShape 38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36" name="AutoShape 38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37" name="AutoShape 37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38" name="AutoShape 37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39" name="AutoShape 37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40" name="AutoShape 37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41" name="AutoShape 37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42" name="AutoShape 37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43" name="AutoShape 37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44" name="AutoShape 37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45" name="AutoShape 37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46" name="AutoShape 37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47" name="AutoShape 36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48" name="AutoShape 42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49" name="AutoShape 42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50" name="AutoShape 42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51" name="AutoShape 41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52" name="AutoShape 41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53" name="AutoShape 41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54" name="AutoShape 41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55" name="AutoShape 41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56" name="AutoShape 41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57" name="AutoShape 41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58" name="AutoShape 41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59" name="AutoShape 41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60" name="AutoShape 41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61" name="AutoShape 40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62" name="AutoShape 40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63" name="AutoShape 40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64" name="AutoShape 40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65" name="AutoShape 40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66" name="AutoShape 40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67" name="AutoShape 40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68" name="AutoShape 40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69" name="AutoShape 40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70" name="AutoShape 40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71" name="AutoShape 39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72" name="AutoShape 39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73" name="AutoShape 39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74" name="AutoShape 39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75" name="AutoShape 39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76" name="AutoShape 39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77" name="AutoShape 39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78" name="AutoShape 39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79" name="AutoShape 39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80" name="AutoShape 39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81" name="AutoShape 38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82" name="AutoShape 38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83" name="AutoShape 38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84" name="AutoShape 38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85" name="AutoShape 38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86" name="AutoShape 38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87" name="AutoShape 38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88" name="AutoShape 38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89" name="AutoShape 38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90" name="AutoShape 38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91" name="AutoShape 37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92" name="AutoShape 37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93" name="AutoShape 37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94" name="AutoShape 37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95" name="AutoShape 37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96" name="AutoShape 37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97" name="AutoShape 37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98" name="AutoShape 37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299" name="AutoShape 37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00" name="AutoShape 37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01" name="AutoShape 36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02" name="AutoShape 42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03" name="AutoShape 42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04" name="AutoShape 42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05" name="AutoShape 41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06" name="AutoShape 41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07" name="AutoShape 41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08" name="AutoShape 41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09" name="AutoShape 41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10" name="AutoShape 41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11" name="AutoShape 41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12" name="AutoShape 41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13" name="AutoShape 41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14" name="AutoShape 41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15" name="AutoShape 40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16" name="AutoShape 40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17" name="AutoShape 40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18" name="AutoShape 40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19" name="AutoShape 40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20" name="AutoShape 40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21" name="AutoShape 40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22" name="AutoShape 40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23" name="AutoShape 40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24" name="AutoShape 40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25" name="AutoShape 39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26" name="AutoShape 39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27" name="AutoShape 39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28" name="AutoShape 39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29" name="AutoShape 39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30" name="AutoShape 39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31" name="AutoShape 39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32" name="AutoShape 39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33" name="AutoShape 39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34" name="AutoShape 39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35" name="AutoShape 38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36" name="AutoShape 38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37" name="AutoShape 38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38" name="AutoShape 38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39" name="AutoShape 38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40" name="AutoShape 38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41" name="AutoShape 38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42" name="AutoShape 38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43" name="AutoShape 38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44" name="AutoShape 38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45" name="AutoShape 37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46" name="AutoShape 37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47" name="AutoShape 37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48" name="AutoShape 37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49" name="AutoShape 37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50" name="AutoShape 37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51" name="AutoShape 37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52" name="AutoShape 37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53" name="AutoShape 37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54" name="AutoShape 37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55" name="AutoShape 36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56" name="AutoShape 42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57" name="AutoShape 42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58" name="AutoShape 42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59" name="AutoShape 41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60" name="AutoShape 41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61" name="AutoShape 41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62" name="AutoShape 41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63" name="AutoShape 41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64" name="AutoShape 41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65" name="AutoShape 41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66" name="AutoShape 41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67" name="AutoShape 41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68" name="AutoShape 41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69" name="AutoShape 40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70" name="AutoShape 40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71" name="AutoShape 40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72" name="AutoShape 40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73" name="AutoShape 40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74" name="AutoShape 40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75" name="AutoShape 40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76" name="AutoShape 40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77" name="AutoShape 40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78" name="AutoShape 40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79" name="AutoShape 39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80" name="AutoShape 39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81" name="AutoShape 39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82" name="AutoShape 39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83" name="AutoShape 39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84" name="AutoShape 39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85" name="AutoShape 39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86" name="AutoShape 39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87" name="AutoShape 39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88" name="AutoShape 39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89" name="AutoShape 38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90" name="AutoShape 38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91" name="AutoShape 38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92" name="AutoShape 38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93" name="AutoShape 38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94" name="AutoShape 38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95" name="AutoShape 38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96" name="AutoShape 38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97" name="AutoShape 38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98" name="AutoShape 38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399" name="AutoShape 37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00" name="AutoShape 37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01" name="AutoShape 37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02" name="AutoShape 37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03" name="AutoShape 37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04" name="AutoShape 37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05" name="AutoShape 37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06" name="AutoShape 37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07" name="AutoShape 37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08" name="AutoShape 37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09" name="AutoShape 36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10" name="AutoShape 42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11" name="AutoShape 42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12" name="AutoShape 42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13" name="AutoShape 41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14" name="AutoShape 41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15" name="AutoShape 41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16" name="AutoShape 41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17" name="AutoShape 41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18" name="AutoShape 41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19" name="AutoShape 41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20" name="AutoShape 41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21" name="AutoShape 41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22" name="AutoShape 41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23" name="AutoShape 40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24" name="AutoShape 40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25" name="AutoShape 40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26" name="AutoShape 40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27" name="AutoShape 40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28" name="AutoShape 40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29" name="AutoShape 40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30" name="AutoShape 40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31" name="AutoShape 40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32" name="AutoShape 40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33" name="AutoShape 39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34" name="AutoShape 39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35" name="AutoShape 39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36" name="AutoShape 39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37" name="AutoShape 39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38" name="AutoShape 39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39" name="AutoShape 39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40" name="AutoShape 39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41" name="AutoShape 39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42" name="AutoShape 39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43" name="AutoShape 38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44" name="AutoShape 38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45" name="AutoShape 38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46" name="AutoShape 38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47" name="AutoShape 38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48" name="AutoShape 38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49" name="AutoShape 38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50" name="AutoShape 38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51" name="AutoShape 38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52" name="AutoShape 38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53" name="AutoShape 37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54" name="AutoShape 37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55" name="AutoShape 37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56" name="AutoShape 37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57" name="AutoShape 37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58" name="AutoShape 37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59" name="AutoShape 37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60" name="AutoShape 37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61" name="AutoShape 37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62" name="AutoShape 37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63" name="AutoShape 36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64" name="AutoShape 42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65" name="AutoShape 42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66" name="AutoShape 42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67" name="AutoShape 41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68" name="AutoShape 41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69" name="AutoShape 41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70" name="AutoShape 41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71" name="AutoShape 41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72" name="AutoShape 41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73" name="AutoShape 41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74" name="AutoShape 41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75" name="AutoShape 41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76" name="AutoShape 41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77" name="AutoShape 40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78" name="AutoShape 40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79" name="AutoShape 40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80" name="AutoShape 40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81" name="AutoShape 40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82" name="AutoShape 40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83" name="AutoShape 40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84" name="AutoShape 40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85" name="AutoShape 40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86" name="AutoShape 40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87" name="AutoShape 39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88" name="AutoShape 39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89" name="AutoShape 39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90" name="AutoShape 39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91" name="AutoShape 39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92" name="AutoShape 39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93" name="AutoShape 39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94" name="AutoShape 39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95" name="AutoShape 39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96" name="AutoShape 39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97" name="AutoShape 38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98" name="AutoShape 38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499" name="AutoShape 38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00" name="AutoShape 38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01" name="AutoShape 38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02" name="AutoShape 38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03" name="AutoShape 38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04" name="AutoShape 38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05" name="AutoShape 38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06" name="AutoShape 38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07" name="AutoShape 37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08" name="AutoShape 37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09" name="AutoShape 37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10" name="AutoShape 37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11" name="AutoShape 37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12" name="AutoShape 37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13" name="AutoShape 37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14" name="AutoShape 37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15" name="AutoShape 37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16" name="AutoShape 37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17" name="AutoShape 36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18" name="AutoShape 42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19" name="AutoShape 42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20" name="AutoShape 42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21" name="AutoShape 41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22" name="AutoShape 41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23" name="AutoShape 41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24" name="AutoShape 41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25" name="AutoShape 41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26" name="AutoShape 41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27" name="AutoShape 41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28" name="AutoShape 41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29" name="AutoShape 41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30" name="AutoShape 41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31" name="AutoShape 40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32" name="AutoShape 40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33" name="AutoShape 40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34" name="AutoShape 40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35" name="AutoShape 40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36" name="AutoShape 40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37" name="AutoShape 40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38" name="AutoShape 40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39" name="AutoShape 40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40" name="AutoShape 40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41" name="AutoShape 39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42" name="AutoShape 39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43" name="AutoShape 39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44" name="AutoShape 39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45" name="AutoShape 39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46" name="AutoShape 39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47" name="AutoShape 39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48" name="AutoShape 39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49" name="AutoShape 39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50" name="AutoShape 39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51" name="AutoShape 38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52" name="AutoShape 38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53" name="AutoShape 38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54" name="AutoShape 38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55" name="AutoShape 38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56" name="AutoShape 38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57" name="AutoShape 38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58" name="AutoShape 38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59" name="AutoShape 38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60" name="AutoShape 38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61" name="AutoShape 37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62" name="AutoShape 37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63" name="AutoShape 37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64" name="AutoShape 37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65" name="AutoShape 37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66" name="AutoShape 37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67" name="AutoShape 37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68" name="AutoShape 37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69" name="AutoShape 37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70" name="AutoShape 37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71" name="AutoShape 36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72" name="AutoShape 42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73" name="AutoShape 42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74" name="AutoShape 42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75" name="AutoShape 41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76" name="AutoShape 41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77" name="AutoShape 41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78" name="AutoShape 41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79" name="AutoShape 41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80" name="AutoShape 41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81" name="AutoShape 41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82" name="AutoShape 41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83" name="AutoShape 41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84" name="AutoShape 41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85" name="AutoShape 40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86" name="AutoShape 40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87" name="AutoShape 40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88" name="AutoShape 40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89" name="AutoShape 40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90" name="AutoShape 40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91" name="AutoShape 40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92" name="AutoShape 40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93" name="AutoShape 40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94" name="AutoShape 40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95" name="AutoShape 39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96" name="AutoShape 39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97" name="AutoShape 39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98" name="AutoShape 39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599" name="AutoShape 39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00" name="AutoShape 39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01" name="AutoShape 39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02" name="AutoShape 39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03" name="AutoShape 39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04" name="AutoShape 39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05" name="AutoShape 38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06" name="AutoShape 38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07" name="AutoShape 38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08" name="AutoShape 38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09" name="AutoShape 38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10" name="AutoShape 38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11" name="AutoShape 38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12" name="AutoShape 38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13" name="AutoShape 38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14" name="AutoShape 38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15" name="AutoShape 37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16" name="AutoShape 37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17" name="AutoShape 37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18" name="AutoShape 37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19" name="AutoShape 37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20" name="AutoShape 37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21" name="AutoShape 37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22" name="AutoShape 37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23" name="AutoShape 37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24" name="AutoShape 37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25" name="AutoShape 36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26" name="AutoShape 42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27" name="AutoShape 42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28" name="AutoShape 42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29" name="AutoShape 41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30" name="AutoShape 41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31" name="AutoShape 41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32" name="AutoShape 41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33" name="AutoShape 41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34" name="AutoShape 41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35" name="AutoShape 41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36" name="AutoShape 41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37" name="AutoShape 41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38" name="AutoShape 41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39" name="AutoShape 40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40" name="AutoShape 40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41" name="AutoShape 40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42" name="AutoShape 40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43" name="AutoShape 40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44" name="AutoShape 40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45" name="AutoShape 40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46" name="AutoShape 40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47" name="AutoShape 40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48" name="AutoShape 40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49" name="AutoShape 39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50" name="AutoShape 39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51" name="AutoShape 39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52" name="AutoShape 39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53" name="AutoShape 39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54" name="AutoShape 39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55" name="AutoShape 39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56" name="AutoShape 39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57" name="AutoShape 39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58" name="AutoShape 39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59" name="AutoShape 38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60" name="AutoShape 38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61" name="AutoShape 38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62" name="AutoShape 38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63" name="AutoShape 38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64" name="AutoShape 38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65" name="AutoShape 38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66" name="AutoShape 38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67" name="AutoShape 38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68" name="AutoShape 38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69" name="AutoShape 37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70" name="AutoShape 37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71" name="AutoShape 37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72" name="AutoShape 37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73" name="AutoShape 37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74" name="AutoShape 37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75" name="AutoShape 37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76" name="AutoShape 37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77" name="AutoShape 37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78" name="AutoShape 37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79" name="AutoShape 36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80" name="AutoShape 42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81" name="AutoShape 42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82" name="AutoShape 42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83" name="AutoShape 41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84" name="AutoShape 41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85" name="AutoShape 41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86" name="AutoShape 41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87" name="AutoShape 41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88" name="AutoShape 41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89" name="AutoShape 41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90" name="AutoShape 41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91" name="AutoShape 41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92" name="AutoShape 41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93" name="AutoShape 40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94" name="AutoShape 40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95" name="AutoShape 40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96" name="AutoShape 40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97" name="AutoShape 40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98" name="AutoShape 40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699" name="AutoShape 40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00" name="AutoShape 40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01" name="AutoShape 40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02" name="AutoShape 40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03" name="AutoShape 39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04" name="AutoShape 39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05" name="AutoShape 39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06" name="AutoShape 39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07" name="AutoShape 39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08" name="AutoShape 39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09" name="AutoShape 39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10" name="AutoShape 39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11" name="AutoShape 39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12" name="AutoShape 39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13" name="AutoShape 38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14" name="AutoShape 38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15" name="AutoShape 38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16" name="AutoShape 38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17" name="AutoShape 38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18" name="AutoShape 38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19" name="AutoShape 38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20" name="AutoShape 38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21" name="AutoShape 38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22" name="AutoShape 38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23" name="AutoShape 37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24" name="AutoShape 37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25" name="AutoShape 37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26" name="AutoShape 37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27" name="AutoShape 37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28" name="AutoShape 37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29" name="AutoShape 37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30" name="AutoShape 37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31" name="AutoShape 37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32" name="AutoShape 37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33" name="AutoShape 36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34" name="AutoShape 42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35" name="AutoShape 42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36" name="AutoShape 42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37" name="AutoShape 41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38" name="AutoShape 41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39" name="AutoShape 41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40" name="AutoShape 41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41" name="AutoShape 41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42" name="AutoShape 41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43" name="AutoShape 41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44" name="AutoShape 41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45" name="AutoShape 41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46" name="AutoShape 41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47" name="AutoShape 40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48" name="AutoShape 40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49" name="AutoShape 40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50" name="AutoShape 40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51" name="AutoShape 40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52" name="AutoShape 40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53" name="AutoShape 40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54" name="AutoShape 40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55" name="AutoShape 40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56" name="AutoShape 40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57" name="AutoShape 39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58" name="AutoShape 39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59" name="AutoShape 39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60" name="AutoShape 39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61" name="AutoShape 39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62" name="AutoShape 39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63" name="AutoShape 39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64" name="AutoShape 39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65" name="AutoShape 39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66" name="AutoShape 39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67" name="AutoShape 38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68" name="AutoShape 38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69" name="AutoShape 38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70" name="AutoShape 38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71" name="AutoShape 38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72" name="AutoShape 38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73" name="AutoShape 38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74" name="AutoShape 38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75" name="AutoShape 38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76" name="AutoShape 38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77" name="AutoShape 37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78" name="AutoShape 378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79" name="AutoShape 377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80" name="AutoShape 376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81" name="AutoShape 375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82" name="AutoShape 374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83" name="AutoShape 373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84" name="AutoShape 372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85" name="AutoShape 371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86" name="AutoShape 370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647700</xdr:colOff>
      <xdr:row>48</xdr:row>
      <xdr:rowOff>171450</xdr:rowOff>
    </xdr:to>
    <xdr:sp macro="" textlink="">
      <xdr:nvSpPr>
        <xdr:cNvPr id="10787" name="AutoShape 369"/>
        <xdr:cNvSpPr>
          <a:spLocks noChangeArrowheads="1"/>
        </xdr:cNvSpPr>
      </xdr:nvSpPr>
      <xdr:spPr bwMode="auto">
        <a:xfrm>
          <a:off x="0" y="0"/>
          <a:ext cx="96012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hyperlink" Target="http://59.90.139.140/r15016.asp" TargetMode="External"/><Relationship Id="rId2" Type="http://schemas.openxmlformats.org/officeDocument/2006/relationships/hyperlink" Target="http://59.90.139.140/r15016.asp" TargetMode="External"/><Relationship Id="rId1" Type="http://schemas.openxmlformats.org/officeDocument/2006/relationships/hyperlink" Target="http://59.90.139.140/r15016.asp" TargetMode="Externa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Y58"/>
  <sheetViews>
    <sheetView topLeftCell="O27" zoomScaleNormal="100" workbookViewId="0">
      <selection activeCell="Y35" sqref="Y35"/>
    </sheetView>
  </sheetViews>
  <sheetFormatPr defaultRowHeight="15"/>
  <cols>
    <col min="1" max="1" width="4.85546875" customWidth="1"/>
    <col min="2" max="2" width="13.5703125" customWidth="1"/>
    <col min="3" max="3" width="25.140625" customWidth="1"/>
    <col min="4" max="4" width="15" customWidth="1"/>
    <col min="5" max="5" width="17.7109375" customWidth="1"/>
    <col min="6" max="6" width="15.28515625" customWidth="1"/>
    <col min="7" max="7" width="23.42578125" customWidth="1"/>
    <col min="8" max="8" width="12.28515625" customWidth="1"/>
    <col min="9" max="9" width="13" customWidth="1"/>
    <col min="10" max="10" width="14.85546875" customWidth="1"/>
    <col min="11" max="11" width="8.7109375" customWidth="1"/>
    <col min="12" max="12" width="8.85546875" customWidth="1"/>
    <col min="13" max="13" width="19.85546875" customWidth="1"/>
    <col min="14" max="14" width="13.85546875" customWidth="1"/>
    <col min="15" max="15" width="12.42578125" customWidth="1"/>
    <col min="16" max="16" width="16.42578125" customWidth="1"/>
    <col min="17" max="17" width="14" customWidth="1"/>
    <col min="18" max="18" width="7" customWidth="1"/>
    <col min="19" max="19" width="6.28515625" customWidth="1"/>
    <col min="20" max="20" width="22.7109375" customWidth="1"/>
    <col min="21" max="21" width="8.7109375" customWidth="1"/>
    <col min="22" max="22" width="12" customWidth="1"/>
    <col min="23" max="23" width="10" customWidth="1"/>
    <col min="24" max="1025" width="8.7109375" customWidth="1"/>
  </cols>
  <sheetData>
    <row r="2" spans="1:20" s="1" customFormat="1" ht="23.25">
      <c r="A2" s="1260" t="s">
        <v>0</v>
      </c>
      <c r="B2" s="1260"/>
      <c r="C2" s="1260"/>
      <c r="D2" s="1260"/>
      <c r="E2" s="1260"/>
      <c r="F2" s="1260"/>
      <c r="G2" s="1260"/>
      <c r="H2" s="1260"/>
      <c r="I2" s="1260"/>
      <c r="J2" s="1260"/>
      <c r="K2" s="1260"/>
      <c r="L2" s="1260"/>
      <c r="M2" s="1260"/>
      <c r="N2" s="1260"/>
      <c r="O2" s="1260"/>
      <c r="P2" s="1260"/>
      <c r="Q2" s="1260"/>
      <c r="R2" s="1260"/>
      <c r="S2" s="1260"/>
      <c r="T2" s="1260"/>
    </row>
    <row r="3" spans="1:20" s="1" customFormat="1" ht="15.75">
      <c r="A3" s="1261" t="s">
        <v>1</v>
      </c>
      <c r="B3" s="1261"/>
      <c r="C3" s="1261"/>
      <c r="D3" s="1261"/>
      <c r="E3" s="1261"/>
      <c r="F3" s="1261"/>
      <c r="G3" s="1261"/>
      <c r="H3" s="1261"/>
      <c r="I3" s="1261"/>
      <c r="J3" s="1261"/>
      <c r="K3" s="1261"/>
      <c r="L3" s="1261"/>
      <c r="M3" s="1261"/>
      <c r="N3" s="1261"/>
      <c r="O3" s="1261"/>
      <c r="P3" s="1261"/>
      <c r="Q3" s="2" t="s">
        <v>3137</v>
      </c>
      <c r="R3" s="3"/>
      <c r="S3" s="4"/>
      <c r="T3" s="5"/>
    </row>
    <row r="4" spans="1:20" s="1" customFormat="1" ht="20.100000000000001" customHeight="1">
      <c r="A4" s="1262" t="s">
        <v>2</v>
      </c>
      <c r="B4" s="1262" t="s">
        <v>3</v>
      </c>
      <c r="C4" s="1262" t="s">
        <v>4</v>
      </c>
      <c r="D4" s="1262"/>
      <c r="E4" s="1262" t="s">
        <v>5</v>
      </c>
      <c r="F4" s="1262"/>
      <c r="G4" s="1262"/>
      <c r="H4" s="1262"/>
      <c r="I4" s="1262"/>
      <c r="J4" s="1262"/>
      <c r="K4" s="1262" t="s">
        <v>6</v>
      </c>
      <c r="L4" s="1262"/>
      <c r="M4" s="1262"/>
      <c r="N4" s="1262"/>
      <c r="O4" s="1262"/>
      <c r="P4" s="1262"/>
      <c r="Q4" s="1262"/>
      <c r="R4" s="1262"/>
      <c r="S4" s="1262"/>
      <c r="T4" s="1262" t="s">
        <v>7</v>
      </c>
    </row>
    <row r="5" spans="1:20" s="1" customFormat="1" ht="20.100000000000001" customHeight="1">
      <c r="A5" s="1262"/>
      <c r="B5" s="1262"/>
      <c r="C5" s="1262" t="s">
        <v>8</v>
      </c>
      <c r="D5" s="1262"/>
      <c r="E5" s="1262" t="s">
        <v>9</v>
      </c>
      <c r="F5" s="1262"/>
      <c r="G5" s="1262" t="s">
        <v>10</v>
      </c>
      <c r="H5" s="1262"/>
      <c r="I5" s="1262" t="s">
        <v>11</v>
      </c>
      <c r="J5" s="1262"/>
      <c r="K5" s="1262" t="s">
        <v>8</v>
      </c>
      <c r="L5" s="1262"/>
      <c r="M5" s="1262" t="s">
        <v>9</v>
      </c>
      <c r="N5" s="1262"/>
      <c r="O5" s="1262"/>
      <c r="P5" s="1262" t="s">
        <v>10</v>
      </c>
      <c r="Q5" s="1262"/>
      <c r="R5" s="1262" t="s">
        <v>11</v>
      </c>
      <c r="S5" s="1262"/>
      <c r="T5" s="1262"/>
    </row>
    <row r="6" spans="1:20" s="1" customFormat="1" ht="20.100000000000001" customHeight="1">
      <c r="A6" s="1262"/>
      <c r="B6" s="1262"/>
      <c r="C6" s="7" t="s">
        <v>12</v>
      </c>
      <c r="D6" s="6" t="s">
        <v>13</v>
      </c>
      <c r="E6" s="6" t="s">
        <v>12</v>
      </c>
      <c r="F6" s="6" t="s">
        <v>13</v>
      </c>
      <c r="G6" s="6" t="s">
        <v>12</v>
      </c>
      <c r="H6" s="6" t="s">
        <v>14</v>
      </c>
      <c r="I6" s="6" t="s">
        <v>12</v>
      </c>
      <c r="J6" s="6" t="s">
        <v>14</v>
      </c>
      <c r="K6" s="6" t="s">
        <v>12</v>
      </c>
      <c r="L6" s="6" t="s">
        <v>13</v>
      </c>
      <c r="M6" s="6" t="s">
        <v>12</v>
      </c>
      <c r="N6" s="6"/>
      <c r="O6" s="6" t="s">
        <v>13</v>
      </c>
      <c r="P6" s="6" t="s">
        <v>12</v>
      </c>
      <c r="Q6" s="6" t="s">
        <v>14</v>
      </c>
      <c r="R6" s="6" t="s">
        <v>12</v>
      </c>
      <c r="S6" s="6" t="s">
        <v>14</v>
      </c>
      <c r="T6" s="6" t="s">
        <v>15</v>
      </c>
    </row>
    <row r="7" spans="1:20" s="12" customFormat="1" ht="20.100000000000001" customHeight="1">
      <c r="A7" s="1262"/>
      <c r="B7" s="1262"/>
      <c r="C7" s="8"/>
      <c r="D7" s="6">
        <v>1</v>
      </c>
      <c r="E7" s="6"/>
      <c r="F7" s="9">
        <v>2</v>
      </c>
      <c r="G7" s="6"/>
      <c r="H7" s="10"/>
      <c r="I7" s="6"/>
      <c r="J7" s="6">
        <v>4</v>
      </c>
      <c r="K7" s="6"/>
      <c r="L7" s="6">
        <v>5</v>
      </c>
      <c r="M7" s="6"/>
      <c r="N7" s="6"/>
      <c r="O7" s="6">
        <v>6</v>
      </c>
      <c r="P7" s="6"/>
      <c r="Q7" s="6">
        <v>7</v>
      </c>
      <c r="R7" s="6"/>
      <c r="S7" s="6">
        <v>8</v>
      </c>
      <c r="T7" s="11" t="s">
        <v>16</v>
      </c>
    </row>
    <row r="8" spans="1:20" s="1" customFormat="1" ht="20.100000000000001" customHeight="1">
      <c r="A8" s="1254">
        <v>1</v>
      </c>
      <c r="B8" s="1255" t="s">
        <v>17</v>
      </c>
      <c r="C8" s="13" t="s">
        <v>18</v>
      </c>
      <c r="D8" s="14">
        <f>'33KV FEEDER INPUT'!H6</f>
        <v>17002799.999999985</v>
      </c>
      <c r="E8" s="15" t="s">
        <v>19</v>
      </c>
      <c r="F8" s="16">
        <f>'33KV FEEDER INPUT'!H27</f>
        <v>2575160.0000000102</v>
      </c>
      <c r="G8" s="17" t="s">
        <v>20</v>
      </c>
      <c r="H8" s="18">
        <f>'SS INPUT'!J35</f>
        <v>99360</v>
      </c>
      <c r="K8" s="13"/>
      <c r="L8" s="13"/>
      <c r="M8" s="19"/>
      <c r="N8" s="19"/>
      <c r="O8" s="13"/>
      <c r="P8" s="13"/>
      <c r="Q8" s="13"/>
      <c r="R8" s="13"/>
      <c r="S8" s="13"/>
      <c r="T8" s="8"/>
    </row>
    <row r="9" spans="1:20" s="1" customFormat="1" ht="20.100000000000001" customHeight="1">
      <c r="A9" s="1254"/>
      <c r="B9" s="1255"/>
      <c r="C9" s="13" t="s">
        <v>21</v>
      </c>
      <c r="D9" s="20">
        <f>'33KV FEEDER INPUT'!H8</f>
        <v>21878640</v>
      </c>
      <c r="E9" s="15" t="s">
        <v>22</v>
      </c>
      <c r="F9" s="21"/>
      <c r="G9" s="17" t="s">
        <v>23</v>
      </c>
      <c r="H9" s="18">
        <f>'SS INPUT'!J519</f>
        <v>220160</v>
      </c>
      <c r="I9" s="22"/>
      <c r="J9" s="22"/>
      <c r="K9" s="13"/>
      <c r="L9" s="13"/>
      <c r="M9" s="13"/>
      <c r="N9" s="13"/>
      <c r="O9" s="13"/>
      <c r="P9" s="13"/>
      <c r="Q9" s="13"/>
      <c r="R9" s="13"/>
      <c r="S9" s="13"/>
      <c r="T9" s="8"/>
    </row>
    <row r="10" spans="1:20" s="1" customFormat="1" ht="20.100000000000001" customHeight="1">
      <c r="A10" s="1254"/>
      <c r="B10" s="1255"/>
      <c r="C10" s="13" t="s">
        <v>24</v>
      </c>
      <c r="D10" s="14">
        <f>'33KV FEEDER INPUT'!H10</f>
        <v>22201199.999999985</v>
      </c>
      <c r="E10" s="15"/>
      <c r="F10" s="21"/>
      <c r="G10" s="13" t="s">
        <v>25</v>
      </c>
      <c r="H10" s="1230">
        <v>21545</v>
      </c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8"/>
    </row>
    <row r="11" spans="1:20" s="1" customFormat="1" ht="20.100000000000001" customHeight="1">
      <c r="A11" s="1254"/>
      <c r="B11" s="1255"/>
      <c r="C11" s="13" t="s">
        <v>26</v>
      </c>
      <c r="D11" s="24">
        <f>-('33KV FEEDER INPUT'!H12+'33KV FEEDER INPUT'!H13)</f>
        <v>-9917</v>
      </c>
      <c r="E11" s="15" t="s">
        <v>27</v>
      </c>
      <c r="F11" s="21">
        <f>'33KV FEEDER INPUT'!H30</f>
        <v>3985139.9999999921</v>
      </c>
      <c r="G11" s="25" t="s">
        <v>28</v>
      </c>
      <c r="H11" s="26">
        <f>'SS INPUT'!J127</f>
        <v>382839</v>
      </c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8"/>
    </row>
    <row r="12" spans="1:20" s="1" customFormat="1" ht="20.100000000000001" customHeight="1">
      <c r="A12" s="1254"/>
      <c r="B12" s="1255"/>
      <c r="C12" s="22" t="s">
        <v>29</v>
      </c>
      <c r="D12" s="27">
        <v>0</v>
      </c>
      <c r="E12" s="15" t="s">
        <v>30</v>
      </c>
      <c r="F12" s="28">
        <f>'33KV FEEDER INPUT'!H24</f>
        <v>0</v>
      </c>
      <c r="G12" s="17"/>
      <c r="H12" s="29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8"/>
    </row>
    <row r="13" spans="1:20" s="1" customFormat="1" ht="20.100000000000001" customHeight="1">
      <c r="A13" s="1254"/>
      <c r="B13" s="1255"/>
      <c r="C13" s="13" t="s">
        <v>31</v>
      </c>
      <c r="D13" s="14">
        <v>0</v>
      </c>
      <c r="E13" s="15"/>
      <c r="F13" s="30"/>
      <c r="G13" s="31"/>
      <c r="H13" s="29"/>
      <c r="I13" s="13"/>
      <c r="J13" s="13"/>
      <c r="K13" s="13"/>
      <c r="L13" s="13"/>
      <c r="M13" s="1259" t="s">
        <v>32</v>
      </c>
      <c r="N13" s="32"/>
      <c r="O13" s="13"/>
      <c r="P13" s="13"/>
      <c r="Q13" s="13"/>
      <c r="R13" s="13"/>
      <c r="S13" s="13"/>
      <c r="T13" s="8"/>
    </row>
    <row r="14" spans="1:20" s="1" customFormat="1" ht="20.100000000000001" customHeight="1">
      <c r="A14" s="1254"/>
      <c r="B14" s="1255"/>
      <c r="C14" s="13" t="s">
        <v>33</v>
      </c>
      <c r="D14" s="33">
        <f>D8+D9+D10+D11+D12+D13</f>
        <v>61072722.99999997</v>
      </c>
      <c r="E14" s="34"/>
      <c r="F14" s="35">
        <f>F8+F9+F10+F11+F12+F13</f>
        <v>6560300.0000000019</v>
      </c>
      <c r="G14" s="36"/>
      <c r="H14" s="37">
        <f>SUM(H8:H13)</f>
        <v>723904</v>
      </c>
      <c r="I14" s="38"/>
      <c r="J14" s="19"/>
      <c r="K14" s="13"/>
      <c r="L14" s="13"/>
      <c r="M14" s="1259"/>
      <c r="N14" s="39"/>
      <c r="O14" s="40">
        <f>'IMP-EXP'!J9</f>
        <v>6531240</v>
      </c>
      <c r="P14" s="13"/>
      <c r="Q14" s="13"/>
      <c r="R14" s="13"/>
      <c r="S14" s="13"/>
      <c r="T14" s="8"/>
    </row>
    <row r="15" spans="1:20" s="1" customFormat="1" ht="20.100000000000001" customHeight="1">
      <c r="A15" s="1254">
        <v>2</v>
      </c>
      <c r="B15" s="1255" t="s">
        <v>34</v>
      </c>
      <c r="C15" s="13" t="s">
        <v>35</v>
      </c>
      <c r="D15" s="14">
        <f>'33KV FEEDER INPUT'!H44</f>
        <v>0</v>
      </c>
      <c r="E15" s="41" t="s">
        <v>36</v>
      </c>
      <c r="F15" s="42">
        <f>'33KV FEEDER INPUT'!H63</f>
        <v>3888000.0000000107</v>
      </c>
      <c r="G15" s="17" t="s">
        <v>37</v>
      </c>
      <c r="H15" s="26">
        <v>0</v>
      </c>
      <c r="I15" s="43"/>
      <c r="J15" s="44"/>
      <c r="K15" s="45"/>
      <c r="L15" s="45"/>
      <c r="M15" s="1259" t="s">
        <v>38</v>
      </c>
      <c r="N15" s="32"/>
      <c r="O15" s="45"/>
      <c r="P15" s="45"/>
      <c r="Q15" s="45"/>
      <c r="R15" s="45"/>
      <c r="S15" s="45"/>
      <c r="T15" s="7"/>
    </row>
    <row r="16" spans="1:20" s="1" customFormat="1" ht="20.100000000000001" customHeight="1">
      <c r="A16" s="1254"/>
      <c r="B16" s="1255"/>
      <c r="C16" s="13" t="s">
        <v>39</v>
      </c>
      <c r="D16" s="30">
        <f>'33KV FEEDER INPUT'!H45</f>
        <v>0</v>
      </c>
      <c r="E16" s="17" t="s">
        <v>40</v>
      </c>
      <c r="F16" s="46">
        <f>BJ24</f>
        <v>0</v>
      </c>
      <c r="G16" s="15" t="s">
        <v>41</v>
      </c>
      <c r="H16" s="26">
        <v>75000</v>
      </c>
      <c r="I16" s="15"/>
      <c r="J16" s="15"/>
      <c r="K16" s="13"/>
      <c r="L16" s="13"/>
      <c r="M16" s="1259"/>
      <c r="N16" s="39"/>
      <c r="O16" s="47">
        <f>'IMP-EXP'!J8</f>
        <v>4291320</v>
      </c>
      <c r="P16" s="13"/>
      <c r="Q16" s="13"/>
      <c r="R16" s="19"/>
      <c r="S16" s="13"/>
      <c r="T16" s="8"/>
    </row>
    <row r="17" spans="1:23" s="1" customFormat="1" ht="33.75">
      <c r="A17" s="1254"/>
      <c r="B17" s="1255"/>
      <c r="C17" s="13" t="s">
        <v>42</v>
      </c>
      <c r="D17" s="30">
        <f>'33KV FEEDER INPUT'!H47</f>
        <v>19288799.999999993</v>
      </c>
      <c r="E17" s="17" t="s">
        <v>43</v>
      </c>
      <c r="F17" s="46">
        <f>BJ29</f>
        <v>0</v>
      </c>
      <c r="G17" s="15"/>
      <c r="H17" s="29"/>
      <c r="I17" s="17"/>
      <c r="J17" s="48"/>
      <c r="K17" s="13"/>
      <c r="L17" s="13"/>
      <c r="M17" s="49" t="s">
        <v>44</v>
      </c>
      <c r="N17" s="13"/>
      <c r="O17" s="8">
        <f>'IMP-EXP'!J10</f>
        <v>3677400.0000000233</v>
      </c>
      <c r="P17" s="13"/>
      <c r="Q17" s="13"/>
      <c r="R17" s="19"/>
      <c r="S17" s="13"/>
      <c r="T17" s="8"/>
    </row>
    <row r="18" spans="1:23" s="1" customFormat="1" ht="20.100000000000001" customHeight="1">
      <c r="A18" s="1254"/>
      <c r="B18" s="1255"/>
      <c r="C18" s="13" t="s">
        <v>42</v>
      </c>
      <c r="D18" s="30">
        <f>'33KV FEEDER INPUT'!H46</f>
        <v>0</v>
      </c>
      <c r="E18" s="17"/>
      <c r="F18" s="46"/>
      <c r="G18" s="15"/>
      <c r="H18" s="29"/>
      <c r="I18" s="17"/>
      <c r="J18" s="48"/>
      <c r="K18" s="13"/>
      <c r="L18" s="13"/>
      <c r="M18" s="50" t="s">
        <v>45</v>
      </c>
      <c r="N18" s="13"/>
      <c r="O18" s="8">
        <v>2283</v>
      </c>
      <c r="P18" s="13"/>
      <c r="Q18" s="13"/>
      <c r="R18" s="19"/>
      <c r="S18" s="13"/>
      <c r="T18" s="8"/>
    </row>
    <row r="19" spans="1:23" s="1" customFormat="1" ht="20.100000000000001" customHeight="1">
      <c r="A19" s="1254"/>
      <c r="B19" s="1255"/>
      <c r="C19" s="13" t="s">
        <v>42</v>
      </c>
      <c r="D19" s="30">
        <f>'33KV FEEDER INPUT'!H48</f>
        <v>11262960.000000007</v>
      </c>
      <c r="E19" s="17"/>
      <c r="F19" s="46"/>
      <c r="G19" s="15"/>
      <c r="H19" s="29"/>
      <c r="I19" s="17"/>
      <c r="J19" s="48"/>
      <c r="K19" s="13"/>
      <c r="L19" s="13"/>
      <c r="M19" s="50" t="s">
        <v>46</v>
      </c>
      <c r="N19" s="13"/>
      <c r="O19" s="8">
        <f>'IMP-EXP'!J12</f>
        <v>290000</v>
      </c>
      <c r="P19" s="13"/>
      <c r="Q19" s="13"/>
      <c r="R19" s="19"/>
      <c r="S19" s="13"/>
      <c r="T19" s="23">
        <f>O14+O16+O21+O17+O18+O19+O20</f>
        <v>22758643.000000045</v>
      </c>
    </row>
    <row r="20" spans="1:23" s="1" customFormat="1" ht="20.100000000000001" customHeight="1">
      <c r="A20" s="1254"/>
      <c r="B20" s="1255"/>
      <c r="C20" s="13" t="s">
        <v>47</v>
      </c>
      <c r="D20" s="30">
        <f>'33KV FEEDER INPUT'!H49</f>
        <v>11135040.000000004</v>
      </c>
      <c r="E20" s="17"/>
      <c r="F20" s="46"/>
      <c r="G20" s="15"/>
      <c r="H20" s="29"/>
      <c r="I20" s="17"/>
      <c r="J20" s="48"/>
      <c r="K20" s="13"/>
      <c r="L20" s="13"/>
      <c r="M20" s="50" t="s">
        <v>48</v>
      </c>
      <c r="N20" s="13"/>
      <c r="O20" s="8">
        <f>'IMP-EXP'!J13</f>
        <v>4468000</v>
      </c>
      <c r="P20" s="13"/>
      <c r="Q20" s="13"/>
      <c r="R20" s="19"/>
      <c r="S20" s="13"/>
      <c r="T20" s="23"/>
    </row>
    <row r="21" spans="1:23" s="1" customFormat="1" ht="22.5">
      <c r="A21" s="1254"/>
      <c r="B21" s="1255"/>
      <c r="C21" s="13" t="s">
        <v>26</v>
      </c>
      <c r="D21" s="51">
        <f>-'33KV FEEDER INPUT'!H50</f>
        <v>-3146.849999999994</v>
      </c>
      <c r="E21" s="17"/>
      <c r="F21" s="52"/>
      <c r="G21" s="17"/>
      <c r="H21" s="53"/>
      <c r="I21" s="15"/>
      <c r="J21" s="15"/>
      <c r="K21" s="13"/>
      <c r="L21" s="13"/>
      <c r="M21" s="49" t="s">
        <v>49</v>
      </c>
      <c r="N21" s="13"/>
      <c r="O21" s="14">
        <f>'IMP-EXP'!J11</f>
        <v>3498400.0000000233</v>
      </c>
      <c r="P21" s="13"/>
      <c r="Q21" s="13"/>
      <c r="R21" s="13"/>
      <c r="S21" s="13"/>
      <c r="T21" s="8"/>
    </row>
    <row r="22" spans="1:23" s="1" customFormat="1" ht="20.100000000000001" customHeight="1">
      <c r="A22" s="1254"/>
      <c r="B22" s="1255"/>
      <c r="C22" s="13"/>
      <c r="D22" s="30"/>
      <c r="E22" s="54"/>
      <c r="F22" s="52"/>
      <c r="G22" s="17"/>
      <c r="H22" s="29"/>
      <c r="I22" s="15"/>
      <c r="J22" s="15"/>
      <c r="K22" s="13"/>
      <c r="L22" s="13"/>
      <c r="M22" s="19"/>
      <c r="N22" s="19"/>
      <c r="O22" s="14"/>
      <c r="P22" s="13"/>
      <c r="Q22" s="13"/>
      <c r="R22" s="13"/>
      <c r="S22" s="13"/>
      <c r="T22" s="8"/>
    </row>
    <row r="23" spans="1:23" s="1" customFormat="1" ht="20.100000000000001" customHeight="1">
      <c r="A23" s="1254"/>
      <c r="B23" s="1255"/>
      <c r="C23" s="13" t="s">
        <v>50</v>
      </c>
      <c r="D23" s="35">
        <f>D15+D16+D17+D19+D18+D21+D20</f>
        <v>41683653.150000006</v>
      </c>
      <c r="E23" s="55"/>
      <c r="F23" s="56">
        <f>F15</f>
        <v>3888000.0000000107</v>
      </c>
      <c r="G23" s="34"/>
      <c r="H23" s="57">
        <f>H15+H16+H17+H21</f>
        <v>75000</v>
      </c>
      <c r="I23" s="58"/>
      <c r="J23" s="15"/>
      <c r="K23" s="13"/>
      <c r="L23" s="13"/>
      <c r="M23" s="13"/>
      <c r="N23" s="13"/>
      <c r="O23" s="13"/>
      <c r="P23" s="13"/>
      <c r="Q23" s="13"/>
      <c r="R23" s="13"/>
      <c r="S23" s="13"/>
      <c r="T23" s="8"/>
    </row>
    <row r="24" spans="1:23" s="1" customFormat="1" ht="20.100000000000001" customHeight="1">
      <c r="A24" s="1254">
        <v>3</v>
      </c>
      <c r="B24" s="1255" t="s">
        <v>51</v>
      </c>
      <c r="C24" s="13" t="s">
        <v>52</v>
      </c>
      <c r="D24" s="30">
        <f>'33KV FEEDER INPUT'!H80</f>
        <v>0</v>
      </c>
      <c r="E24" s="17" t="s">
        <v>53</v>
      </c>
      <c r="F24" s="46">
        <f>'33KV FEEDER INPUT'!H96</f>
        <v>2956799.9999999767</v>
      </c>
      <c r="G24" s="15"/>
      <c r="H24" s="37"/>
      <c r="I24" s="15"/>
      <c r="J24" s="15"/>
      <c r="K24" s="13"/>
      <c r="L24" s="13"/>
      <c r="M24" s="13"/>
      <c r="N24" s="13"/>
      <c r="O24" s="13"/>
      <c r="P24" s="13"/>
      <c r="Q24" s="13"/>
      <c r="R24" s="13"/>
      <c r="S24" s="13"/>
      <c r="T24" s="8"/>
    </row>
    <row r="25" spans="1:23" s="1" customFormat="1" ht="20.100000000000001" customHeight="1">
      <c r="A25" s="1254"/>
      <c r="B25" s="1255"/>
      <c r="C25" s="13" t="s">
        <v>52</v>
      </c>
      <c r="D25" s="30">
        <f>'33KV FEEDER INPUT'!H81</f>
        <v>21251160.000000004</v>
      </c>
      <c r="E25" s="17"/>
      <c r="F25" s="46"/>
      <c r="G25" s="15"/>
      <c r="H25" s="37"/>
      <c r="I25" s="15"/>
      <c r="J25" s="15"/>
      <c r="K25" s="13"/>
      <c r="L25" s="13"/>
      <c r="M25" s="13"/>
      <c r="N25" s="13"/>
      <c r="O25" s="13"/>
      <c r="P25" s="13"/>
      <c r="Q25" s="13"/>
      <c r="R25" s="13"/>
      <c r="S25" s="13"/>
      <c r="T25" s="8"/>
    </row>
    <row r="26" spans="1:23" s="1" customFormat="1" ht="20.100000000000001" customHeight="1">
      <c r="A26" s="1254"/>
      <c r="B26" s="1255"/>
      <c r="C26" s="59" t="s">
        <v>54</v>
      </c>
      <c r="D26" s="30">
        <f>'33KV FEEDER INPUT'!H82</f>
        <v>0</v>
      </c>
      <c r="E26" s="17"/>
      <c r="F26" s="46"/>
      <c r="G26" s="15"/>
      <c r="H26" s="37"/>
      <c r="I26" s="15"/>
      <c r="J26" s="15"/>
      <c r="K26" s="13"/>
      <c r="L26" s="13"/>
      <c r="M26" s="13"/>
      <c r="N26" s="13"/>
      <c r="O26" s="13"/>
      <c r="P26" s="13"/>
      <c r="Q26" s="13"/>
      <c r="R26" s="13"/>
      <c r="S26" s="13"/>
      <c r="T26" s="8"/>
    </row>
    <row r="27" spans="1:23" s="1" customFormat="1" ht="20.100000000000001" customHeight="1">
      <c r="A27" s="1254"/>
      <c r="B27" s="1255"/>
      <c r="C27" s="59" t="s">
        <v>54</v>
      </c>
      <c r="D27" s="30">
        <f>'33KV FEEDER INPUT'!H83</f>
        <v>22502879.999999993</v>
      </c>
      <c r="E27" s="17" t="s">
        <v>55</v>
      </c>
      <c r="F27" s="46">
        <f>'33KV FEEDER INPUT'!H97-'33KV FEEDER INPUT'!H99</f>
        <v>3644120</v>
      </c>
      <c r="G27" s="15" t="s">
        <v>56</v>
      </c>
      <c r="H27" s="18">
        <f>'IMP-EXP'!J31</f>
        <v>110933</v>
      </c>
      <c r="I27" s="15"/>
      <c r="J27" s="15"/>
      <c r="K27" s="13"/>
      <c r="L27" s="13"/>
      <c r="M27" s="13"/>
      <c r="N27" s="13"/>
      <c r="O27" s="13"/>
      <c r="P27" s="13"/>
      <c r="Q27" s="13"/>
      <c r="R27" s="13"/>
      <c r="S27" s="13"/>
      <c r="T27" s="8"/>
    </row>
    <row r="28" spans="1:23" s="1" customFormat="1" ht="20.100000000000001" customHeight="1">
      <c r="A28" s="1254"/>
      <c r="B28" s="1255"/>
      <c r="C28" s="13" t="s">
        <v>26</v>
      </c>
      <c r="D28" s="60">
        <f>-'33KV FEEDER INPUT'!H84</f>
        <v>-4284</v>
      </c>
      <c r="E28" s="61" t="s">
        <v>57</v>
      </c>
      <c r="F28" s="62">
        <v>0</v>
      </c>
      <c r="G28" s="34"/>
      <c r="H28" s="63"/>
      <c r="I28" s="15"/>
      <c r="J28" s="15"/>
      <c r="K28" s="13"/>
      <c r="L28" s="13"/>
      <c r="M28" s="13"/>
      <c r="N28" s="13"/>
      <c r="O28" s="13"/>
      <c r="P28" s="13"/>
      <c r="Q28" s="13"/>
      <c r="R28" s="13"/>
      <c r="S28" s="13"/>
      <c r="T28" s="8"/>
    </row>
    <row r="29" spans="1:23" s="1" customFormat="1" ht="20.100000000000001" customHeight="1">
      <c r="A29" s="1254"/>
      <c r="B29" s="1255"/>
      <c r="C29" s="13" t="s">
        <v>58</v>
      </c>
      <c r="D29" s="28">
        <f>D24+D26+D27+D28+D25</f>
        <v>43749756</v>
      </c>
      <c r="E29" s="17"/>
      <c r="F29" s="64">
        <f>F24+F27+F28</f>
        <v>6600919.9999999767</v>
      </c>
      <c r="G29" s="15"/>
      <c r="H29" s="37">
        <f>H24+H27+H28</f>
        <v>110933</v>
      </c>
      <c r="I29" s="58"/>
      <c r="J29" s="15"/>
      <c r="K29" s="13"/>
      <c r="L29" s="13"/>
      <c r="M29" s="13"/>
      <c r="N29" s="13"/>
      <c r="O29" s="13"/>
      <c r="P29" s="13"/>
      <c r="Q29" s="13"/>
      <c r="R29" s="13"/>
      <c r="S29" s="13"/>
      <c r="T29" s="23"/>
    </row>
    <row r="30" spans="1:23" s="1" customFormat="1" ht="20.100000000000001" customHeight="1">
      <c r="A30" s="1254"/>
      <c r="B30" s="1255"/>
      <c r="C30" s="65"/>
      <c r="D30" s="66">
        <v>0</v>
      </c>
      <c r="E30" s="55"/>
      <c r="F30" s="67"/>
      <c r="G30" s="15"/>
      <c r="H30" s="29"/>
      <c r="I30" s="15"/>
      <c r="J30" s="15"/>
      <c r="K30" s="13"/>
      <c r="L30" s="13"/>
      <c r="M30" s="13"/>
      <c r="N30" s="13"/>
      <c r="O30" s="13"/>
      <c r="P30" s="13"/>
      <c r="Q30" s="13"/>
      <c r="R30" s="13"/>
      <c r="S30" s="13"/>
      <c r="T30" s="8">
        <v>125511228</v>
      </c>
      <c r="V30" s="1">
        <v>2300000</v>
      </c>
    </row>
    <row r="31" spans="1:23" s="1" customFormat="1" ht="20.100000000000001" customHeight="1">
      <c r="A31" s="8"/>
      <c r="B31" s="68"/>
      <c r="C31" s="22" t="s">
        <v>59</v>
      </c>
      <c r="D31" s="64">
        <f>D14+D23+D29</f>
        <v>146506132.14999998</v>
      </c>
      <c r="E31" s="55"/>
      <c r="F31" s="64">
        <f>SUM(F14+F23+F29)</f>
        <v>17049219.999999989</v>
      </c>
      <c r="G31" s="15"/>
      <c r="H31" s="37">
        <f>H14+H15+H24+H27+H16</f>
        <v>909837</v>
      </c>
      <c r="I31" s="15"/>
      <c r="J31" s="69"/>
      <c r="K31" s="13"/>
      <c r="L31" s="13"/>
      <c r="M31" s="13"/>
      <c r="N31" s="13"/>
      <c r="O31" s="70">
        <f>O16+O17+O14+O21+O22+O18+O19+O20</f>
        <v>22758643.000000045</v>
      </c>
      <c r="P31" s="13"/>
      <c r="Q31" s="19">
        <f>Q16+Q17+Q21</f>
        <v>0</v>
      </c>
      <c r="R31" s="13"/>
      <c r="S31" s="19">
        <f>S16+S17</f>
        <v>0</v>
      </c>
      <c r="T31" s="71">
        <f>D31-F31-H31-J31+O31+Q31+S31</f>
        <v>151305718.15000004</v>
      </c>
      <c r="U31" s="72">
        <f>T31-V31</f>
        <v>-39874925.849999964</v>
      </c>
      <c r="V31" s="72">
        <v>191180644</v>
      </c>
      <c r="W31" s="1">
        <v>111105640</v>
      </c>
    </row>
    <row r="32" spans="1:23" s="1" customFormat="1" ht="20.100000000000001" customHeight="1">
      <c r="A32" s="8"/>
      <c r="B32" s="73"/>
      <c r="C32" s="74"/>
      <c r="D32" s="30"/>
      <c r="E32" s="17" t="s">
        <v>60</v>
      </c>
      <c r="F32" s="75">
        <f>P35</f>
        <v>362142</v>
      </c>
      <c r="G32" s="15"/>
      <c r="H32" s="53"/>
      <c r="I32" s="15"/>
      <c r="J32" s="17"/>
      <c r="K32" s="13"/>
      <c r="L32" s="13"/>
      <c r="M32" s="13"/>
      <c r="N32" s="13"/>
      <c r="O32" s="13"/>
      <c r="P32" s="13"/>
      <c r="Q32" s="13"/>
      <c r="R32" s="13"/>
      <c r="S32" s="13"/>
      <c r="T32" s="76">
        <f>T31-P35</f>
        <v>150943576.15000004</v>
      </c>
      <c r="U32" s="72">
        <f>T32-V32</f>
        <v>45394838.240000039</v>
      </c>
      <c r="V32" s="72">
        <v>105548737.91</v>
      </c>
      <c r="W32" s="72">
        <f>W31-T31</f>
        <v>-40200078.150000036</v>
      </c>
    </row>
    <row r="33" spans="1:25" s="1" customFormat="1" ht="20.100000000000001" customHeight="1">
      <c r="A33" s="1256" t="str">
        <f>Q3</f>
        <v>OCT.2024</v>
      </c>
      <c r="B33" s="1256"/>
      <c r="C33" s="13" t="s">
        <v>61</v>
      </c>
      <c r="D33" s="77">
        <f>D31+O31-F31-H31-F32</f>
        <v>150943576.15000004</v>
      </c>
      <c r="E33" s="78"/>
      <c r="F33" s="79"/>
      <c r="G33" s="22"/>
      <c r="H33" s="80"/>
      <c r="I33" s="1257" t="s">
        <v>62</v>
      </c>
      <c r="J33" s="1257"/>
      <c r="K33" s="1257"/>
      <c r="L33" s="1257"/>
      <c r="M33" s="1257"/>
      <c r="N33" s="1257"/>
      <c r="O33" s="1257"/>
      <c r="P33" s="1257"/>
      <c r="Q33" s="23"/>
      <c r="R33" s="22"/>
      <c r="S33" s="22"/>
      <c r="T33" s="22"/>
      <c r="V33" s="1">
        <v>11025546</v>
      </c>
      <c r="W33" s="72">
        <f>V33-T32</f>
        <v>-139918030.15000004</v>
      </c>
    </row>
    <row r="34" spans="1:25" s="1" customFormat="1" ht="28.5" customHeight="1">
      <c r="A34" s="1258"/>
      <c r="B34" s="1258"/>
      <c r="C34" s="22"/>
      <c r="D34" s="22"/>
      <c r="E34" s="22"/>
      <c r="F34" s="79"/>
      <c r="G34" s="22"/>
      <c r="H34" s="81" t="s">
        <v>63</v>
      </c>
      <c r="I34" s="7" t="s">
        <v>64</v>
      </c>
      <c r="J34" s="82" t="s">
        <v>65</v>
      </c>
      <c r="K34" s="83" t="s">
        <v>66</v>
      </c>
      <c r="L34" s="84" t="s">
        <v>67</v>
      </c>
      <c r="M34" s="84" t="s">
        <v>68</v>
      </c>
      <c r="N34" s="85" t="s">
        <v>69</v>
      </c>
      <c r="O34" s="84" t="s">
        <v>70</v>
      </c>
      <c r="P34" s="8" t="s">
        <v>71</v>
      </c>
      <c r="Q34" s="22"/>
      <c r="R34" s="22"/>
      <c r="S34" s="22"/>
      <c r="T34" s="22"/>
      <c r="V34" s="1">
        <v>161232141</v>
      </c>
    </row>
    <row r="35" spans="1:25" s="1" customFormat="1" ht="36" customHeight="1">
      <c r="A35" s="8"/>
      <c r="B35" s="73"/>
      <c r="C35" s="22"/>
      <c r="D35" s="22"/>
      <c r="E35" s="22"/>
      <c r="F35" s="79"/>
      <c r="G35" s="22"/>
      <c r="H35" s="8">
        <f>'33 KV HT'!M150</f>
        <v>34156</v>
      </c>
      <c r="I35" s="8">
        <f>'33 KV HT'!M149</f>
        <v>54518</v>
      </c>
      <c r="J35" s="23">
        <f>'33 KV HT'!M147</f>
        <v>0</v>
      </c>
      <c r="K35" s="8">
        <f>'33 KV HT'!M148</f>
        <v>27634</v>
      </c>
      <c r="L35" s="23">
        <f>'33 KV HT'!M145</f>
        <v>122882</v>
      </c>
      <c r="M35" s="23">
        <f>'33 KV HT'!M146</f>
        <v>28561</v>
      </c>
      <c r="N35" s="23">
        <f>'33 KV HT'!M151</f>
        <v>94391</v>
      </c>
      <c r="O35" s="8">
        <f>'33 KV HT'!M152</f>
        <v>0</v>
      </c>
      <c r="P35" s="8">
        <f>SUM(H35:O35)</f>
        <v>362142</v>
      </c>
      <c r="Q35" s="22"/>
      <c r="R35" s="22"/>
      <c r="S35" s="22"/>
      <c r="T35" s="77"/>
      <c r="V35" s="72">
        <f>T32-V34</f>
        <v>-10288564.849999964</v>
      </c>
      <c r="Y35" s="1">
        <v>1594</v>
      </c>
    </row>
    <row r="36" spans="1:25">
      <c r="W36">
        <v>214642589</v>
      </c>
    </row>
    <row r="37" spans="1:25">
      <c r="D37">
        <v>65360235</v>
      </c>
      <c r="F37">
        <v>5415400</v>
      </c>
      <c r="T37">
        <v>161232141</v>
      </c>
      <c r="W37" s="86">
        <f>W36-T31</f>
        <v>63336870.849999964</v>
      </c>
    </row>
    <row r="38" spans="1:25">
      <c r="D38" s="87">
        <f>D14-D37</f>
        <v>-4287512.0000000298</v>
      </c>
      <c r="F38" s="86">
        <f>F37-F14</f>
        <v>-1144900.0000000019</v>
      </c>
      <c r="G38" s="87">
        <f>D31-F31+O31</f>
        <v>152215555.15000004</v>
      </c>
      <c r="I38">
        <v>155781080</v>
      </c>
      <c r="T38" s="86">
        <f>T32-T37</f>
        <v>-10288564.849999964</v>
      </c>
    </row>
    <row r="39" spans="1:25">
      <c r="G39" s="87">
        <f>G38-2060400</f>
        <v>150155155.15000004</v>
      </c>
      <c r="I39" s="87">
        <f>I38-G38</f>
        <v>3565524.8499999642</v>
      </c>
      <c r="O39">
        <v>109</v>
      </c>
      <c r="T39">
        <v>169600365</v>
      </c>
      <c r="W39">
        <v>95014880</v>
      </c>
    </row>
    <row r="40" spans="1:25">
      <c r="B40">
        <v>6888</v>
      </c>
      <c r="C40">
        <v>315</v>
      </c>
      <c r="D40">
        <v>894</v>
      </c>
      <c r="E40">
        <v>2556</v>
      </c>
      <c r="F40">
        <v>12493</v>
      </c>
      <c r="G40">
        <v>68</v>
      </c>
      <c r="O40">
        <v>57</v>
      </c>
      <c r="P40">
        <v>24</v>
      </c>
      <c r="T40" s="86">
        <f>T32-T39</f>
        <v>-18656788.849999964</v>
      </c>
      <c r="W40" s="86">
        <f>T32-W39</f>
        <v>55928696.150000036</v>
      </c>
    </row>
    <row r="41" spans="1:25">
      <c r="B41">
        <v>5605</v>
      </c>
      <c r="C41">
        <v>850</v>
      </c>
      <c r="D41">
        <v>420</v>
      </c>
      <c r="E41">
        <v>1200</v>
      </c>
      <c r="F41">
        <v>1600</v>
      </c>
      <c r="G41">
        <v>3850</v>
      </c>
      <c r="O41">
        <v>39</v>
      </c>
      <c r="P41">
        <v>12</v>
      </c>
      <c r="V41">
        <v>1696.0036536</v>
      </c>
    </row>
    <row r="42" spans="1:25">
      <c r="B42">
        <v>3068</v>
      </c>
      <c r="C42">
        <v>310</v>
      </c>
      <c r="D42">
        <v>410</v>
      </c>
      <c r="F42">
        <v>3068</v>
      </c>
      <c r="G42">
        <v>150</v>
      </c>
      <c r="O42">
        <v>42</v>
      </c>
      <c r="P42">
        <v>8</v>
      </c>
      <c r="T42">
        <v>182384738</v>
      </c>
    </row>
    <row r="43" spans="1:25">
      <c r="B43">
        <v>3850</v>
      </c>
      <c r="C43">
        <v>1800</v>
      </c>
      <c r="D43">
        <v>840</v>
      </c>
      <c r="F43">
        <v>3850</v>
      </c>
    </row>
    <row r="44" spans="1:25">
      <c r="B44">
        <v>1600</v>
      </c>
      <c r="C44">
        <v>220</v>
      </c>
      <c r="D44">
        <v>150</v>
      </c>
      <c r="F44">
        <v>3756</v>
      </c>
      <c r="T44" s="86">
        <f>T42-T32</f>
        <v>31441161.849999964</v>
      </c>
    </row>
    <row r="45" spans="1:25">
      <c r="B45">
        <v>150</v>
      </c>
      <c r="C45">
        <v>1200</v>
      </c>
      <c r="D45">
        <v>735</v>
      </c>
      <c r="F45">
        <v>150</v>
      </c>
    </row>
    <row r="46" spans="1:25">
      <c r="B46">
        <v>3756</v>
      </c>
      <c r="C46">
        <v>910</v>
      </c>
      <c r="D46">
        <v>100</v>
      </c>
    </row>
    <row r="47" spans="1:25">
      <c r="B47">
        <f>SUM(B40:B46)</f>
        <v>24917</v>
      </c>
      <c r="D47">
        <v>275</v>
      </c>
      <c r="T47">
        <v>119855535</v>
      </c>
    </row>
    <row r="48" spans="1:25">
      <c r="B48">
        <v>83</v>
      </c>
      <c r="D48">
        <v>300</v>
      </c>
    </row>
    <row r="49" spans="2:20">
      <c r="B49">
        <f>SUM(B47:B48)</f>
        <v>25000</v>
      </c>
      <c r="D49">
        <v>640</v>
      </c>
      <c r="T49" s="86">
        <f>T47-T32</f>
        <v>-31088041.150000036</v>
      </c>
    </row>
    <row r="52" spans="2:20">
      <c r="D52">
        <v>2124</v>
      </c>
    </row>
    <row r="56" spans="2:20">
      <c r="C56">
        <f>SUM(C40:C55)</f>
        <v>5605</v>
      </c>
      <c r="D56">
        <f>SUM(D40:D55)</f>
        <v>6888</v>
      </c>
      <c r="E56">
        <f>SUM(C56:D56)</f>
        <v>12493</v>
      </c>
      <c r="F56">
        <f>SUM(F40:F55)</f>
        <v>24917</v>
      </c>
      <c r="G56">
        <f>SUM(G40:G55)</f>
        <v>4068</v>
      </c>
    </row>
    <row r="57" spans="2:20">
      <c r="F57">
        <v>25000</v>
      </c>
      <c r="G57">
        <v>2878</v>
      </c>
    </row>
    <row r="58" spans="2:20">
      <c r="F58">
        <f>SUM(F56-F57)</f>
        <v>-83</v>
      </c>
      <c r="G58">
        <f>SUM(G56-G57)</f>
        <v>1190</v>
      </c>
    </row>
  </sheetData>
  <mergeCells count="27">
    <mergeCell ref="A2:T2"/>
    <mergeCell ref="A3:P3"/>
    <mergeCell ref="A4:A7"/>
    <mergeCell ref="B4:B7"/>
    <mergeCell ref="C4:D4"/>
    <mergeCell ref="E4:J4"/>
    <mergeCell ref="K4:S4"/>
    <mergeCell ref="T4:T5"/>
    <mergeCell ref="C5:D5"/>
    <mergeCell ref="E5:F5"/>
    <mergeCell ref="G5:H5"/>
    <mergeCell ref="I5:J5"/>
    <mergeCell ref="K5:L5"/>
    <mergeCell ref="M5:O5"/>
    <mergeCell ref="P5:Q5"/>
    <mergeCell ref="R5:S5"/>
    <mergeCell ref="A8:A14"/>
    <mergeCell ref="B8:B14"/>
    <mergeCell ref="M13:M14"/>
    <mergeCell ref="A15:A23"/>
    <mergeCell ref="B15:B23"/>
    <mergeCell ref="M15:M16"/>
    <mergeCell ref="A24:A30"/>
    <mergeCell ref="B24:B30"/>
    <mergeCell ref="A33:B33"/>
    <mergeCell ref="I33:P33"/>
    <mergeCell ref="A34:B34"/>
  </mergeCells>
  <pageMargins left="0.42013888888888901" right="0.22986111111111099" top="0.75" bottom="0.75" header="0.51180555555555496" footer="0.51180555555555496"/>
  <pageSetup paperSize="9" firstPageNumber="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G54"/>
  <sheetViews>
    <sheetView zoomScaleNormal="100" workbookViewId="0">
      <selection activeCell="G54" sqref="A1:G54"/>
    </sheetView>
  </sheetViews>
  <sheetFormatPr defaultRowHeight="15"/>
  <cols>
    <col min="1" max="1" width="8.7109375" customWidth="1"/>
    <col min="2" max="2" width="42.7109375" customWidth="1"/>
    <col min="3" max="3" width="11.85546875" customWidth="1"/>
    <col min="4" max="4" width="8.7109375" customWidth="1"/>
    <col min="5" max="5" width="12.28515625" customWidth="1"/>
    <col min="6" max="6" width="8.7109375" customWidth="1"/>
    <col min="7" max="7" width="13.28515625" customWidth="1"/>
    <col min="8" max="1025" width="8.7109375" customWidth="1"/>
  </cols>
  <sheetData>
    <row r="2" spans="1:7" ht="22.5">
      <c r="A2" s="88" t="s">
        <v>72</v>
      </c>
      <c r="B2" s="89"/>
      <c r="C2" s="89"/>
      <c r="D2" s="89"/>
      <c r="E2" s="90" t="str">
        <f>'CIRCLE INPUT'!Q3</f>
        <v>OCT.2024</v>
      </c>
      <c r="F2" s="89"/>
      <c r="G2" s="91" t="s">
        <v>73</v>
      </c>
    </row>
    <row r="3" spans="1:7" ht="20.25">
      <c r="A3" s="1263" t="s">
        <v>74</v>
      </c>
      <c r="B3" s="1263"/>
      <c r="C3" s="1263"/>
      <c r="D3" s="1263"/>
      <c r="E3" s="1263"/>
      <c r="F3" s="1263"/>
      <c r="G3" s="1263"/>
    </row>
    <row r="4" spans="1:7">
      <c r="A4" s="92" t="s">
        <v>75</v>
      </c>
      <c r="B4" s="93" t="s">
        <v>76</v>
      </c>
      <c r="C4" s="94" t="s">
        <v>77</v>
      </c>
      <c r="D4" s="95" t="s">
        <v>78</v>
      </c>
      <c r="E4" s="95" t="s">
        <v>78</v>
      </c>
      <c r="F4" s="96" t="s">
        <v>77</v>
      </c>
      <c r="G4" s="95" t="s">
        <v>79</v>
      </c>
    </row>
    <row r="5" spans="1:7" ht="15" customHeight="1">
      <c r="A5" s="97"/>
      <c r="B5" s="98"/>
      <c r="C5" s="94" t="s">
        <v>80</v>
      </c>
      <c r="D5" s="94" t="s">
        <v>81</v>
      </c>
      <c r="E5" s="94" t="s">
        <v>82</v>
      </c>
      <c r="F5" s="99" t="s">
        <v>83</v>
      </c>
      <c r="G5" s="100"/>
    </row>
    <row r="6" spans="1:7" ht="15" customHeight="1">
      <c r="A6" s="101" t="s">
        <v>84</v>
      </c>
      <c r="B6" s="102" t="s">
        <v>85</v>
      </c>
      <c r="C6" s="103"/>
      <c r="D6" s="103"/>
      <c r="E6" s="103"/>
      <c r="F6" s="104"/>
      <c r="G6" s="104"/>
    </row>
    <row r="7" spans="1:7" ht="15" customHeight="1">
      <c r="A7" s="105"/>
      <c r="B7" s="106" t="s">
        <v>86</v>
      </c>
      <c r="C7" s="107">
        <f>C12</f>
        <v>220.30492696361057</v>
      </c>
      <c r="D7" s="107">
        <f>D12</f>
        <v>80.700262030879571</v>
      </c>
      <c r="E7" s="107">
        <f>E12</f>
        <v>662.65860722501941</v>
      </c>
      <c r="F7" s="107">
        <f>F12</f>
        <v>520.60043048048999</v>
      </c>
      <c r="G7" s="107">
        <f>G12</f>
        <v>1484.2642266999997</v>
      </c>
    </row>
    <row r="8" spans="1:7" ht="15" customHeight="1">
      <c r="A8" s="108"/>
      <c r="B8" s="109" t="s">
        <v>87</v>
      </c>
      <c r="C8" s="110"/>
      <c r="D8" s="110"/>
      <c r="E8" s="110"/>
      <c r="F8" s="110"/>
      <c r="G8" s="111"/>
    </row>
    <row r="9" spans="1:7" ht="15" customHeight="1">
      <c r="A9" s="105"/>
      <c r="B9" s="106" t="s">
        <v>88</v>
      </c>
      <c r="C9" s="107">
        <v>0</v>
      </c>
      <c r="D9" s="107">
        <v>0</v>
      </c>
      <c r="E9" s="107">
        <v>0</v>
      </c>
      <c r="F9" s="107">
        <v>0</v>
      </c>
      <c r="G9" s="112">
        <f>C9+D9+E9+F9</f>
        <v>0</v>
      </c>
    </row>
    <row r="10" spans="1:7" ht="15" customHeight="1">
      <c r="A10" s="108"/>
      <c r="B10" s="109" t="s">
        <v>89</v>
      </c>
      <c r="C10" s="110">
        <v>0</v>
      </c>
      <c r="D10" s="110">
        <v>0</v>
      </c>
      <c r="E10" s="110">
        <v>0</v>
      </c>
      <c r="F10" s="110">
        <v>0</v>
      </c>
      <c r="G10" s="112">
        <f>C10+D10+E10+F10</f>
        <v>0</v>
      </c>
    </row>
    <row r="11" spans="1:7" ht="15" customHeight="1">
      <c r="A11" s="105"/>
      <c r="B11" s="106" t="s">
        <v>90</v>
      </c>
      <c r="C11" s="107"/>
      <c r="D11" s="107"/>
      <c r="E11" s="112"/>
      <c r="F11" s="111"/>
      <c r="G11" s="112">
        <f>C11+D11+E11+F11</f>
        <v>0</v>
      </c>
    </row>
    <row r="12" spans="1:7" ht="15" customHeight="1">
      <c r="A12" s="105"/>
      <c r="B12" s="105" t="s">
        <v>91</v>
      </c>
      <c r="C12" s="107">
        <f>C26+C25-C18</f>
        <v>220.30492696361057</v>
      </c>
      <c r="D12" s="107">
        <f>D26+D25-D18</f>
        <v>80.700262030879571</v>
      </c>
      <c r="E12" s="107">
        <f>E26+E25-E18</f>
        <v>662.65860722501941</v>
      </c>
      <c r="F12" s="107">
        <f>F26+F25-F18</f>
        <v>520.60043048048999</v>
      </c>
      <c r="G12" s="112">
        <f>C12+D12+E12+F12</f>
        <v>1484.2642266999997</v>
      </c>
    </row>
    <row r="13" spans="1:7" ht="15" customHeight="1">
      <c r="A13" s="105" t="s">
        <v>15</v>
      </c>
      <c r="B13" s="105" t="s">
        <v>6</v>
      </c>
      <c r="C13" s="107"/>
      <c r="D13" s="107"/>
      <c r="E13" s="112"/>
      <c r="F13" s="111"/>
      <c r="G13" s="112"/>
    </row>
    <row r="14" spans="1:7" ht="15" customHeight="1">
      <c r="A14" s="108"/>
      <c r="B14" s="109" t="s">
        <v>92</v>
      </c>
      <c r="C14" s="111">
        <f>'IMP-EXP'!J10/100000</f>
        <v>36.774000000000235</v>
      </c>
      <c r="D14" s="111">
        <f>('IMP-EXP'!J8+'IMP-EXP'!J9+'IMP-EXP'!J11)/100000</f>
        <v>143.20960000000022</v>
      </c>
      <c r="E14" s="111">
        <v>0</v>
      </c>
      <c r="F14" s="111">
        <v>0</v>
      </c>
      <c r="G14" s="112">
        <f t="shared" ref="G14:G19" si="0">C14+D14+E14+F14</f>
        <v>179.98360000000045</v>
      </c>
    </row>
    <row r="15" spans="1:7" ht="15" customHeight="1">
      <c r="A15" s="105"/>
      <c r="B15" s="106" t="s">
        <v>93</v>
      </c>
      <c r="C15" s="112">
        <v>0</v>
      </c>
      <c r="D15" s="112">
        <v>0</v>
      </c>
      <c r="E15" s="112">
        <v>0</v>
      </c>
      <c r="F15" s="111">
        <v>0</v>
      </c>
      <c r="G15" s="112">
        <f t="shared" si="0"/>
        <v>0</v>
      </c>
    </row>
    <row r="16" spans="1:7" ht="15" customHeight="1">
      <c r="A16" s="105"/>
      <c r="B16" s="106" t="s">
        <v>94</v>
      </c>
      <c r="C16" s="112">
        <v>0</v>
      </c>
      <c r="D16" s="112">
        <v>0</v>
      </c>
      <c r="E16" s="112">
        <v>0</v>
      </c>
      <c r="F16" s="111">
        <v>0</v>
      </c>
      <c r="G16" s="112">
        <f t="shared" si="0"/>
        <v>0</v>
      </c>
    </row>
    <row r="17" spans="1:7" ht="15" customHeight="1">
      <c r="A17" s="105"/>
      <c r="B17" s="105"/>
      <c r="C17" s="107"/>
      <c r="D17" s="107"/>
      <c r="E17" s="112"/>
      <c r="F17" s="111"/>
      <c r="G17" s="112">
        <f t="shared" si="0"/>
        <v>0</v>
      </c>
    </row>
    <row r="18" spans="1:7" ht="15" customHeight="1">
      <c r="A18" s="105"/>
      <c r="B18" s="105" t="s">
        <v>91</v>
      </c>
      <c r="C18" s="113">
        <f>C14+C15+C16</f>
        <v>36.774000000000235</v>
      </c>
      <c r="D18" s="113">
        <f>D14+D15+D16</f>
        <v>143.20960000000022</v>
      </c>
      <c r="E18" s="113">
        <f>E14+E15+E16</f>
        <v>0</v>
      </c>
      <c r="F18" s="114">
        <f>F14+F15+F16</f>
        <v>0</v>
      </c>
      <c r="G18" s="112">
        <f t="shared" si="0"/>
        <v>179.98360000000045</v>
      </c>
    </row>
    <row r="19" spans="1:7" ht="15" customHeight="1">
      <c r="A19" s="105"/>
      <c r="B19" s="105" t="s">
        <v>91</v>
      </c>
      <c r="C19" s="107">
        <f>C12+C18</f>
        <v>257.0789269636108</v>
      </c>
      <c r="D19" s="107">
        <f>D12+D18</f>
        <v>223.90986203087979</v>
      </c>
      <c r="E19" s="107">
        <f>E12+E18</f>
        <v>662.65860722501941</v>
      </c>
      <c r="F19" s="107">
        <f>F12+F18</f>
        <v>520.60043048048999</v>
      </c>
      <c r="G19" s="112">
        <f t="shared" si="0"/>
        <v>1664.2478267000001</v>
      </c>
    </row>
    <row r="20" spans="1:7" ht="15" customHeight="1">
      <c r="A20" s="105">
        <v>2</v>
      </c>
      <c r="B20" s="105" t="s">
        <v>95</v>
      </c>
      <c r="C20" s="107"/>
      <c r="D20" s="107"/>
      <c r="E20" s="112"/>
      <c r="F20" s="111"/>
      <c r="G20" s="112"/>
    </row>
    <row r="21" spans="1:7" ht="15" customHeight="1">
      <c r="A21" s="105"/>
      <c r="B21" s="106" t="s">
        <v>96</v>
      </c>
      <c r="C21" s="112">
        <f>('33 KV HT'!M145+'33 KV HT'!M146)/100000</f>
        <v>1.5144299999999999</v>
      </c>
      <c r="D21" s="115">
        <f>('33 KV HT'!M147+'33 KV HT'!M148+'33 KV HT'!M149)/100000</f>
        <v>0.82152000000000003</v>
      </c>
      <c r="E21" s="111">
        <f>('IMP-EXP'!J18+'IMP-EXP'!J20)/100000</f>
        <v>65.603000000000023</v>
      </c>
      <c r="F21" s="116">
        <f>('33 KV HT'!M153+'IMP-EXP'!J22+'IMP-EXP'!J25+'IMP-EXP'!J26)/100000</f>
        <v>80.059419999999761</v>
      </c>
      <c r="G21" s="112">
        <f>C21+D21+E21+F21</f>
        <v>147.9983699999998</v>
      </c>
    </row>
    <row r="22" spans="1:7" ht="15" customHeight="1">
      <c r="A22" s="105"/>
      <c r="B22" s="106" t="s">
        <v>97</v>
      </c>
      <c r="C22" s="112">
        <f>'IMP-EXP'!J30/100000</f>
        <v>5.45</v>
      </c>
      <c r="D22" s="112">
        <v>0</v>
      </c>
      <c r="E22" s="112">
        <f>'IMP-EXP'!J31/100000</f>
        <v>1.1093299999999999</v>
      </c>
      <c r="F22" s="117">
        <f>'IMP-EXP'!J32/100000</f>
        <v>0.20799999999999999</v>
      </c>
      <c r="G22" s="112">
        <f>C22+D22+E22+F22</f>
        <v>6.7673300000000003</v>
      </c>
    </row>
    <row r="23" spans="1:7" ht="15" customHeight="1">
      <c r="A23" s="105"/>
      <c r="B23" s="106" t="s">
        <v>98</v>
      </c>
      <c r="C23" s="112">
        <v>0</v>
      </c>
      <c r="D23" s="112">
        <v>0</v>
      </c>
      <c r="E23" s="112">
        <v>0</v>
      </c>
      <c r="F23" s="112">
        <v>0</v>
      </c>
      <c r="G23" s="112">
        <f>C23+D23+E23+F23</f>
        <v>0</v>
      </c>
    </row>
    <row r="24" spans="1:7" ht="15" customHeight="1">
      <c r="A24" s="105"/>
      <c r="B24" s="105"/>
      <c r="C24" s="107"/>
      <c r="D24" s="107"/>
      <c r="E24" s="107"/>
      <c r="F24" s="110"/>
      <c r="G24" s="112"/>
    </row>
    <row r="25" spans="1:7" ht="15" customHeight="1">
      <c r="A25" s="105"/>
      <c r="B25" s="105" t="s">
        <v>71</v>
      </c>
      <c r="C25" s="107">
        <f>C21+C22+C23</f>
        <v>6.9644300000000001</v>
      </c>
      <c r="D25" s="107">
        <f>D21+D22+D23</f>
        <v>0.82152000000000003</v>
      </c>
      <c r="E25" s="107">
        <f>E21+E22+E23</f>
        <v>66.712330000000023</v>
      </c>
      <c r="F25" s="107">
        <f>F21+F22+F23</f>
        <v>80.26741999999976</v>
      </c>
      <c r="G25" s="112">
        <f>C25+D25+E25+F25</f>
        <v>154.76569999999978</v>
      </c>
    </row>
    <row r="26" spans="1:7" ht="15" customHeight="1">
      <c r="A26" s="105">
        <v>3</v>
      </c>
      <c r="B26" s="118" t="s">
        <v>99</v>
      </c>
      <c r="C26" s="119">
        <f>MIS!C6</f>
        <v>250.1144969636108</v>
      </c>
      <c r="D26" s="119">
        <f>MIS!C8</f>
        <v>223.0883420308798</v>
      </c>
      <c r="E26" s="119">
        <f>MIS!C10</f>
        <v>595.94627722501934</v>
      </c>
      <c r="F26" s="119">
        <f>MIS!C12</f>
        <v>440.33301048049026</v>
      </c>
      <c r="G26" s="120">
        <f>C26+D26+E26+F26</f>
        <v>1509.4821267000002</v>
      </c>
    </row>
    <row r="27" spans="1:7" ht="15" customHeight="1">
      <c r="A27" s="105"/>
      <c r="B27" s="105" t="s">
        <v>100</v>
      </c>
      <c r="C27" s="121">
        <f>MIS!J6</f>
        <v>185.76668000000001</v>
      </c>
      <c r="D27" s="121">
        <f>MIS!J8</f>
        <v>137.97862000000001</v>
      </c>
      <c r="E27" s="121">
        <f>MIS!J10</f>
        <v>302.90357999999998</v>
      </c>
      <c r="F27" s="121">
        <f>MIS!J12</f>
        <v>170.36930000000001</v>
      </c>
      <c r="G27" s="122">
        <f>SUM(C27:F27)</f>
        <v>797.01818000000003</v>
      </c>
    </row>
    <row r="28" spans="1:7" ht="15" customHeight="1">
      <c r="A28" s="105"/>
      <c r="B28" s="105" t="s">
        <v>101</v>
      </c>
      <c r="C28" s="107">
        <f>C39+C42+C45</f>
        <v>0</v>
      </c>
      <c r="D28" s="107">
        <f>D39+D42+D45</f>
        <v>0</v>
      </c>
      <c r="E28" s="107">
        <f>E39+E42+E45</f>
        <v>0</v>
      </c>
      <c r="F28" s="107">
        <f>F39+F42+F45</f>
        <v>0</v>
      </c>
      <c r="G28" s="107">
        <f>G39+G42+G45</f>
        <v>0</v>
      </c>
    </row>
    <row r="29" spans="1:7" ht="15" customHeight="1">
      <c r="A29" s="105"/>
      <c r="B29" s="105" t="s">
        <v>102</v>
      </c>
      <c r="C29" s="107">
        <f>C27-C28</f>
        <v>185.76668000000001</v>
      </c>
      <c r="D29" s="107">
        <f>D27-D28</f>
        <v>137.97862000000001</v>
      </c>
      <c r="E29" s="107">
        <f>E27-E28</f>
        <v>302.90357999999998</v>
      </c>
      <c r="F29" s="107">
        <f>F27-F28</f>
        <v>170.36930000000001</v>
      </c>
      <c r="G29" s="107">
        <f>G27-G28</f>
        <v>797.01818000000003</v>
      </c>
    </row>
    <row r="30" spans="1:7" ht="15" customHeight="1">
      <c r="A30" s="105">
        <v>5</v>
      </c>
      <c r="B30" s="105" t="s">
        <v>103</v>
      </c>
      <c r="C30" s="107"/>
      <c r="D30" s="107"/>
      <c r="E30" s="107"/>
      <c r="F30" s="107"/>
      <c r="G30" s="107"/>
    </row>
    <row r="31" spans="1:7" ht="15" customHeight="1">
      <c r="A31" s="123"/>
      <c r="B31" s="123" t="s">
        <v>104</v>
      </c>
      <c r="C31" s="107">
        <v>0</v>
      </c>
      <c r="D31" s="107">
        <v>0</v>
      </c>
      <c r="E31" s="107">
        <v>0</v>
      </c>
      <c r="F31" s="107">
        <v>0</v>
      </c>
      <c r="G31" s="107">
        <f>F31+E31++D31+C31</f>
        <v>0</v>
      </c>
    </row>
    <row r="32" spans="1:7" ht="15" customHeight="1">
      <c r="A32" s="124"/>
      <c r="B32" s="124" t="s">
        <v>105</v>
      </c>
      <c r="C32" s="125">
        <f>MIS!H6</f>
        <v>20.752359999999999</v>
      </c>
      <c r="D32" s="125">
        <f>MIS!H8</f>
        <v>6.7691600000000003</v>
      </c>
      <c r="E32" s="125">
        <f>MIS!H10</f>
        <v>78.370559999999998</v>
      </c>
      <c r="F32" s="125">
        <f>MIS!H12</f>
        <v>50.680039999999998</v>
      </c>
      <c r="G32" s="107">
        <f>SUM(C32:F32)</f>
        <v>156.57211999999998</v>
      </c>
    </row>
    <row r="33" spans="1:7" ht="15" customHeight="1">
      <c r="A33" s="126"/>
      <c r="B33" s="127" t="s">
        <v>106</v>
      </c>
      <c r="C33" s="125">
        <f>MIS!I6</f>
        <v>8.0098099999999999</v>
      </c>
      <c r="D33" s="125">
        <f>MIS!I8</f>
        <v>4.7911299999999999</v>
      </c>
      <c r="E33" s="125">
        <f>MIS!I10</f>
        <v>16.77835</v>
      </c>
      <c r="F33" s="125">
        <f>MIS!I12</f>
        <v>12.07751</v>
      </c>
      <c r="G33" s="107">
        <f>SUM(C33:F33)</f>
        <v>41.656800000000004</v>
      </c>
    </row>
    <row r="34" spans="1:7" ht="15" customHeight="1">
      <c r="A34" s="105"/>
      <c r="B34" s="105" t="s">
        <v>91</v>
      </c>
      <c r="C34" s="128">
        <f>C31+C32+C33</f>
        <v>28.762169999999998</v>
      </c>
      <c r="D34" s="128">
        <f>D31+D32+D33</f>
        <v>11.56029</v>
      </c>
      <c r="E34" s="128">
        <f>E31+E32+E33</f>
        <v>95.148910000000001</v>
      </c>
      <c r="F34" s="128">
        <f>F31+F32+F33</f>
        <v>62.757549999999995</v>
      </c>
      <c r="G34" s="119">
        <f>F34+E34++D34+C34</f>
        <v>198.22891999999999</v>
      </c>
    </row>
    <row r="35" spans="1:7" ht="15" customHeight="1">
      <c r="A35" s="105">
        <v>6</v>
      </c>
      <c r="B35" s="105" t="s">
        <v>107</v>
      </c>
      <c r="C35" s="107"/>
      <c r="D35" s="107"/>
      <c r="E35" s="112"/>
      <c r="F35" s="111"/>
      <c r="G35" s="107"/>
    </row>
    <row r="36" spans="1:7" ht="15" customHeight="1">
      <c r="A36" s="105"/>
      <c r="B36" s="105" t="s">
        <v>108</v>
      </c>
      <c r="C36" s="112"/>
      <c r="D36" s="112"/>
      <c r="E36" s="112"/>
      <c r="F36" s="111"/>
      <c r="G36" s="129"/>
    </row>
    <row r="37" spans="1:7" ht="15" customHeight="1">
      <c r="A37" s="105"/>
      <c r="B37" s="105" t="s">
        <v>109</v>
      </c>
      <c r="C37" s="130">
        <v>0</v>
      </c>
      <c r="D37" s="130">
        <v>0</v>
      </c>
      <c r="E37" s="130">
        <v>0</v>
      </c>
      <c r="F37" s="131">
        <v>0</v>
      </c>
      <c r="G37" s="130">
        <f>C37+D37+E37+F37</f>
        <v>0</v>
      </c>
    </row>
    <row r="38" spans="1:7" ht="15" customHeight="1">
      <c r="A38" s="105"/>
      <c r="B38" s="105" t="s">
        <v>110</v>
      </c>
      <c r="C38" s="112">
        <v>0</v>
      </c>
      <c r="D38" s="112">
        <v>0</v>
      </c>
      <c r="E38" s="112">
        <v>0</v>
      </c>
      <c r="F38" s="111">
        <v>0</v>
      </c>
      <c r="G38" s="112">
        <v>0</v>
      </c>
    </row>
    <row r="39" spans="1:7" ht="15" customHeight="1">
      <c r="A39" s="105"/>
      <c r="B39" s="105" t="s">
        <v>111</v>
      </c>
      <c r="C39" s="130">
        <v>0</v>
      </c>
      <c r="D39" s="130">
        <v>0</v>
      </c>
      <c r="E39" s="130">
        <v>0</v>
      </c>
      <c r="F39" s="131">
        <v>0</v>
      </c>
      <c r="G39" s="130">
        <f>C39+D39+E39+F39</f>
        <v>0</v>
      </c>
    </row>
    <row r="40" spans="1:7" ht="15" customHeight="1">
      <c r="A40" s="105"/>
      <c r="B40" s="105" t="s">
        <v>112</v>
      </c>
      <c r="C40" s="130">
        <v>0</v>
      </c>
      <c r="D40" s="130">
        <v>0</v>
      </c>
      <c r="E40" s="130">
        <v>0</v>
      </c>
      <c r="F40" s="130">
        <v>0</v>
      </c>
      <c r="G40" s="130">
        <f>C40+D40+E40+F40</f>
        <v>0</v>
      </c>
    </row>
    <row r="41" spans="1:7" ht="15" customHeight="1">
      <c r="A41" s="105"/>
      <c r="B41" s="105" t="s">
        <v>113</v>
      </c>
      <c r="C41" s="112">
        <v>0</v>
      </c>
      <c r="D41" s="112">
        <v>0</v>
      </c>
      <c r="E41" s="112">
        <v>0</v>
      </c>
      <c r="F41" s="112">
        <v>0</v>
      </c>
      <c r="G41" s="112">
        <v>0</v>
      </c>
    </row>
    <row r="42" spans="1:7" ht="15" customHeight="1">
      <c r="A42" s="105"/>
      <c r="B42" s="105" t="s">
        <v>114</v>
      </c>
      <c r="C42" s="122">
        <v>0</v>
      </c>
      <c r="D42" s="122">
        <v>0</v>
      </c>
      <c r="E42" s="122">
        <v>0</v>
      </c>
      <c r="F42" s="122">
        <v>0</v>
      </c>
      <c r="G42" s="130">
        <f>C42+D42+E42+F42</f>
        <v>0</v>
      </c>
    </row>
    <row r="43" spans="1:7" ht="15" customHeight="1">
      <c r="A43" s="105"/>
      <c r="B43" s="105" t="s">
        <v>115</v>
      </c>
      <c r="C43" s="130">
        <v>0</v>
      </c>
      <c r="D43" s="130">
        <v>0</v>
      </c>
      <c r="E43" s="130">
        <v>0</v>
      </c>
      <c r="F43" s="130">
        <v>0</v>
      </c>
      <c r="G43" s="131">
        <f>SUM(C43:F43)</f>
        <v>0</v>
      </c>
    </row>
    <row r="44" spans="1:7" ht="15" customHeight="1">
      <c r="A44" s="105"/>
      <c r="B44" s="105" t="s">
        <v>116</v>
      </c>
      <c r="C44" s="112">
        <v>0</v>
      </c>
      <c r="D44" s="112">
        <v>0</v>
      </c>
      <c r="E44" s="112">
        <v>0</v>
      </c>
      <c r="F44" s="112">
        <v>0</v>
      </c>
      <c r="G44" s="112">
        <v>0</v>
      </c>
    </row>
    <row r="45" spans="1:7" ht="15" customHeight="1">
      <c r="A45" s="105"/>
      <c r="B45" s="105" t="s">
        <v>114</v>
      </c>
      <c r="C45" s="122">
        <v>0</v>
      </c>
      <c r="D45" s="122">
        <v>0</v>
      </c>
      <c r="E45" s="122">
        <v>0</v>
      </c>
      <c r="F45" s="122">
        <v>0</v>
      </c>
      <c r="G45" s="131">
        <f>SUM(C45:F45)</f>
        <v>0</v>
      </c>
    </row>
    <row r="46" spans="1:7" ht="15" customHeight="1">
      <c r="A46" s="105"/>
      <c r="B46" s="105" t="s">
        <v>117</v>
      </c>
      <c r="C46" s="113">
        <f>C39+C42+C45</f>
        <v>0</v>
      </c>
      <c r="D46" s="113">
        <f>D39+D42+D45</f>
        <v>0</v>
      </c>
      <c r="E46" s="113">
        <f>E39+E42+E45</f>
        <v>0</v>
      </c>
      <c r="F46" s="113">
        <f>F39+F42+F45</f>
        <v>0</v>
      </c>
      <c r="G46" s="113">
        <f>G39+G42+G45</f>
        <v>0</v>
      </c>
    </row>
    <row r="47" spans="1:7" ht="15" customHeight="1">
      <c r="A47" s="105">
        <v>7</v>
      </c>
      <c r="B47" s="105" t="s">
        <v>118</v>
      </c>
      <c r="C47" s="114">
        <f>C29+C46</f>
        <v>185.76668000000001</v>
      </c>
      <c r="D47" s="114">
        <f>D29+D46</f>
        <v>137.97862000000001</v>
      </c>
      <c r="E47" s="114">
        <f>E29+E46</f>
        <v>302.90357999999998</v>
      </c>
      <c r="F47" s="114">
        <f>F29+F46</f>
        <v>170.36930000000001</v>
      </c>
      <c r="G47" s="114">
        <f>G29+G46</f>
        <v>797.01818000000003</v>
      </c>
    </row>
    <row r="48" spans="1:7" ht="15" customHeight="1">
      <c r="A48" s="105">
        <v>8</v>
      </c>
      <c r="B48" s="105" t="s">
        <v>119</v>
      </c>
      <c r="C48" s="110"/>
      <c r="D48" s="110"/>
      <c r="E48" s="111"/>
      <c r="F48" s="111"/>
      <c r="G48" s="110"/>
    </row>
    <row r="49" spans="1:7" ht="15" customHeight="1">
      <c r="A49" s="105">
        <v>9</v>
      </c>
      <c r="B49" s="105" t="s">
        <v>120</v>
      </c>
      <c r="C49" s="111">
        <f>C34+C47</f>
        <v>214.52885000000001</v>
      </c>
      <c r="D49" s="111">
        <f>D34+D47</f>
        <v>149.53891000000002</v>
      </c>
      <c r="E49" s="111">
        <f>E34+E47</f>
        <v>398.05248999999998</v>
      </c>
      <c r="F49" s="111">
        <f>F34+F47</f>
        <v>233.12684999999999</v>
      </c>
      <c r="G49" s="111">
        <f>G34+G47</f>
        <v>995.24710000000005</v>
      </c>
    </row>
    <row r="50" spans="1:7" ht="15" customHeight="1">
      <c r="A50" s="105">
        <v>10</v>
      </c>
      <c r="B50" s="105" t="s">
        <v>121</v>
      </c>
      <c r="C50" s="111">
        <f>C26-C49</f>
        <v>35.585646963610799</v>
      </c>
      <c r="D50" s="111">
        <f>D26-D49</f>
        <v>73.549432030879785</v>
      </c>
      <c r="E50" s="111">
        <f>E26-E49</f>
        <v>197.89378722501937</v>
      </c>
      <c r="F50" s="111">
        <f>F26-F49</f>
        <v>207.20616048049027</v>
      </c>
      <c r="G50" s="111">
        <f>G26-G49</f>
        <v>514.23502670000016</v>
      </c>
    </row>
    <row r="51" spans="1:7" ht="15" customHeight="1">
      <c r="A51" s="105">
        <v>11</v>
      </c>
      <c r="B51" s="105" t="s">
        <v>122</v>
      </c>
      <c r="C51" s="132">
        <f>(C50/C26*100)</f>
        <v>14.227742652113509</v>
      </c>
      <c r="D51" s="132">
        <f>(D50/D26*100)</f>
        <v>32.96874743042337</v>
      </c>
      <c r="E51" s="132">
        <f>(E50/E26*100)</f>
        <v>33.20664878493703</v>
      </c>
      <c r="F51" s="132">
        <f>(F50/F26*100)</f>
        <v>47.056694717115896</v>
      </c>
      <c r="G51" s="132">
        <f>(G50/G26*100)</f>
        <v>34.066983477585822</v>
      </c>
    </row>
    <row r="52" spans="1:7" ht="15" customHeight="1">
      <c r="A52" s="105">
        <v>12</v>
      </c>
      <c r="B52" s="105" t="s">
        <v>123</v>
      </c>
      <c r="C52" s="111">
        <f>MIS!P6</f>
        <v>15.912580159934834</v>
      </c>
      <c r="D52" s="111">
        <f>MIS!P8</f>
        <v>34.717016392120605</v>
      </c>
      <c r="E52" s="111">
        <f>MIS!P10</f>
        <v>39.342872223555716</v>
      </c>
      <c r="F52" s="111">
        <f>MIS!P12</f>
        <v>54.76530105670745</v>
      </c>
      <c r="G52" s="111">
        <f>MIS!P14</f>
        <v>39.07891901184955</v>
      </c>
    </row>
    <row r="53" spans="1:7" ht="15" customHeight="1">
      <c r="A53" s="105">
        <v>13</v>
      </c>
      <c r="B53" s="105" t="s">
        <v>124</v>
      </c>
      <c r="C53" s="110">
        <f>MIS!K6</f>
        <v>220.9208944136108</v>
      </c>
      <c r="D53" s="110">
        <f>MIS!K8</f>
        <v>211.35464768087979</v>
      </c>
      <c r="E53" s="110">
        <f>MIS!K10</f>
        <v>499.37013357501939</v>
      </c>
      <c r="F53" s="110">
        <f>MIS!K12</f>
        <v>376.63409723049028</v>
      </c>
      <c r="G53" s="110">
        <f>C53+D53+E53+F53</f>
        <v>1308.2797729000004</v>
      </c>
    </row>
    <row r="54" spans="1:7" ht="15" customHeight="1">
      <c r="A54" s="133"/>
      <c r="B54" s="134" t="s">
        <v>125</v>
      </c>
      <c r="C54" s="116">
        <f>MIS!L6</f>
        <v>29.193602549999994</v>
      </c>
      <c r="D54" s="116">
        <f>MIS!L8</f>
        <v>11.733694349999999</v>
      </c>
      <c r="E54" s="116">
        <f>MIS!L10</f>
        <v>96.576143649999992</v>
      </c>
      <c r="F54" s="116">
        <f>MIS!L12</f>
        <v>63.69891324999999</v>
      </c>
      <c r="G54" s="110">
        <f>C54+D54+E54+F54</f>
        <v>201.20235379999997</v>
      </c>
    </row>
  </sheetData>
  <mergeCells count="1">
    <mergeCell ref="A3:G3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R147"/>
  <sheetViews>
    <sheetView topLeftCell="A84" zoomScale="90" zoomScaleNormal="90" workbookViewId="0">
      <selection activeCell="I87" sqref="I87:I96"/>
    </sheetView>
  </sheetViews>
  <sheetFormatPr defaultRowHeight="15"/>
  <cols>
    <col min="1" max="1" width="10" customWidth="1"/>
    <col min="2" max="2" width="35.5703125" customWidth="1"/>
    <col min="3" max="3" width="12.7109375" customWidth="1"/>
    <col min="4" max="4" width="13.140625" customWidth="1"/>
    <col min="5" max="6" width="14.7109375" style="135" customWidth="1"/>
    <col min="7" max="7" width="11.5703125" customWidth="1"/>
    <col min="8" max="8" width="18.28515625" customWidth="1"/>
    <col min="9" max="9" width="11.85546875" customWidth="1"/>
    <col min="10" max="10" width="11" customWidth="1"/>
    <col min="11" max="11" width="15.140625" customWidth="1"/>
    <col min="12" max="12" width="10.140625" customWidth="1"/>
    <col min="13" max="13" width="14.42578125" customWidth="1"/>
    <col min="14" max="14" width="9.140625" customWidth="1"/>
    <col min="15" max="15" width="37" customWidth="1"/>
    <col min="16" max="16" width="9.7109375" customWidth="1"/>
    <col min="17" max="17" width="13.28515625" customWidth="1"/>
    <col min="18" max="20" width="9.140625" customWidth="1"/>
    <col min="21" max="21" width="10.5703125" style="136" customWidth="1"/>
    <col min="22" max="22" width="9.140625" style="136" customWidth="1"/>
    <col min="23" max="25" width="9.140625" customWidth="1"/>
    <col min="26" max="26" width="11.42578125"/>
    <col min="27" max="27" width="17" customWidth="1"/>
    <col min="28" max="28" width="12.7109375" customWidth="1"/>
    <col min="29" max="30" width="8.7109375" customWidth="1"/>
    <col min="31" max="31" width="25.42578125" customWidth="1"/>
    <col min="32" max="1025" width="8.7109375" customWidth="1"/>
  </cols>
  <sheetData>
    <row r="1" spans="1:44" ht="21.75">
      <c r="A1" s="1278" t="s">
        <v>126</v>
      </c>
      <c r="B1" s="1278"/>
      <c r="C1" s="1278"/>
      <c r="D1" s="1278"/>
      <c r="E1" s="1278"/>
      <c r="F1" s="1278"/>
      <c r="G1" s="138"/>
      <c r="H1" s="90"/>
      <c r="I1" s="139"/>
      <c r="J1" s="140"/>
      <c r="K1" s="140"/>
    </row>
    <row r="2" spans="1:44">
      <c r="A2" s="141"/>
      <c r="B2" s="141"/>
      <c r="C2" s="141"/>
      <c r="D2" s="141"/>
      <c r="E2" s="142"/>
      <c r="F2" s="142"/>
      <c r="G2" s="141"/>
      <c r="H2" s="143" t="str">
        <f>'CIRCLE INPUT'!Q3</f>
        <v>OCT.2024</v>
      </c>
      <c r="I2" s="141"/>
      <c r="J2" s="144"/>
      <c r="K2" s="144"/>
      <c r="L2" s="133"/>
    </row>
    <row r="3" spans="1:44" ht="38.25" customHeight="1">
      <c r="A3" s="1279" t="s">
        <v>127</v>
      </c>
      <c r="B3" s="6" t="s">
        <v>128</v>
      </c>
      <c r="C3" s="6" t="s">
        <v>129</v>
      </c>
      <c r="D3" s="6" t="s">
        <v>130</v>
      </c>
      <c r="E3" s="145" t="s">
        <v>131</v>
      </c>
      <c r="F3" s="145" t="s">
        <v>131</v>
      </c>
      <c r="G3" s="141"/>
      <c r="H3" s="141"/>
      <c r="I3" s="6" t="s">
        <v>132</v>
      </c>
      <c r="J3" s="146" t="s">
        <v>133</v>
      </c>
      <c r="K3" s="147"/>
      <c r="L3" s="133" t="s">
        <v>134</v>
      </c>
      <c r="M3" s="1280" t="s">
        <v>134</v>
      </c>
      <c r="N3" s="1280"/>
      <c r="O3" s="1280"/>
      <c r="P3" s="1280"/>
      <c r="Q3" s="1280"/>
      <c r="R3" s="1280"/>
      <c r="S3" s="1280"/>
      <c r="T3" s="1280"/>
      <c r="U3" s="1280"/>
      <c r="V3" s="1280"/>
      <c r="W3" s="1280"/>
      <c r="X3" s="1280"/>
    </row>
    <row r="4" spans="1:44" ht="25.5">
      <c r="A4" s="1279"/>
      <c r="B4" s="11" t="s">
        <v>6</v>
      </c>
      <c r="C4" s="6"/>
      <c r="D4" s="6"/>
      <c r="E4" s="148">
        <v>45565</v>
      </c>
      <c r="F4" s="148">
        <v>45596</v>
      </c>
      <c r="G4" s="6" t="s">
        <v>135</v>
      </c>
      <c r="H4" s="6" t="s">
        <v>136</v>
      </c>
      <c r="I4" s="6"/>
      <c r="J4" s="6"/>
      <c r="K4" s="146"/>
      <c r="L4" s="133"/>
      <c r="N4" s="133" t="s">
        <v>80</v>
      </c>
      <c r="O4" s="133"/>
      <c r="P4" s="149">
        <f>AB15+AB44</f>
        <v>-8719.1362021249661</v>
      </c>
      <c r="Q4" s="150">
        <f>P4/100000</f>
        <v>-8.7191362021249663E-2</v>
      </c>
      <c r="AD4" t="s">
        <v>80</v>
      </c>
      <c r="AF4">
        <v>40644.746926123204</v>
      </c>
      <c r="AG4">
        <v>0.40644746926123199</v>
      </c>
    </row>
    <row r="5" spans="1:44">
      <c r="A5" s="1281"/>
      <c r="B5" s="151" t="s">
        <v>137</v>
      </c>
      <c r="C5" s="152" t="s">
        <v>138</v>
      </c>
      <c r="D5" s="152" t="s">
        <v>139</v>
      </c>
      <c r="E5" s="14">
        <v>714.82420000000002</v>
      </c>
      <c r="F5" s="14">
        <v>714.82420000000002</v>
      </c>
      <c r="G5" s="153">
        <v>360000</v>
      </c>
      <c r="H5" s="153">
        <f t="shared" ref="H5:H10" si="0">(F5-E5)*G5+I5+J5</f>
        <v>0</v>
      </c>
      <c r="I5" s="152"/>
      <c r="J5" s="6"/>
      <c r="K5" s="146"/>
      <c r="L5" s="154"/>
      <c r="N5" s="133" t="s">
        <v>81</v>
      </c>
      <c r="O5" s="133"/>
      <c r="P5" s="149">
        <f>AB18+AB50</f>
        <v>-4271.2681270325229</v>
      </c>
      <c r="Q5" s="150">
        <f>P5/100000</f>
        <v>-4.271268127032523E-2</v>
      </c>
      <c r="AD5" t="s">
        <v>81</v>
      </c>
      <c r="AF5">
        <v>32781.188064508096</v>
      </c>
      <c r="AG5">
        <v>0.32781188064508099</v>
      </c>
    </row>
    <row r="6" spans="1:44">
      <c r="A6" s="1281"/>
      <c r="B6" s="151" t="s">
        <v>29</v>
      </c>
      <c r="C6" s="152" t="s">
        <v>138</v>
      </c>
      <c r="D6" s="152" t="s">
        <v>140</v>
      </c>
      <c r="E6" s="14">
        <v>323.47500000000002</v>
      </c>
      <c r="F6" s="14">
        <v>370.70499999999998</v>
      </c>
      <c r="G6" s="153">
        <v>360000</v>
      </c>
      <c r="H6" s="155">
        <f t="shared" si="0"/>
        <v>17002799.999999985</v>
      </c>
      <c r="I6" s="152"/>
      <c r="J6" s="6"/>
      <c r="K6" s="146"/>
      <c r="L6" s="133"/>
      <c r="N6" s="133"/>
      <c r="O6" s="133"/>
      <c r="P6" s="149"/>
      <c r="Q6" s="150"/>
    </row>
    <row r="7" spans="1:44">
      <c r="A7" s="1281"/>
      <c r="B7" s="151" t="s">
        <v>141</v>
      </c>
      <c r="C7" s="152" t="s">
        <v>138</v>
      </c>
      <c r="D7" s="152" t="s">
        <v>142</v>
      </c>
      <c r="E7" s="156">
        <v>8479308</v>
      </c>
      <c r="F7" s="156">
        <v>8479308</v>
      </c>
      <c r="G7" s="152">
        <v>360</v>
      </c>
      <c r="H7" s="153">
        <f t="shared" si="0"/>
        <v>0</v>
      </c>
      <c r="I7" s="152"/>
      <c r="J7" s="157"/>
      <c r="K7" s="157"/>
      <c r="L7" s="133"/>
      <c r="N7" s="133" t="s">
        <v>82</v>
      </c>
      <c r="O7" s="133"/>
      <c r="P7" s="149">
        <f>AB19+AB35+AB86+AB94</f>
        <v>-5827471.1085854638</v>
      </c>
      <c r="Q7" s="150">
        <f>P7/100000</f>
        <v>-58.274711085854641</v>
      </c>
      <c r="AD7" t="s">
        <v>82</v>
      </c>
      <c r="AF7">
        <v>271828.744833962</v>
      </c>
      <c r="AG7">
        <v>2.7182874483396202</v>
      </c>
    </row>
    <row r="8" spans="1:44">
      <c r="A8" s="1281"/>
      <c r="B8" s="151" t="s">
        <v>31</v>
      </c>
      <c r="C8" s="152" t="s">
        <v>138</v>
      </c>
      <c r="D8" s="152" t="s">
        <v>143</v>
      </c>
      <c r="E8" s="14">
        <v>403.59399999999999</v>
      </c>
      <c r="F8" s="14">
        <v>464.36799999999999</v>
      </c>
      <c r="G8" s="153">
        <v>360000</v>
      </c>
      <c r="H8" s="158">
        <f t="shared" si="0"/>
        <v>21878640</v>
      </c>
      <c r="I8" s="159"/>
      <c r="J8" s="157"/>
      <c r="K8" s="157"/>
      <c r="L8" s="133"/>
      <c r="N8" s="133"/>
      <c r="O8" s="133"/>
      <c r="P8" s="149"/>
      <c r="Q8" s="150"/>
    </row>
    <row r="9" spans="1:44">
      <c r="A9" s="1281"/>
      <c r="B9" s="151" t="s">
        <v>141</v>
      </c>
      <c r="C9" s="152" t="s">
        <v>138</v>
      </c>
      <c r="D9" s="152" t="s">
        <v>144</v>
      </c>
      <c r="E9" s="156">
        <v>665.50340000000006</v>
      </c>
      <c r="F9" s="156">
        <v>665.50340000000006</v>
      </c>
      <c r="G9" s="152">
        <v>360000</v>
      </c>
      <c r="H9" s="153">
        <f t="shared" si="0"/>
        <v>0</v>
      </c>
      <c r="I9" s="152"/>
      <c r="J9" s="157"/>
      <c r="K9" s="157"/>
      <c r="L9" s="133"/>
      <c r="N9" s="133" t="s">
        <v>83</v>
      </c>
      <c r="O9" s="133"/>
      <c r="P9" s="149">
        <f>AB31+AB52+AB62+AB89</f>
        <v>-5065631.4870853992</v>
      </c>
      <c r="Q9" s="150">
        <f>P9/100000</f>
        <v>-50.65631487085399</v>
      </c>
      <c r="AD9" t="s">
        <v>83</v>
      </c>
      <c r="AF9">
        <v>-69633.679824652601</v>
      </c>
      <c r="AG9">
        <v>-0.69633679824652595</v>
      </c>
    </row>
    <row r="10" spans="1:44">
      <c r="A10" s="1281"/>
      <c r="B10" s="151" t="s">
        <v>145</v>
      </c>
      <c r="C10" s="160" t="s">
        <v>138</v>
      </c>
      <c r="D10" s="161" t="s">
        <v>143</v>
      </c>
      <c r="E10" s="14">
        <v>410.83100000000002</v>
      </c>
      <c r="F10" s="14">
        <v>472.50099999999998</v>
      </c>
      <c r="G10" s="153">
        <v>360000</v>
      </c>
      <c r="H10" s="155">
        <f t="shared" si="0"/>
        <v>22201199.999999985</v>
      </c>
      <c r="I10" s="152"/>
      <c r="J10" s="157"/>
      <c r="K10" s="157"/>
      <c r="L10" s="133"/>
      <c r="Q10" s="162">
        <f>SUM(Q4:Q9)</f>
        <v>-109.06093000000021</v>
      </c>
      <c r="AG10">
        <v>2.7562099999993999</v>
      </c>
    </row>
    <row r="11" spans="1:44">
      <c r="A11" s="1281"/>
      <c r="B11" s="151"/>
      <c r="C11" s="152"/>
      <c r="D11" s="152"/>
      <c r="E11" s="142" t="s">
        <v>71</v>
      </c>
      <c r="F11" s="142" t="s">
        <v>71</v>
      </c>
      <c r="G11" s="152"/>
      <c r="H11" s="153">
        <f>SUM(H5:H10)</f>
        <v>61082639.99999997</v>
      </c>
      <c r="I11" s="152"/>
      <c r="J11" s="157"/>
      <c r="K11" s="157"/>
      <c r="L11" s="133"/>
      <c r="N11" s="133"/>
      <c r="O11" s="133"/>
      <c r="P11" s="149"/>
      <c r="Q11" s="150"/>
    </row>
    <row r="12" spans="1:44">
      <c r="A12" s="1281"/>
      <c r="B12" s="163" t="s">
        <v>146</v>
      </c>
      <c r="C12" s="164" t="s">
        <v>147</v>
      </c>
      <c r="D12" s="165" t="s">
        <v>148</v>
      </c>
      <c r="E12" s="14">
        <v>1759946</v>
      </c>
      <c r="F12" s="14">
        <v>1769863</v>
      </c>
      <c r="G12" s="165">
        <v>1</v>
      </c>
      <c r="H12" s="164">
        <f>(F12-E12)*G12+I12</f>
        <v>9917</v>
      </c>
      <c r="I12" s="141"/>
      <c r="J12" s="144"/>
      <c r="K12" s="144"/>
      <c r="L12" s="133"/>
    </row>
    <row r="13" spans="1:44">
      <c r="A13" s="1281"/>
      <c r="B13" s="163" t="s">
        <v>149</v>
      </c>
      <c r="C13" s="164" t="s">
        <v>147</v>
      </c>
      <c r="D13" s="165" t="s">
        <v>150</v>
      </c>
      <c r="E13" s="14">
        <v>269055</v>
      </c>
      <c r="F13" s="14">
        <v>269055</v>
      </c>
      <c r="G13" s="165">
        <v>1</v>
      </c>
      <c r="H13" s="164">
        <f>(F13-E13)*G13+I13</f>
        <v>0</v>
      </c>
      <c r="I13" s="166"/>
      <c r="J13" s="167"/>
      <c r="K13" s="167"/>
      <c r="L13" s="133"/>
      <c r="M13">
        <v>6012058</v>
      </c>
    </row>
    <row r="14" spans="1:44" ht="15.75">
      <c r="A14" s="1281"/>
      <c r="B14" s="168" t="s">
        <v>151</v>
      </c>
      <c r="C14" s="152"/>
      <c r="D14" s="152"/>
      <c r="E14" s="14"/>
      <c r="F14" s="14"/>
      <c r="G14" s="152"/>
      <c r="H14" s="169">
        <f>(H11)-H12-H13</f>
        <v>61072722.99999997</v>
      </c>
      <c r="I14" s="133"/>
      <c r="J14" s="133"/>
      <c r="K14" s="133"/>
      <c r="L14" s="170">
        <f>H14-H31</f>
        <v>-59448.999999970198</v>
      </c>
      <c r="M14">
        <f>H16/M13</f>
        <v>0.73056514092179603</v>
      </c>
    </row>
    <row r="15" spans="1:44">
      <c r="A15" s="1281"/>
      <c r="B15" s="151" t="s">
        <v>152</v>
      </c>
      <c r="C15" s="152" t="s">
        <v>147</v>
      </c>
      <c r="D15" s="152" t="s">
        <v>153</v>
      </c>
      <c r="E15" s="14">
        <v>147928.20000000001</v>
      </c>
      <c r="F15" s="14">
        <v>150398.79999999999</v>
      </c>
      <c r="G15" s="171">
        <v>2000</v>
      </c>
      <c r="H15" s="155">
        <f t="shared" ref="H15:H23" si="1">((F15-E15)*G15)+(I15+J15)</f>
        <v>5027599.9999999534</v>
      </c>
      <c r="I15" s="152">
        <v>86400</v>
      </c>
      <c r="J15" s="152"/>
      <c r="K15" s="172"/>
      <c r="L15" s="133"/>
      <c r="M15" s="173">
        <f>(H16-M13)/H16</f>
        <v>-0.36880333318154562</v>
      </c>
      <c r="N15" s="1266" t="s">
        <v>80</v>
      </c>
      <c r="O15" s="175" t="s">
        <v>152</v>
      </c>
      <c r="P15" s="176" t="s">
        <v>147</v>
      </c>
      <c r="Q15" s="176" t="s">
        <v>153</v>
      </c>
      <c r="R15" s="177">
        <f>E15</f>
        <v>147928.20000000001</v>
      </c>
      <c r="S15" s="177">
        <f>F15</f>
        <v>150398.79999999999</v>
      </c>
      <c r="T15" s="176">
        <v>2000</v>
      </c>
      <c r="U15" s="176">
        <f>(S15-R15)*T15+V15+W15</f>
        <v>5027599.9999999534</v>
      </c>
      <c r="V15" s="176">
        <f>I15</f>
        <v>86400</v>
      </c>
      <c r="W15" s="176">
        <f>J15</f>
        <v>0</v>
      </c>
      <c r="X15" s="178"/>
      <c r="Y15" s="179"/>
      <c r="Z15" s="1266">
        <f>U15+U16</f>
        <v>8965999.9999999478</v>
      </c>
      <c r="AA15" s="1266">
        <f>Z15/H31</f>
        <v>0.14666581779557836</v>
      </c>
      <c r="AB15" s="1268">
        <f>L14*AA15</f>
        <v>-8719.1362021249661</v>
      </c>
      <c r="AD15" t="s">
        <v>80</v>
      </c>
      <c r="AE15" t="s">
        <v>152</v>
      </c>
      <c r="AF15" t="s">
        <v>147</v>
      </c>
      <c r="AG15" t="s">
        <v>153</v>
      </c>
      <c r="AH15">
        <v>16718.599999999999</v>
      </c>
      <c r="AI15">
        <v>18968.7</v>
      </c>
      <c r="AJ15">
        <v>2000</v>
      </c>
      <c r="AK15">
        <v>4500200.0000000102</v>
      </c>
      <c r="AL15">
        <v>0</v>
      </c>
      <c r="AM15">
        <v>0</v>
      </c>
      <c r="AP15">
        <v>8620200</v>
      </c>
      <c r="AQ15">
        <v>0.15084942178588201</v>
      </c>
      <c r="AR15">
        <v>61308.372851635497</v>
      </c>
    </row>
    <row r="16" spans="1:44">
      <c r="A16" s="1281"/>
      <c r="B16" s="151" t="s">
        <v>154</v>
      </c>
      <c r="C16" s="152" t="s">
        <v>147</v>
      </c>
      <c r="D16" s="152" t="s">
        <v>155</v>
      </c>
      <c r="E16" s="14">
        <v>169367</v>
      </c>
      <c r="F16" s="14">
        <v>171563.1</v>
      </c>
      <c r="G16" s="171">
        <v>2000</v>
      </c>
      <c r="H16" s="155">
        <f t="shared" si="1"/>
        <v>4392200.0000000112</v>
      </c>
      <c r="I16" s="152"/>
      <c r="J16" s="152"/>
      <c r="K16" s="172"/>
      <c r="L16" s="133"/>
      <c r="N16" s="1266"/>
      <c r="O16" s="151" t="s">
        <v>156</v>
      </c>
      <c r="P16" s="152" t="s">
        <v>147</v>
      </c>
      <c r="Q16" s="152" t="s">
        <v>157</v>
      </c>
      <c r="R16" s="153">
        <f>E17</f>
        <v>124381.6</v>
      </c>
      <c r="S16" s="153">
        <f>F17</f>
        <v>126350.8</v>
      </c>
      <c r="T16" s="152">
        <v>2000</v>
      </c>
      <c r="U16" s="152">
        <f>(S16-R16)*T16+V16+W16</f>
        <v>3938399.9999999944</v>
      </c>
      <c r="V16" s="152">
        <f>I17</f>
        <v>0</v>
      </c>
      <c r="W16" s="152"/>
      <c r="X16" s="181"/>
      <c r="Y16" s="182"/>
      <c r="Z16" s="1266"/>
      <c r="AA16" s="1266"/>
      <c r="AB16" s="1268"/>
      <c r="AE16" t="s">
        <v>156</v>
      </c>
      <c r="AF16" t="s">
        <v>147</v>
      </c>
      <c r="AG16" t="s">
        <v>157</v>
      </c>
      <c r="AH16">
        <v>13782.3</v>
      </c>
      <c r="AI16">
        <v>15842.3</v>
      </c>
      <c r="AJ16">
        <v>2000</v>
      </c>
      <c r="AK16">
        <v>4120000</v>
      </c>
      <c r="AL16">
        <v>0</v>
      </c>
    </row>
    <row r="17" spans="1:44">
      <c r="A17" s="1281"/>
      <c r="B17" s="151" t="s">
        <v>156</v>
      </c>
      <c r="C17" s="152" t="s">
        <v>147</v>
      </c>
      <c r="D17" s="152" t="s">
        <v>157</v>
      </c>
      <c r="E17" s="14">
        <v>124381.6</v>
      </c>
      <c r="F17" s="14">
        <v>126350.8</v>
      </c>
      <c r="G17" s="171">
        <v>2000</v>
      </c>
      <c r="H17" s="155">
        <f t="shared" si="1"/>
        <v>3938399.9999999944</v>
      </c>
      <c r="I17" s="181"/>
      <c r="J17" s="181"/>
      <c r="K17" s="172"/>
      <c r="L17" s="133"/>
      <c r="N17" s="183"/>
      <c r="O17" s="151"/>
      <c r="P17" s="152"/>
      <c r="Q17" s="152"/>
      <c r="R17" s="184"/>
      <c r="S17" s="184"/>
      <c r="T17" s="152"/>
      <c r="U17" s="152"/>
      <c r="V17" s="152"/>
      <c r="W17" s="152"/>
      <c r="X17" s="152"/>
      <c r="Y17" s="133"/>
      <c r="Z17" s="133"/>
      <c r="AA17" s="133"/>
      <c r="AB17" s="133"/>
    </row>
    <row r="18" spans="1:44">
      <c r="A18" s="1281"/>
      <c r="B18" s="151" t="s">
        <v>158</v>
      </c>
      <c r="C18" s="152" t="s">
        <v>147</v>
      </c>
      <c r="D18" s="152" t="s">
        <v>159</v>
      </c>
      <c r="E18" s="14">
        <v>136003.4</v>
      </c>
      <c r="F18" s="14">
        <v>138208</v>
      </c>
      <c r="G18" s="171">
        <v>2000</v>
      </c>
      <c r="H18" s="155">
        <f t="shared" si="1"/>
        <v>4409200.0000000112</v>
      </c>
      <c r="I18" s="153"/>
      <c r="J18" s="181"/>
      <c r="K18" s="172"/>
      <c r="L18" s="133"/>
      <c r="N18" s="178" t="s">
        <v>81</v>
      </c>
      <c r="O18" s="151" t="s">
        <v>154</v>
      </c>
      <c r="P18" s="152" t="s">
        <v>147</v>
      </c>
      <c r="Q18" s="152" t="s">
        <v>155</v>
      </c>
      <c r="R18" s="184">
        <f>E16</f>
        <v>169367</v>
      </c>
      <c r="S18" s="184">
        <f>F16</f>
        <v>171563.1</v>
      </c>
      <c r="T18" s="152">
        <v>2000</v>
      </c>
      <c r="U18" s="152">
        <f>(S18-R18)*T18+V18+W18</f>
        <v>4392200.0000000112</v>
      </c>
      <c r="V18" s="152">
        <f>I16</f>
        <v>0</v>
      </c>
      <c r="W18" s="152">
        <f>J18</f>
        <v>0</v>
      </c>
      <c r="X18" s="152"/>
      <c r="Y18" s="133"/>
      <c r="Z18" s="183">
        <f>U18</f>
        <v>4392200.0000000112</v>
      </c>
      <c r="AA18" s="183">
        <f>Z18/H31</f>
        <v>7.1847602601131461E-2</v>
      </c>
      <c r="AB18" s="185">
        <f>L14*AA18</f>
        <v>-4271.2681270325229</v>
      </c>
      <c r="AD18" t="s">
        <v>81</v>
      </c>
      <c r="AE18" t="s">
        <v>154</v>
      </c>
      <c r="AF18" t="s">
        <v>147</v>
      </c>
      <c r="AG18" t="s">
        <v>155</v>
      </c>
      <c r="AH18">
        <v>27504.3</v>
      </c>
      <c r="AI18">
        <v>30856.2</v>
      </c>
      <c r="AJ18">
        <v>2000</v>
      </c>
      <c r="AK18">
        <v>6703800</v>
      </c>
      <c r="AL18">
        <v>0</v>
      </c>
      <c r="AM18">
        <v>0</v>
      </c>
      <c r="AP18">
        <v>6703800</v>
      </c>
      <c r="AQ18">
        <v>0.117313328434166</v>
      </c>
      <c r="AR18">
        <v>47678.6002555386</v>
      </c>
    </row>
    <row r="19" spans="1:44">
      <c r="A19" s="1281"/>
      <c r="B19" s="151" t="s">
        <v>160</v>
      </c>
      <c r="C19" s="152" t="s">
        <v>147</v>
      </c>
      <c r="D19" s="153" t="s">
        <v>161</v>
      </c>
      <c r="E19" s="14">
        <v>2333.683</v>
      </c>
      <c r="F19" s="14">
        <v>2377.0787999999998</v>
      </c>
      <c r="G19" s="171">
        <v>120000</v>
      </c>
      <c r="H19" s="155">
        <f t="shared" si="1"/>
        <v>5207495.9999999739</v>
      </c>
      <c r="I19" s="186"/>
      <c r="J19" s="153"/>
      <c r="K19" s="187"/>
      <c r="L19" s="133"/>
      <c r="N19" s="1266" t="s">
        <v>82</v>
      </c>
      <c r="O19" s="151" t="s">
        <v>158</v>
      </c>
      <c r="P19" s="152" t="s">
        <v>147</v>
      </c>
      <c r="Q19" s="152" t="s">
        <v>159</v>
      </c>
      <c r="R19" s="153">
        <f t="shared" ref="R19:S22" si="2">E18</f>
        <v>136003.4</v>
      </c>
      <c r="S19" s="153">
        <f t="shared" si="2"/>
        <v>138208</v>
      </c>
      <c r="T19" s="152">
        <v>2000</v>
      </c>
      <c r="U19" s="152">
        <f>(S19-R19)*T19+V19+W19</f>
        <v>4409200.0000000112</v>
      </c>
      <c r="V19" s="152">
        <f>I18</f>
        <v>0</v>
      </c>
      <c r="W19" s="152">
        <f>J19</f>
        <v>0</v>
      </c>
      <c r="X19" s="153"/>
      <c r="Y19" s="133"/>
      <c r="Z19" s="1266">
        <f>U19+U20+U21+U22+U24+U26+U27+U29+U31+U32</f>
        <v>41213671.999999985</v>
      </c>
      <c r="AA19" s="1266">
        <f>Z19/H31</f>
        <v>0.67417319966972589</v>
      </c>
      <c r="AB19" s="1268">
        <f>L14*AA19</f>
        <v>-40078.922547145441</v>
      </c>
      <c r="AD19" t="s">
        <v>82</v>
      </c>
      <c r="AE19" t="s">
        <v>158</v>
      </c>
      <c r="AF19" t="s">
        <v>147</v>
      </c>
      <c r="AG19" t="s">
        <v>159</v>
      </c>
      <c r="AH19">
        <v>25989.3</v>
      </c>
      <c r="AI19">
        <v>28112.6</v>
      </c>
      <c r="AJ19">
        <v>2000</v>
      </c>
      <c r="AK19">
        <v>4246600</v>
      </c>
      <c r="AL19">
        <v>0</v>
      </c>
      <c r="AM19">
        <v>0</v>
      </c>
      <c r="AP19">
        <v>38469046</v>
      </c>
      <c r="AQ19">
        <v>0.67319010530550305</v>
      </c>
      <c r="AR19">
        <v>273598.595788348</v>
      </c>
    </row>
    <row r="20" spans="1:44">
      <c r="A20" s="1281"/>
      <c r="B20" s="151" t="s">
        <v>162</v>
      </c>
      <c r="C20" s="152" t="s">
        <v>147</v>
      </c>
      <c r="D20" s="152" t="s">
        <v>163</v>
      </c>
      <c r="E20" s="14">
        <v>3321.6482000000001</v>
      </c>
      <c r="F20" s="14">
        <v>3371.1952999999999</v>
      </c>
      <c r="G20" s="171">
        <v>120000</v>
      </c>
      <c r="H20" s="155">
        <f t="shared" si="1"/>
        <v>5981251.999999973</v>
      </c>
      <c r="I20" s="181">
        <v>35600</v>
      </c>
      <c r="J20" s="153"/>
      <c r="K20" s="188"/>
      <c r="L20" s="133"/>
      <c r="N20" s="1266"/>
      <c r="O20" s="151" t="s">
        <v>160</v>
      </c>
      <c r="P20" s="152" t="s">
        <v>147</v>
      </c>
      <c r="Q20" s="152" t="s">
        <v>164</v>
      </c>
      <c r="R20" s="153">
        <f t="shared" si="2"/>
        <v>2333.683</v>
      </c>
      <c r="S20" s="153">
        <f t="shared" si="2"/>
        <v>2377.0787999999998</v>
      </c>
      <c r="T20" s="152">
        <v>120000</v>
      </c>
      <c r="U20" s="152">
        <f>(S20-R20)*T20+V20+W20</f>
        <v>5207495.9999999739</v>
      </c>
      <c r="V20" s="152">
        <f>I19</f>
        <v>0</v>
      </c>
      <c r="W20" s="152">
        <f>J20</f>
        <v>0</v>
      </c>
      <c r="X20" s="186"/>
      <c r="Y20" s="133"/>
      <c r="Z20" s="1266"/>
      <c r="AA20" s="1266"/>
      <c r="AB20" s="1268"/>
      <c r="AE20" t="s">
        <v>160</v>
      </c>
      <c r="AF20" t="s">
        <v>147</v>
      </c>
      <c r="AG20" t="s">
        <v>164</v>
      </c>
      <c r="AH20">
        <v>372.61700000000002</v>
      </c>
      <c r="AI20">
        <v>387.34070000000003</v>
      </c>
      <c r="AJ20">
        <v>120000</v>
      </c>
      <c r="AK20">
        <v>1766844</v>
      </c>
      <c r="AL20">
        <v>0</v>
      </c>
      <c r="AM20">
        <v>0</v>
      </c>
    </row>
    <row r="21" spans="1:44">
      <c r="A21" s="1281"/>
      <c r="B21" s="151" t="s">
        <v>165</v>
      </c>
      <c r="C21" s="152" t="s">
        <v>147</v>
      </c>
      <c r="D21" s="152" t="s">
        <v>166</v>
      </c>
      <c r="E21" s="14">
        <v>2041.327</v>
      </c>
      <c r="F21" s="14">
        <v>2059.1468</v>
      </c>
      <c r="G21" s="171">
        <v>120000</v>
      </c>
      <c r="H21" s="155">
        <f t="shared" si="1"/>
        <v>2251975.9999999986</v>
      </c>
      <c r="I21" s="153">
        <v>113600</v>
      </c>
      <c r="J21" s="181"/>
      <c r="K21" s="189"/>
      <c r="L21" s="133"/>
      <c r="N21" s="1266"/>
      <c r="O21" s="151" t="s">
        <v>162</v>
      </c>
      <c r="P21" s="152" t="s">
        <v>147</v>
      </c>
      <c r="Q21" s="152" t="s">
        <v>163</v>
      </c>
      <c r="R21" s="153">
        <f t="shared" si="2"/>
        <v>3321.6482000000001</v>
      </c>
      <c r="S21" s="153">
        <f t="shared" si="2"/>
        <v>3371.1952999999999</v>
      </c>
      <c r="T21" s="152">
        <v>120000</v>
      </c>
      <c r="U21" s="152">
        <f>(S21-R21)*T21+V21+W21</f>
        <v>5981251.999999973</v>
      </c>
      <c r="V21" s="152">
        <f>I20</f>
        <v>35600</v>
      </c>
      <c r="W21" s="152">
        <f>J21</f>
        <v>0</v>
      </c>
      <c r="X21" s="181"/>
      <c r="Y21" s="133"/>
      <c r="Z21" s="1266"/>
      <c r="AA21" s="1266"/>
      <c r="AB21" s="1268"/>
      <c r="AE21" t="s">
        <v>162</v>
      </c>
      <c r="AF21" t="s">
        <v>147</v>
      </c>
      <c r="AG21" t="s">
        <v>163</v>
      </c>
      <c r="AH21">
        <v>635.01329999999996</v>
      </c>
      <c r="AI21">
        <v>690.7011</v>
      </c>
      <c r="AJ21">
        <v>120000</v>
      </c>
      <c r="AK21">
        <v>6749336.0000000102</v>
      </c>
      <c r="AL21">
        <v>66800</v>
      </c>
      <c r="AM21">
        <v>0</v>
      </c>
    </row>
    <row r="22" spans="1:44">
      <c r="A22" s="1281"/>
      <c r="B22" s="151" t="s">
        <v>167</v>
      </c>
      <c r="C22" s="152" t="s">
        <v>147</v>
      </c>
      <c r="D22" s="152" t="s">
        <v>168</v>
      </c>
      <c r="E22" s="14">
        <v>397010</v>
      </c>
      <c r="F22" s="14">
        <v>443644</v>
      </c>
      <c r="G22" s="171">
        <v>120</v>
      </c>
      <c r="H22" s="155">
        <f t="shared" si="1"/>
        <v>5596080</v>
      </c>
      <c r="I22" s="153"/>
      <c r="J22" s="153"/>
      <c r="K22" s="188"/>
      <c r="L22" s="133"/>
      <c r="N22" s="1266"/>
      <c r="O22" s="151" t="s">
        <v>165</v>
      </c>
      <c r="P22" s="152" t="s">
        <v>147</v>
      </c>
      <c r="Q22" s="152" t="s">
        <v>166</v>
      </c>
      <c r="R22" s="153">
        <f t="shared" si="2"/>
        <v>2041.327</v>
      </c>
      <c r="S22" s="153">
        <f t="shared" si="2"/>
        <v>2059.1468</v>
      </c>
      <c r="T22" s="152">
        <v>120000</v>
      </c>
      <c r="U22" s="152">
        <f>(S22-R22)*T22+V22+W22</f>
        <v>2251975.9999999986</v>
      </c>
      <c r="V22" s="152">
        <f>I21</f>
        <v>113600</v>
      </c>
      <c r="W22" s="152">
        <f>J22</f>
        <v>0</v>
      </c>
      <c r="X22" s="153"/>
      <c r="Y22" s="133"/>
      <c r="Z22" s="1266"/>
      <c r="AA22" s="1266"/>
      <c r="AB22" s="1268"/>
      <c r="AE22" t="s">
        <v>165</v>
      </c>
      <c r="AF22" t="s">
        <v>147</v>
      </c>
      <c r="AG22" t="s">
        <v>166</v>
      </c>
      <c r="AH22">
        <v>240.0102</v>
      </c>
      <c r="AI22">
        <v>258.13850000000002</v>
      </c>
      <c r="AJ22">
        <v>60000</v>
      </c>
      <c r="AK22">
        <v>1088098</v>
      </c>
      <c r="AL22">
        <v>400</v>
      </c>
      <c r="AM22">
        <v>0</v>
      </c>
    </row>
    <row r="23" spans="1:44">
      <c r="A23" s="1281"/>
      <c r="B23" s="151" t="s">
        <v>169</v>
      </c>
      <c r="C23" s="152" t="s">
        <v>147</v>
      </c>
      <c r="D23" s="152" t="s">
        <v>170</v>
      </c>
      <c r="E23" s="14">
        <v>26820.5</v>
      </c>
      <c r="F23" s="14">
        <v>26857.8</v>
      </c>
      <c r="G23" s="171">
        <v>2000</v>
      </c>
      <c r="H23" s="155">
        <f t="shared" si="1"/>
        <v>74599.999999998545</v>
      </c>
      <c r="I23" s="153"/>
      <c r="J23" s="153"/>
      <c r="K23" s="190"/>
      <c r="L23" s="133"/>
      <c r="N23" s="1266"/>
      <c r="O23" s="151"/>
      <c r="P23" s="152"/>
      <c r="Q23" s="152"/>
      <c r="R23" s="153"/>
      <c r="S23" s="153"/>
      <c r="T23" s="152"/>
      <c r="U23" s="152"/>
      <c r="V23" s="152"/>
      <c r="W23" s="152"/>
      <c r="X23" s="153"/>
      <c r="Y23" s="133"/>
      <c r="Z23" s="1266"/>
      <c r="AA23" s="1266"/>
      <c r="AB23" s="1268"/>
    </row>
    <row r="24" spans="1:44">
      <c r="A24" s="1281"/>
      <c r="B24" s="191" t="s">
        <v>171</v>
      </c>
      <c r="C24" s="152" t="s">
        <v>147</v>
      </c>
      <c r="D24" s="152" t="s">
        <v>172</v>
      </c>
      <c r="E24" s="14">
        <v>21525.200000000001</v>
      </c>
      <c r="F24" s="14">
        <v>21644</v>
      </c>
      <c r="G24" s="171">
        <v>4000</v>
      </c>
      <c r="H24" s="152">
        <f>I24</f>
        <v>0</v>
      </c>
      <c r="I24" s="153"/>
      <c r="J24" s="153"/>
      <c r="K24" s="187">
        <f>(F24-E24)*G24</f>
        <v>475199.99999999709</v>
      </c>
      <c r="L24" s="133"/>
      <c r="N24" s="1266"/>
      <c r="O24" s="151" t="s">
        <v>167</v>
      </c>
      <c r="P24" s="152" t="s">
        <v>147</v>
      </c>
      <c r="Q24" s="152" t="s">
        <v>173</v>
      </c>
      <c r="R24" s="153">
        <f t="shared" ref="R24:W24" si="3">E22</f>
        <v>397010</v>
      </c>
      <c r="S24" s="153">
        <f t="shared" si="3"/>
        <v>443644</v>
      </c>
      <c r="T24" s="153">
        <f t="shared" si="3"/>
        <v>120</v>
      </c>
      <c r="U24" s="153">
        <f t="shared" si="3"/>
        <v>5596080</v>
      </c>
      <c r="V24" s="153">
        <f t="shared" si="3"/>
        <v>0</v>
      </c>
      <c r="W24" s="153">
        <f t="shared" si="3"/>
        <v>0</v>
      </c>
      <c r="X24" s="153"/>
      <c r="Y24" s="133"/>
      <c r="Z24" s="1266"/>
      <c r="AA24" s="1266"/>
      <c r="AB24" s="1268"/>
      <c r="AE24" t="s">
        <v>167</v>
      </c>
      <c r="AF24" t="s">
        <v>147</v>
      </c>
      <c r="AG24" t="s">
        <v>173</v>
      </c>
      <c r="AH24">
        <v>37256.9</v>
      </c>
      <c r="AI24">
        <v>37256.9</v>
      </c>
      <c r="AJ24">
        <v>2000</v>
      </c>
      <c r="AK24">
        <v>7090400.0000000102</v>
      </c>
      <c r="AL24">
        <v>0</v>
      </c>
      <c r="AM24">
        <v>0</v>
      </c>
    </row>
    <row r="25" spans="1:44">
      <c r="A25" s="1281"/>
      <c r="B25" s="151" t="s">
        <v>174</v>
      </c>
      <c r="C25" s="152" t="s">
        <v>147</v>
      </c>
      <c r="D25" s="152" t="s">
        <v>175</v>
      </c>
      <c r="E25" s="14">
        <v>174658.5</v>
      </c>
      <c r="F25" s="14">
        <v>177574.6</v>
      </c>
      <c r="G25" s="171">
        <v>2000</v>
      </c>
      <c r="H25" s="155">
        <f t="shared" ref="H25:H30" si="4">((F25-E25)*G25)+(I25+J25)</f>
        <v>5846600.0000000112</v>
      </c>
      <c r="I25" s="186">
        <v>14400</v>
      </c>
      <c r="J25" s="153"/>
      <c r="K25" s="187"/>
      <c r="L25" s="133"/>
      <c r="N25" s="1266"/>
      <c r="O25" s="151"/>
      <c r="P25" s="152"/>
      <c r="Q25" s="152"/>
      <c r="R25" s="153"/>
      <c r="S25" s="153"/>
      <c r="T25" s="152"/>
      <c r="U25" s="152"/>
      <c r="V25" s="152"/>
      <c r="W25" s="152"/>
      <c r="X25" s="153"/>
      <c r="Y25" s="133"/>
      <c r="Z25" s="1266"/>
      <c r="AA25" s="1266"/>
      <c r="AB25" s="1268"/>
    </row>
    <row r="26" spans="1:44">
      <c r="A26" s="1281"/>
      <c r="B26" s="151" t="s">
        <v>176</v>
      </c>
      <c r="C26" s="152" t="s">
        <v>147</v>
      </c>
      <c r="D26" s="152" t="s">
        <v>173</v>
      </c>
      <c r="E26" s="14">
        <v>88941.6</v>
      </c>
      <c r="F26" s="14">
        <v>89992.3</v>
      </c>
      <c r="G26" s="171">
        <v>2000</v>
      </c>
      <c r="H26" s="155">
        <f t="shared" si="4"/>
        <v>2101399.9999999944</v>
      </c>
      <c r="I26" s="186"/>
      <c r="J26" s="186"/>
      <c r="K26" s="187"/>
      <c r="L26" s="133"/>
      <c r="N26" s="1266"/>
      <c r="O26" s="151" t="s">
        <v>169</v>
      </c>
      <c r="P26" s="152" t="s">
        <v>147</v>
      </c>
      <c r="Q26" s="152" t="s">
        <v>175</v>
      </c>
      <c r="R26" s="153">
        <f t="shared" ref="R26:W26" si="5">E23</f>
        <v>26820.5</v>
      </c>
      <c r="S26" s="153">
        <f t="shared" si="5"/>
        <v>26857.8</v>
      </c>
      <c r="T26" s="153">
        <f t="shared" si="5"/>
        <v>2000</v>
      </c>
      <c r="U26" s="153">
        <f t="shared" si="5"/>
        <v>74599.999999998545</v>
      </c>
      <c r="V26" s="153">
        <f t="shared" si="5"/>
        <v>0</v>
      </c>
      <c r="W26" s="153">
        <f t="shared" si="5"/>
        <v>0</v>
      </c>
      <c r="X26" s="153"/>
      <c r="Y26" s="133"/>
      <c r="Z26" s="1266"/>
      <c r="AA26" s="1266"/>
      <c r="AB26" s="1268"/>
      <c r="AE26" t="s">
        <v>169</v>
      </c>
      <c r="AF26" t="s">
        <v>147</v>
      </c>
      <c r="AG26" t="s">
        <v>175</v>
      </c>
      <c r="AH26">
        <v>435</v>
      </c>
      <c r="AI26">
        <v>435</v>
      </c>
      <c r="AJ26">
        <v>2000</v>
      </c>
      <c r="AK26">
        <v>98000</v>
      </c>
      <c r="AL26">
        <v>0</v>
      </c>
      <c r="AM26">
        <v>0</v>
      </c>
    </row>
    <row r="27" spans="1:44">
      <c r="A27" s="1281"/>
      <c r="B27" s="192" t="s">
        <v>177</v>
      </c>
      <c r="C27" s="193" t="s">
        <v>147</v>
      </c>
      <c r="D27" s="193" t="s">
        <v>178</v>
      </c>
      <c r="E27" s="14">
        <v>495.59289999999999</v>
      </c>
      <c r="F27" s="14">
        <v>505.38440000000003</v>
      </c>
      <c r="G27" s="194">
        <v>240000</v>
      </c>
      <c r="H27" s="155">
        <f t="shared" si="4"/>
        <v>2575160.0000000102</v>
      </c>
      <c r="I27" s="195">
        <v>225200</v>
      </c>
      <c r="J27" s="186"/>
      <c r="K27" s="187"/>
      <c r="L27" s="196"/>
      <c r="N27" s="1266"/>
      <c r="O27" s="151" t="s">
        <v>174</v>
      </c>
      <c r="P27" s="152" t="s">
        <v>147</v>
      </c>
      <c r="Q27" s="152" t="s">
        <v>170</v>
      </c>
      <c r="R27" s="153">
        <f t="shared" ref="R27:W27" si="6">E25</f>
        <v>174658.5</v>
      </c>
      <c r="S27" s="153">
        <f t="shared" si="6"/>
        <v>177574.6</v>
      </c>
      <c r="T27" s="153">
        <f t="shared" si="6"/>
        <v>2000</v>
      </c>
      <c r="U27" s="153">
        <f t="shared" si="6"/>
        <v>5846600.0000000112</v>
      </c>
      <c r="V27" s="153">
        <f t="shared" si="6"/>
        <v>14400</v>
      </c>
      <c r="W27" s="153">
        <f t="shared" si="6"/>
        <v>0</v>
      </c>
      <c r="X27" s="133"/>
      <c r="Y27" s="133"/>
      <c r="Z27" s="1266"/>
      <c r="AA27" s="1266"/>
      <c r="AB27" s="1268"/>
      <c r="AE27" t="s">
        <v>174</v>
      </c>
      <c r="AF27" t="s">
        <v>147</v>
      </c>
      <c r="AG27" t="s">
        <v>170</v>
      </c>
      <c r="AH27">
        <v>24488.1</v>
      </c>
      <c r="AI27">
        <v>24488.1</v>
      </c>
      <c r="AJ27">
        <v>2000</v>
      </c>
      <c r="AK27">
        <v>3245200</v>
      </c>
      <c r="AL27">
        <v>0</v>
      </c>
      <c r="AM27">
        <v>0</v>
      </c>
    </row>
    <row r="28" spans="1:44">
      <c r="A28" s="1281"/>
      <c r="B28" s="197" t="s">
        <v>179</v>
      </c>
      <c r="C28" s="95" t="s">
        <v>147</v>
      </c>
      <c r="D28" s="95" t="s">
        <v>180</v>
      </c>
      <c r="E28" s="14">
        <v>154752.4</v>
      </c>
      <c r="F28" s="14">
        <v>157185.1</v>
      </c>
      <c r="G28" s="198">
        <v>2000</v>
      </c>
      <c r="H28" s="155">
        <f t="shared" si="4"/>
        <v>4865400.0000000233</v>
      </c>
      <c r="I28" s="95"/>
      <c r="J28" s="186"/>
      <c r="K28" s="199"/>
      <c r="L28" s="196"/>
      <c r="N28" s="1266"/>
      <c r="O28" s="151"/>
      <c r="P28" s="152"/>
      <c r="Q28" s="152"/>
      <c r="R28" s="153"/>
      <c r="S28" s="153"/>
      <c r="T28" s="152"/>
      <c r="U28" s="152"/>
      <c r="V28" s="152"/>
      <c r="W28" s="152"/>
      <c r="X28" s="133"/>
      <c r="Y28" s="133"/>
      <c r="Z28" s="1266"/>
      <c r="AA28" s="1266"/>
      <c r="AB28" s="1268"/>
    </row>
    <row r="29" spans="1:44" s="201" customFormat="1">
      <c r="A29" s="1281"/>
      <c r="B29" s="197" t="s">
        <v>181</v>
      </c>
      <c r="C29" s="153" t="s">
        <v>147</v>
      </c>
      <c r="D29" s="95" t="s">
        <v>182</v>
      </c>
      <c r="E29" s="14">
        <v>2667.8238999999999</v>
      </c>
      <c r="F29" s="14">
        <v>2708.4877999999999</v>
      </c>
      <c r="G29" s="198">
        <v>120000</v>
      </c>
      <c r="H29" s="155">
        <f t="shared" si="4"/>
        <v>4879668.0000000019</v>
      </c>
      <c r="I29" s="95"/>
      <c r="J29" s="95"/>
      <c r="K29" s="200"/>
      <c r="L29" s="196"/>
      <c r="N29" s="1266"/>
      <c r="O29" s="191" t="s">
        <v>176</v>
      </c>
      <c r="P29" s="153" t="s">
        <v>147</v>
      </c>
      <c r="Q29" s="153" t="s">
        <v>168</v>
      </c>
      <c r="R29" s="153">
        <f t="shared" ref="R29:W29" si="7">E26</f>
        <v>88941.6</v>
      </c>
      <c r="S29" s="153">
        <f t="shared" si="7"/>
        <v>89992.3</v>
      </c>
      <c r="T29" s="153">
        <f t="shared" si="7"/>
        <v>2000</v>
      </c>
      <c r="U29" s="153">
        <f t="shared" si="7"/>
        <v>2101399.9999999944</v>
      </c>
      <c r="V29" s="153">
        <f t="shared" si="7"/>
        <v>0</v>
      </c>
      <c r="W29" s="153">
        <f t="shared" si="7"/>
        <v>0</v>
      </c>
      <c r="X29" s="202"/>
      <c r="Y29" s="202"/>
      <c r="Z29" s="1266"/>
      <c r="AA29" s="1266"/>
      <c r="AB29" s="1268"/>
      <c r="AE29" s="201" t="s">
        <v>176</v>
      </c>
      <c r="AF29" s="201" t="s">
        <v>147</v>
      </c>
      <c r="AG29" s="201" t="s">
        <v>168</v>
      </c>
      <c r="AH29" s="201">
        <v>37816.9</v>
      </c>
      <c r="AI29" s="201">
        <v>37816.9</v>
      </c>
      <c r="AJ29" s="201">
        <v>2000</v>
      </c>
      <c r="AK29" s="201">
        <v>1455800</v>
      </c>
      <c r="AM29" s="201">
        <v>0</v>
      </c>
    </row>
    <row r="30" spans="1:44">
      <c r="A30" s="1281"/>
      <c r="B30" s="203" t="s">
        <v>183</v>
      </c>
      <c r="C30" s="204" t="s">
        <v>147</v>
      </c>
      <c r="D30" s="195" t="s">
        <v>184</v>
      </c>
      <c r="E30" s="14">
        <v>2561.0909999999999</v>
      </c>
      <c r="F30" s="14">
        <v>2594.3004999999998</v>
      </c>
      <c r="G30" s="205">
        <v>120000</v>
      </c>
      <c r="H30" s="204">
        <f t="shared" si="4"/>
        <v>3985139.9999999921</v>
      </c>
      <c r="I30" s="195"/>
      <c r="J30" s="95"/>
      <c r="K30" s="199"/>
      <c r="L30" s="206"/>
      <c r="N30" s="1266"/>
      <c r="O30" s="151"/>
      <c r="P30" s="152"/>
      <c r="Q30" s="152"/>
      <c r="R30" s="153"/>
      <c r="S30" s="153"/>
      <c r="T30" s="152"/>
      <c r="U30" s="152"/>
      <c r="V30" s="152"/>
      <c r="W30" s="152"/>
      <c r="X30" s="133"/>
      <c r="Y30" s="133"/>
      <c r="Z30" s="1266"/>
      <c r="AA30" s="1266"/>
      <c r="AB30" s="1268"/>
    </row>
    <row r="31" spans="1:44" ht="15.75">
      <c r="A31" s="1281"/>
      <c r="B31" s="207" t="s">
        <v>185</v>
      </c>
      <c r="C31" s="152"/>
      <c r="D31" s="152"/>
      <c r="E31" s="156"/>
      <c r="F31" s="156"/>
      <c r="G31" s="152"/>
      <c r="H31" s="169">
        <f>SUM(H15:H30)</f>
        <v>61132171.99999994</v>
      </c>
      <c r="I31" s="208">
        <f>(H14-H31)/H14</f>
        <v>-9.7341328632047776E-4</v>
      </c>
      <c r="J31" s="95"/>
      <c r="K31" s="199"/>
      <c r="L31" s="133"/>
      <c r="N31" s="1266"/>
      <c r="O31" s="163" t="s">
        <v>186</v>
      </c>
      <c r="P31" s="165" t="s">
        <v>147</v>
      </c>
      <c r="Q31" s="165" t="s">
        <v>187</v>
      </c>
      <c r="R31" s="95">
        <f>E28</f>
        <v>154752.4</v>
      </c>
      <c r="S31" s="95">
        <f>F28</f>
        <v>157185.1</v>
      </c>
      <c r="T31" s="165">
        <v>2000</v>
      </c>
      <c r="U31" s="152">
        <f>(S31-R31)*T31+V31+W31</f>
        <v>4865400.0000000233</v>
      </c>
      <c r="V31" s="152">
        <f>I28</f>
        <v>0</v>
      </c>
      <c r="W31" s="152">
        <f>J30</f>
        <v>0</v>
      </c>
      <c r="X31" s="133"/>
      <c r="Y31" s="133"/>
      <c r="Z31" s="1266"/>
      <c r="AA31" s="1266"/>
      <c r="AB31" s="1268"/>
      <c r="AE31" t="s">
        <v>186</v>
      </c>
      <c r="AF31" t="s">
        <v>147</v>
      </c>
      <c r="AG31" t="s">
        <v>187</v>
      </c>
      <c r="AH31">
        <v>6768.6</v>
      </c>
      <c r="AI31">
        <v>9254.7999999999993</v>
      </c>
      <c r="AJ31">
        <v>2000</v>
      </c>
      <c r="AK31">
        <v>4972400</v>
      </c>
      <c r="AL31">
        <v>0</v>
      </c>
      <c r="AM31">
        <v>0</v>
      </c>
    </row>
    <row r="32" spans="1:44" ht="15.75">
      <c r="A32" s="1281"/>
      <c r="B32" s="151" t="s">
        <v>188</v>
      </c>
      <c r="C32" s="152"/>
      <c r="D32" s="152"/>
      <c r="E32" s="209"/>
      <c r="F32" s="209"/>
      <c r="G32" s="152"/>
      <c r="H32" s="210">
        <f>H27+H30</f>
        <v>6560300.0000000019</v>
      </c>
      <c r="I32" s="208"/>
      <c r="J32" s="211"/>
      <c r="K32" s="172"/>
      <c r="L32" s="133"/>
      <c r="N32" s="1266"/>
      <c r="O32" s="163" t="s">
        <v>189</v>
      </c>
      <c r="P32" s="164" t="s">
        <v>147</v>
      </c>
      <c r="Q32" s="165" t="s">
        <v>164</v>
      </c>
      <c r="R32" s="95">
        <f>E29</f>
        <v>2667.8238999999999</v>
      </c>
      <c r="S32" s="95">
        <f>F29</f>
        <v>2708.4877999999999</v>
      </c>
      <c r="T32" s="165">
        <v>120000</v>
      </c>
      <c r="U32" s="152">
        <f>(S32-R32)*T32+V32+W32</f>
        <v>4879668.0000000019</v>
      </c>
      <c r="V32" s="152">
        <f>I29</f>
        <v>0</v>
      </c>
      <c r="W32" s="152">
        <f>J31</f>
        <v>0</v>
      </c>
      <c r="X32" s="133"/>
      <c r="Y32" s="133"/>
      <c r="Z32" s="1266"/>
      <c r="AA32" s="1266"/>
      <c r="AB32" s="1268"/>
      <c r="AE32" t="s">
        <v>189</v>
      </c>
      <c r="AF32" t="s">
        <v>147</v>
      </c>
      <c r="AG32" t="s">
        <v>164</v>
      </c>
      <c r="AH32">
        <v>143.6498</v>
      </c>
      <c r="AI32">
        <v>208.28620000000001</v>
      </c>
      <c r="AJ32">
        <v>120000</v>
      </c>
      <c r="AK32">
        <v>7756368</v>
      </c>
      <c r="AL32">
        <v>0</v>
      </c>
      <c r="AM32">
        <v>0</v>
      </c>
    </row>
    <row r="33" spans="1:44" ht="15.75">
      <c r="A33" s="1281"/>
      <c r="B33" s="207" t="s">
        <v>190</v>
      </c>
      <c r="C33" s="152"/>
      <c r="D33" s="152"/>
      <c r="E33" s="156"/>
      <c r="F33" s="156"/>
      <c r="G33" s="152"/>
      <c r="H33" s="212">
        <f>H31-H32</f>
        <v>54571871.99999994</v>
      </c>
      <c r="I33" s="153"/>
      <c r="J33" s="213"/>
      <c r="K33" s="214"/>
      <c r="L33" s="133"/>
      <c r="N33" s="215" t="s">
        <v>83</v>
      </c>
      <c r="O33" s="133"/>
      <c r="P33" s="133"/>
      <c r="Q33" s="133"/>
      <c r="R33" s="133"/>
      <c r="S33" s="133"/>
      <c r="T33" s="133"/>
      <c r="U33" s="181"/>
      <c r="V33" s="181"/>
      <c r="W33" s="133"/>
      <c r="X33" s="133"/>
      <c r="Y33" s="133"/>
      <c r="Z33" s="133"/>
      <c r="AA33" s="133"/>
      <c r="AB33" s="133"/>
      <c r="AD33" t="s">
        <v>83</v>
      </c>
    </row>
    <row r="34" spans="1:44">
      <c r="A34" s="1281"/>
      <c r="L34" s="133"/>
      <c r="N34" s="215"/>
      <c r="O34" s="133"/>
      <c r="P34" s="133"/>
      <c r="Q34" s="133"/>
      <c r="R34" s="133"/>
      <c r="S34" s="133"/>
      <c r="T34" s="133"/>
      <c r="U34" s="181"/>
      <c r="V34" s="181"/>
      <c r="W34" s="133"/>
      <c r="X34" s="133"/>
      <c r="Y34" s="133"/>
      <c r="Z34" s="133"/>
      <c r="AA34" s="133"/>
      <c r="AB34" s="133"/>
    </row>
    <row r="35" spans="1:44">
      <c r="A35" s="1281"/>
      <c r="L35" s="133"/>
      <c r="N35" s="216"/>
      <c r="O35" s="217" t="s">
        <v>177</v>
      </c>
      <c r="P35" s="218" t="s">
        <v>147</v>
      </c>
      <c r="Q35" s="218" t="s">
        <v>178</v>
      </c>
      <c r="R35" s="219">
        <f>E27</f>
        <v>495.59289999999999</v>
      </c>
      <c r="S35" s="219">
        <f>F27</f>
        <v>505.38440000000003</v>
      </c>
      <c r="T35" s="218">
        <v>240000</v>
      </c>
      <c r="U35" s="152">
        <f>(S35-R35)*T35+V35+W35</f>
        <v>2575160.0000000102</v>
      </c>
      <c r="V35" s="152">
        <f>I27</f>
        <v>225200</v>
      </c>
      <c r="W35" s="152">
        <f>J29</f>
        <v>0</v>
      </c>
      <c r="X35" s="133"/>
      <c r="Y35" s="133"/>
      <c r="Z35" s="220">
        <f>U35+U36</f>
        <v>6560300.0000000019</v>
      </c>
      <c r="AA35" s="220">
        <f>Z35/H31</f>
        <v>0.10731337993356441</v>
      </c>
      <c r="AB35" s="180">
        <f>L14*AA35</f>
        <v>-6379.6731236672722</v>
      </c>
      <c r="AE35" t="s">
        <v>177</v>
      </c>
      <c r="AF35" t="s">
        <v>147</v>
      </c>
      <c r="AG35" t="s">
        <v>178</v>
      </c>
      <c r="AH35">
        <v>65.772000000000006</v>
      </c>
      <c r="AI35">
        <v>65.772000000000006</v>
      </c>
      <c r="AJ35">
        <v>240000</v>
      </c>
      <c r="AK35">
        <v>0</v>
      </c>
      <c r="AL35">
        <v>0</v>
      </c>
      <c r="AM35">
        <v>0</v>
      </c>
      <c r="AP35">
        <v>3351355.9999999902</v>
      </c>
      <c r="AQ35">
        <v>5.8647144474448999E-2</v>
      </c>
      <c r="AR35">
        <v>23835.4311044483</v>
      </c>
    </row>
    <row r="36" spans="1:44">
      <c r="A36" s="1281"/>
      <c r="L36" s="133"/>
      <c r="N36" s="133"/>
      <c r="O36" s="163" t="s">
        <v>183</v>
      </c>
      <c r="P36" s="164" t="s">
        <v>147</v>
      </c>
      <c r="Q36" s="165" t="s">
        <v>184</v>
      </c>
      <c r="R36" s="95">
        <f>E30</f>
        <v>2561.0909999999999</v>
      </c>
      <c r="S36" s="95">
        <f>F30</f>
        <v>2594.3004999999998</v>
      </c>
      <c r="T36" s="165">
        <v>120000</v>
      </c>
      <c r="U36" s="152">
        <f>(S36-R36)*T36+V36+W36</f>
        <v>3985139.9999999921</v>
      </c>
      <c r="V36" s="152">
        <f>I30</f>
        <v>0</v>
      </c>
      <c r="W36" s="152">
        <f>J32</f>
        <v>0</v>
      </c>
      <c r="X36" s="133"/>
      <c r="Y36" s="133"/>
      <c r="Z36" s="220"/>
      <c r="AA36" s="220"/>
      <c r="AB36" s="180"/>
      <c r="AE36" t="s">
        <v>183</v>
      </c>
      <c r="AF36" t="s">
        <v>147</v>
      </c>
      <c r="AG36" t="s">
        <v>184</v>
      </c>
      <c r="AH36">
        <v>401.63170000000002</v>
      </c>
      <c r="AI36">
        <v>429.38299999999998</v>
      </c>
      <c r="AJ36">
        <v>120000</v>
      </c>
      <c r="AK36">
        <v>3351355.9999999902</v>
      </c>
      <c r="AL36">
        <v>21200</v>
      </c>
      <c r="AM36">
        <v>0</v>
      </c>
    </row>
    <row r="37" spans="1:44">
      <c r="A37" s="1281"/>
      <c r="J37" s="221"/>
      <c r="K37" s="221"/>
      <c r="L37" s="133"/>
      <c r="U37" s="136">
        <f>SUM(U15:U36)</f>
        <v>61132171.99999994</v>
      </c>
      <c r="AA37" s="136">
        <f>SUM(AA15:AA35)</f>
        <v>1.0000000000000002</v>
      </c>
      <c r="AB37" s="222">
        <f>SUM(AB15:AB35)</f>
        <v>-59448.999999970205</v>
      </c>
      <c r="AK37">
        <v>57144402</v>
      </c>
      <c r="AQ37">
        <v>1</v>
      </c>
      <c r="AR37">
        <v>406420.99999997002</v>
      </c>
    </row>
    <row r="38" spans="1:44">
      <c r="A38" s="223"/>
      <c r="L38" s="133"/>
    </row>
    <row r="39" spans="1:44">
      <c r="A39" s="224"/>
      <c r="J39" s="225"/>
      <c r="K39" s="225"/>
      <c r="L39" s="133"/>
      <c r="U39" s="136">
        <f>U37-H31</f>
        <v>0</v>
      </c>
      <c r="AK39">
        <v>0</v>
      </c>
    </row>
    <row r="40" spans="1:44" ht="20.25">
      <c r="A40" s="226" t="s">
        <v>191</v>
      </c>
      <c r="B40" s="227"/>
      <c r="C40" s="227"/>
      <c r="D40" s="227"/>
      <c r="E40" s="228"/>
      <c r="F40" s="228"/>
      <c r="G40" s="227"/>
      <c r="H40" s="229"/>
      <c r="I40" s="227"/>
      <c r="J40" s="227"/>
      <c r="K40" s="227"/>
      <c r="L40" s="133"/>
    </row>
    <row r="41" spans="1:44">
      <c r="A41" s="141"/>
      <c r="B41" s="141"/>
      <c r="C41" s="141"/>
      <c r="D41" s="141"/>
      <c r="E41" s="142"/>
      <c r="F41" s="142"/>
      <c r="G41" s="141"/>
      <c r="H41" s="230" t="str">
        <f>H2</f>
        <v>OCT.2024</v>
      </c>
      <c r="I41" s="141"/>
      <c r="J41" s="146"/>
      <c r="K41" s="144"/>
      <c r="L41" s="133"/>
    </row>
    <row r="42" spans="1:44" ht="38.25" customHeight="1">
      <c r="A42" s="1273" t="s">
        <v>192</v>
      </c>
      <c r="B42" s="6" t="s">
        <v>128</v>
      </c>
      <c r="C42" s="6" t="s">
        <v>129</v>
      </c>
      <c r="D42" s="6" t="s">
        <v>130</v>
      </c>
      <c r="E42" s="145" t="s">
        <v>193</v>
      </c>
      <c r="F42" s="145" t="s">
        <v>193</v>
      </c>
      <c r="G42" s="141"/>
      <c r="H42" s="141"/>
      <c r="I42" s="6" t="s">
        <v>132</v>
      </c>
      <c r="J42" s="146"/>
      <c r="K42" s="146"/>
      <c r="L42" s="133"/>
    </row>
    <row r="43" spans="1:44" ht="25.5">
      <c r="A43" s="1273"/>
      <c r="B43" s="11" t="s">
        <v>6</v>
      </c>
      <c r="C43" s="6"/>
      <c r="D43" s="6"/>
      <c r="E43" s="148">
        <v>45565</v>
      </c>
      <c r="F43" s="148">
        <v>45596</v>
      </c>
      <c r="G43" s="6" t="s">
        <v>135</v>
      </c>
      <c r="H43" s="6" t="s">
        <v>136</v>
      </c>
      <c r="I43" s="231"/>
      <c r="J43" s="146"/>
      <c r="K43" s="146"/>
      <c r="L43" s="133"/>
    </row>
    <row r="44" spans="1:44" ht="15" customHeight="1">
      <c r="A44" s="1274" t="s">
        <v>194</v>
      </c>
      <c r="B44" s="151" t="s">
        <v>195</v>
      </c>
      <c r="C44" s="232" t="s">
        <v>196</v>
      </c>
      <c r="D44" s="232" t="s">
        <v>197</v>
      </c>
      <c r="E44" s="14">
        <v>5901270</v>
      </c>
      <c r="F44" s="14">
        <v>5901270</v>
      </c>
      <c r="G44" s="232">
        <v>360</v>
      </c>
      <c r="H44" s="155">
        <f t="shared" ref="H44:H49" si="8">((F44-E44)*G44)+(I44+J44)</f>
        <v>0</v>
      </c>
      <c r="I44" s="233"/>
      <c r="J44" s="234"/>
      <c r="K44" s="234"/>
      <c r="L44" s="133"/>
      <c r="N44" s="1275" t="s">
        <v>80</v>
      </c>
      <c r="O44" s="232" t="s">
        <v>198</v>
      </c>
      <c r="P44" s="152" t="s">
        <v>196</v>
      </c>
      <c r="Q44" s="152" t="s">
        <v>199</v>
      </c>
      <c r="R44" s="181">
        <f>E53</f>
        <v>2216.6</v>
      </c>
      <c r="S44" s="181">
        <f>F53</f>
        <v>2268.1999999999998</v>
      </c>
      <c r="T44" s="181">
        <v>120000</v>
      </c>
      <c r="U44" s="181">
        <f>H53</f>
        <v>6381314.3999999892</v>
      </c>
      <c r="V44" s="181"/>
      <c r="W44" s="181"/>
      <c r="X44" s="181"/>
      <c r="Y44" s="181"/>
      <c r="Z44" s="1269">
        <f>U44+U45</f>
        <v>8985314.4000000209</v>
      </c>
      <c r="AA44" s="1272">
        <f>Z44/H64</f>
        <v>0.21523920548836012</v>
      </c>
      <c r="AB44" s="1268">
        <f>L51*AA44</f>
        <v>0</v>
      </c>
      <c r="AD44" t="s">
        <v>80</v>
      </c>
      <c r="AE44" t="s">
        <v>198</v>
      </c>
      <c r="AF44" t="s">
        <v>196</v>
      </c>
      <c r="AG44" t="s">
        <v>199</v>
      </c>
      <c r="AH44">
        <v>431.7</v>
      </c>
      <c r="AI44">
        <v>464.6</v>
      </c>
      <c r="AJ44">
        <v>120000</v>
      </c>
      <c r="AK44">
        <v>3951666</v>
      </c>
      <c r="AP44">
        <v>9147666</v>
      </c>
      <c r="AQ44">
        <v>0.22764317108262799</v>
      </c>
      <c r="AR44">
        <v>-20663.6259255123</v>
      </c>
    </row>
    <row r="45" spans="1:44">
      <c r="A45" s="1274"/>
      <c r="B45" s="151" t="s">
        <v>200</v>
      </c>
      <c r="C45" s="232" t="s">
        <v>196</v>
      </c>
      <c r="D45" s="232" t="s">
        <v>201</v>
      </c>
      <c r="E45" s="14">
        <v>2001424</v>
      </c>
      <c r="F45" s="14">
        <v>2001424</v>
      </c>
      <c r="G45" s="232">
        <v>240</v>
      </c>
      <c r="H45" s="155">
        <f t="shared" si="8"/>
        <v>0</v>
      </c>
      <c r="I45" s="232"/>
      <c r="J45" s="235"/>
      <c r="K45" s="235"/>
      <c r="L45" s="133"/>
      <c r="N45" s="1275"/>
      <c r="O45" s="232" t="s">
        <v>202</v>
      </c>
      <c r="P45" s="152" t="s">
        <v>196</v>
      </c>
      <c r="Q45" s="152" t="s">
        <v>203</v>
      </c>
      <c r="R45" s="181">
        <f>E55</f>
        <v>3067.7</v>
      </c>
      <c r="S45" s="181">
        <f>F55</f>
        <v>3089.4</v>
      </c>
      <c r="T45" s="181">
        <v>120000</v>
      </c>
      <c r="U45" s="181">
        <f>H55</f>
        <v>2604000.0000000326</v>
      </c>
      <c r="V45" s="181"/>
      <c r="W45" s="181"/>
      <c r="X45" s="232"/>
      <c r="Y45" s="133"/>
      <c r="Z45" s="1269"/>
      <c r="AA45" s="1272"/>
      <c r="AB45" s="1268"/>
      <c r="AE45" t="s">
        <v>202</v>
      </c>
      <c r="AF45" t="s">
        <v>196</v>
      </c>
      <c r="AG45" t="s">
        <v>203</v>
      </c>
      <c r="AH45">
        <v>504.5</v>
      </c>
      <c r="AI45">
        <v>547.79999999999995</v>
      </c>
      <c r="AJ45">
        <v>120000</v>
      </c>
      <c r="AK45">
        <v>5195999.9999999898</v>
      </c>
    </row>
    <row r="46" spans="1:44">
      <c r="A46" s="1274"/>
      <c r="B46" s="151" t="s">
        <v>200</v>
      </c>
      <c r="C46" s="232" t="s">
        <v>196</v>
      </c>
      <c r="D46" s="232" t="s">
        <v>204</v>
      </c>
      <c r="E46" s="14">
        <v>1985854</v>
      </c>
      <c r="F46" s="14">
        <v>1985854</v>
      </c>
      <c r="G46" s="232">
        <v>240</v>
      </c>
      <c r="H46" s="155">
        <f t="shared" si="8"/>
        <v>0</v>
      </c>
      <c r="I46" s="232"/>
      <c r="J46" s="235"/>
      <c r="K46" s="235"/>
      <c r="L46" s="133"/>
      <c r="N46" s="216"/>
      <c r="O46" s="232"/>
      <c r="P46" s="152"/>
      <c r="Q46" s="152"/>
      <c r="R46" s="181"/>
      <c r="S46" s="181"/>
      <c r="T46" s="181"/>
      <c r="U46" s="181"/>
      <c r="V46" s="181"/>
      <c r="W46" s="181"/>
      <c r="X46" s="232"/>
      <c r="Y46" s="133"/>
      <c r="Z46" s="1269"/>
      <c r="AA46" s="1272"/>
      <c r="AB46" s="1268"/>
    </row>
    <row r="47" spans="1:44">
      <c r="A47" s="1274"/>
      <c r="B47" s="151" t="s">
        <v>200</v>
      </c>
      <c r="C47" s="232" t="s">
        <v>196</v>
      </c>
      <c r="D47" s="232" t="s">
        <v>205</v>
      </c>
      <c r="E47" s="156">
        <v>376.67700000000002</v>
      </c>
      <c r="F47" s="14">
        <v>430.25700000000001</v>
      </c>
      <c r="G47" s="232">
        <v>360000</v>
      </c>
      <c r="H47" s="155">
        <f t="shared" si="8"/>
        <v>19288799.999999993</v>
      </c>
      <c r="I47" s="232"/>
      <c r="J47" s="235"/>
      <c r="K47" s="235"/>
      <c r="L47" s="133"/>
      <c r="N47" s="215" t="s">
        <v>81</v>
      </c>
      <c r="O47" s="236" t="s">
        <v>206</v>
      </c>
      <c r="P47" s="152" t="s">
        <v>196</v>
      </c>
      <c r="Q47" s="152" t="s">
        <v>207</v>
      </c>
      <c r="R47" s="181">
        <f>E58</f>
        <v>3010.6</v>
      </c>
      <c r="S47" s="181">
        <f>F58</f>
        <v>3048.6</v>
      </c>
      <c r="T47" s="152">
        <v>120000</v>
      </c>
      <c r="U47" s="181">
        <f>H58</f>
        <v>4560000</v>
      </c>
      <c r="V47" s="181"/>
      <c r="W47" s="181"/>
      <c r="X47" s="232"/>
      <c r="Y47" s="133"/>
      <c r="Z47" s="1269"/>
      <c r="AA47" s="1272"/>
      <c r="AB47" s="1268"/>
      <c r="AD47" t="s">
        <v>81</v>
      </c>
      <c r="AE47" t="s">
        <v>206</v>
      </c>
      <c r="AF47" t="s">
        <v>196</v>
      </c>
      <c r="AG47" t="s">
        <v>207</v>
      </c>
      <c r="AH47">
        <v>536.1</v>
      </c>
      <c r="AI47">
        <v>590.79999999999995</v>
      </c>
      <c r="AJ47">
        <v>120000</v>
      </c>
      <c r="AK47">
        <v>6594996.9999999898</v>
      </c>
    </row>
    <row r="48" spans="1:44">
      <c r="A48" s="1274"/>
      <c r="B48" s="151" t="s">
        <v>208</v>
      </c>
      <c r="C48" s="232" t="s">
        <v>196</v>
      </c>
      <c r="D48" s="232" t="s">
        <v>209</v>
      </c>
      <c r="E48" s="156">
        <v>321.47699999999998</v>
      </c>
      <c r="F48" s="14">
        <v>368.40600000000001</v>
      </c>
      <c r="G48" s="232">
        <v>240000</v>
      </c>
      <c r="H48" s="155">
        <f t="shared" si="8"/>
        <v>11262960.000000007</v>
      </c>
      <c r="I48" s="232"/>
      <c r="J48" s="235"/>
      <c r="K48" s="235"/>
      <c r="L48" s="133"/>
      <c r="N48" s="1269" t="s">
        <v>83</v>
      </c>
      <c r="O48" s="232" t="s">
        <v>210</v>
      </c>
      <c r="P48" s="152" t="s">
        <v>196</v>
      </c>
      <c r="Q48" s="152" t="s">
        <v>211</v>
      </c>
      <c r="R48" s="153">
        <f>E56</f>
        <v>2564.6</v>
      </c>
      <c r="S48" s="153">
        <f>F56</f>
        <v>2607.3000000000002</v>
      </c>
      <c r="T48" s="152">
        <v>120000</v>
      </c>
      <c r="U48" s="153">
        <f>H56</f>
        <v>5124000.0000000326</v>
      </c>
      <c r="V48" s="153"/>
      <c r="W48" s="153"/>
      <c r="X48" s="133"/>
      <c r="Y48" s="133"/>
      <c r="Z48" s="1269"/>
      <c r="AA48" s="1272"/>
      <c r="AB48" s="1268"/>
      <c r="AD48" t="s">
        <v>83</v>
      </c>
      <c r="AE48" t="s">
        <v>210</v>
      </c>
      <c r="AF48" t="s">
        <v>196</v>
      </c>
      <c r="AG48" t="s">
        <v>211</v>
      </c>
      <c r="AH48">
        <v>266.5</v>
      </c>
      <c r="AI48">
        <v>292.89999999999998</v>
      </c>
      <c r="AJ48">
        <v>120000</v>
      </c>
      <c r="AK48">
        <v>3168000</v>
      </c>
    </row>
    <row r="49" spans="1:44">
      <c r="A49" s="1274"/>
      <c r="B49" s="151" t="s">
        <v>212</v>
      </c>
      <c r="C49" s="232" t="s">
        <v>196</v>
      </c>
      <c r="D49" s="232" t="s">
        <v>213</v>
      </c>
      <c r="E49" s="156">
        <v>320.40499999999997</v>
      </c>
      <c r="F49" s="14">
        <v>366.80099999999999</v>
      </c>
      <c r="G49" s="232">
        <v>240000</v>
      </c>
      <c r="H49" s="155">
        <f t="shared" si="8"/>
        <v>11135040.000000004</v>
      </c>
      <c r="I49" s="232"/>
      <c r="J49" s="237"/>
      <c r="K49" s="235"/>
      <c r="L49" s="133"/>
      <c r="N49" s="1269"/>
      <c r="O49" s="232" t="s">
        <v>214</v>
      </c>
      <c r="P49" s="152" t="s">
        <v>196</v>
      </c>
      <c r="Q49" s="152" t="s">
        <v>215</v>
      </c>
      <c r="R49" s="153">
        <f>E54</f>
        <v>140273.5</v>
      </c>
      <c r="S49" s="153">
        <f>F54</f>
        <v>140843.70000000001</v>
      </c>
      <c r="T49" s="152">
        <v>2000</v>
      </c>
      <c r="U49" s="153">
        <f>(S49-R49)*T49+V49</f>
        <v>1140400.0000000233</v>
      </c>
      <c r="V49" s="153">
        <f>I54</f>
        <v>0</v>
      </c>
      <c r="W49" s="153">
        <f>J53</f>
        <v>0</v>
      </c>
      <c r="X49" s="232"/>
      <c r="Y49" s="133"/>
      <c r="Z49" s="1269"/>
      <c r="AA49" s="1272"/>
      <c r="AB49" s="1268"/>
      <c r="AE49" t="s">
        <v>214</v>
      </c>
      <c r="AF49" t="s">
        <v>196</v>
      </c>
      <c r="AG49" t="s">
        <v>215</v>
      </c>
      <c r="AH49">
        <v>103298.2</v>
      </c>
      <c r="AI49">
        <v>103987.5</v>
      </c>
      <c r="AJ49">
        <v>2000</v>
      </c>
      <c r="AK49">
        <v>1378600.00000001</v>
      </c>
      <c r="AL49">
        <v>0</v>
      </c>
      <c r="AM49">
        <v>0</v>
      </c>
    </row>
    <row r="50" spans="1:44">
      <c r="A50" s="1274"/>
      <c r="B50" s="197" t="s">
        <v>146</v>
      </c>
      <c r="C50" s="238" t="s">
        <v>196</v>
      </c>
      <c r="D50" s="239">
        <v>3721481</v>
      </c>
      <c r="E50" s="14">
        <v>237202.6</v>
      </c>
      <c r="F50" s="14">
        <v>239300.5</v>
      </c>
      <c r="G50" s="239">
        <v>1</v>
      </c>
      <c r="H50" s="159">
        <f>((F50-E50)*G50)+(I50+J49)</f>
        <v>3146.849999999994</v>
      </c>
      <c r="I50" s="159">
        <v>1048.95</v>
      </c>
      <c r="J50" s="240"/>
      <c r="K50" s="235"/>
      <c r="L50" s="133"/>
      <c r="N50" s="1269"/>
      <c r="O50" s="232" t="s">
        <v>216</v>
      </c>
      <c r="P50" s="152" t="s">
        <v>196</v>
      </c>
      <c r="Q50" s="152" t="s">
        <v>217</v>
      </c>
      <c r="R50" s="241">
        <f>E57</f>
        <v>2849.5</v>
      </c>
      <c r="S50" s="241">
        <f>F57</f>
        <v>2892.8</v>
      </c>
      <c r="T50" s="152">
        <v>120000</v>
      </c>
      <c r="U50" s="153">
        <f>H57</f>
        <v>5196000.0000000214</v>
      </c>
      <c r="V50" s="153"/>
      <c r="W50" s="153"/>
      <c r="X50" s="133"/>
      <c r="Y50" s="133"/>
      <c r="Z50" s="1270">
        <f>U47</f>
        <v>4560000</v>
      </c>
      <c r="AA50" s="1271">
        <f>Z50/H64</f>
        <v>0.1092327695319064</v>
      </c>
      <c r="AB50" s="1264">
        <f>L51*AA50</f>
        <v>0</v>
      </c>
      <c r="AE50" t="s">
        <v>216</v>
      </c>
      <c r="AF50" t="s">
        <v>196</v>
      </c>
      <c r="AG50" t="s">
        <v>217</v>
      </c>
      <c r="AH50">
        <v>414</v>
      </c>
      <c r="AI50">
        <v>456.5</v>
      </c>
      <c r="AJ50">
        <v>120000</v>
      </c>
      <c r="AK50">
        <v>5410303</v>
      </c>
      <c r="AP50">
        <v>6594996.9999999898</v>
      </c>
      <c r="AQ50">
        <v>0.16411902559192801</v>
      </c>
      <c r="AR50">
        <v>-14897.4121910305</v>
      </c>
    </row>
    <row r="51" spans="1:44">
      <c r="A51" s="1274"/>
      <c r="B51" s="197"/>
      <c r="C51" s="238"/>
      <c r="D51" s="239"/>
      <c r="E51" s="243"/>
      <c r="F51" s="243"/>
      <c r="G51" s="239"/>
      <c r="H51" s="244">
        <f>SUM(H44:H49)</f>
        <v>41686800</v>
      </c>
      <c r="I51" s="152"/>
      <c r="J51" s="235"/>
      <c r="K51" s="235"/>
      <c r="L51" s="149"/>
      <c r="N51" s="1269"/>
      <c r="O51" s="232" t="s">
        <v>218</v>
      </c>
      <c r="P51" s="152" t="s">
        <v>196</v>
      </c>
      <c r="Q51" s="152" t="s">
        <v>219</v>
      </c>
      <c r="R51" s="181">
        <f t="shared" ref="R51:S53" si="9">E59</f>
        <v>1935.5</v>
      </c>
      <c r="S51" s="181">
        <f t="shared" si="9"/>
        <v>1973.7</v>
      </c>
      <c r="T51" s="152">
        <v>120000</v>
      </c>
      <c r="U51" s="181">
        <f>H59</f>
        <v>4584000.0000000056</v>
      </c>
      <c r="V51" s="181"/>
      <c r="W51" s="181"/>
      <c r="X51" s="232"/>
      <c r="Y51" s="133"/>
      <c r="Z51" s="1270"/>
      <c r="AA51" s="1271"/>
      <c r="AB51" s="1264"/>
      <c r="AE51" t="s">
        <v>218</v>
      </c>
      <c r="AF51" t="s">
        <v>196</v>
      </c>
      <c r="AG51" t="s">
        <v>219</v>
      </c>
      <c r="AH51">
        <v>248.9</v>
      </c>
      <c r="AI51">
        <v>273.2</v>
      </c>
      <c r="AJ51">
        <v>120000</v>
      </c>
      <c r="AK51">
        <v>2916000</v>
      </c>
    </row>
    <row r="52" spans="1:44" ht="15.75">
      <c r="A52" s="1274"/>
      <c r="B52" s="168" t="s">
        <v>151</v>
      </c>
      <c r="C52" s="232"/>
      <c r="D52" s="232"/>
      <c r="E52" s="243"/>
      <c r="F52" s="243"/>
      <c r="G52" s="232"/>
      <c r="H52" s="245">
        <f>H51-H50</f>
        <v>41683653.149999999</v>
      </c>
      <c r="I52" s="152"/>
      <c r="J52" s="235"/>
      <c r="K52" s="235"/>
      <c r="L52" s="133"/>
      <c r="N52" s="1269"/>
      <c r="O52" s="238" t="s">
        <v>220</v>
      </c>
      <c r="P52" s="152" t="s">
        <v>196</v>
      </c>
      <c r="Q52" s="153" t="s">
        <v>221</v>
      </c>
      <c r="R52" s="246">
        <f t="shared" si="9"/>
        <v>2766.8</v>
      </c>
      <c r="S52" s="246">
        <f t="shared" si="9"/>
        <v>2806.4</v>
      </c>
      <c r="T52" s="152">
        <v>120000</v>
      </c>
      <c r="U52" s="181">
        <f>H60</f>
        <v>4751999.9999999888</v>
      </c>
      <c r="V52" s="181"/>
      <c r="W52" s="181"/>
      <c r="X52" s="232"/>
      <c r="Y52" s="133"/>
      <c r="Z52" s="1268">
        <f>U48+U49+U50+U51+U52+U53</f>
        <v>24312400.000000097</v>
      </c>
      <c r="AA52" s="1272">
        <f>Z52/H64</f>
        <v>0.5823927162209499</v>
      </c>
      <c r="AB52" s="1268">
        <f>L51*AA52</f>
        <v>0</v>
      </c>
      <c r="AE52" t="s">
        <v>220</v>
      </c>
      <c r="AF52" t="s">
        <v>196</v>
      </c>
      <c r="AG52" t="s">
        <v>221</v>
      </c>
      <c r="AH52">
        <v>418.9</v>
      </c>
      <c r="AI52">
        <v>462.6</v>
      </c>
      <c r="AJ52">
        <v>120000</v>
      </c>
      <c r="AK52">
        <v>5244000.0000000102</v>
      </c>
      <c r="AP52">
        <v>21503903</v>
      </c>
      <c r="AQ52">
        <v>0.53513286007307603</v>
      </c>
      <c r="AR52">
        <v>-48575.079974553199</v>
      </c>
    </row>
    <row r="53" spans="1:44">
      <c r="A53" s="1274"/>
      <c r="B53" s="232" t="s">
        <v>198</v>
      </c>
      <c r="C53" s="232" t="s">
        <v>196</v>
      </c>
      <c r="D53" s="232" t="s">
        <v>199</v>
      </c>
      <c r="E53" s="14">
        <v>2216.6</v>
      </c>
      <c r="F53" s="14">
        <v>2268.1999999999998</v>
      </c>
      <c r="G53" s="232">
        <v>120000</v>
      </c>
      <c r="H53" s="155">
        <f t="shared" ref="H53:H61" si="10">((F53-E53)*G53)+(I53+J52)</f>
        <v>6381314.3999999892</v>
      </c>
      <c r="I53" s="247">
        <v>189314.40000000002</v>
      </c>
      <c r="J53" s="235"/>
      <c r="K53" s="235"/>
      <c r="L53" s="133"/>
      <c r="N53" s="1269"/>
      <c r="O53" s="248" t="s">
        <v>222</v>
      </c>
      <c r="P53" s="152" t="s">
        <v>196</v>
      </c>
      <c r="Q53" s="181" t="s">
        <v>223</v>
      </c>
      <c r="R53" s="181">
        <f t="shared" si="9"/>
        <v>2011.1</v>
      </c>
      <c r="S53" s="181">
        <f t="shared" si="9"/>
        <v>2040.4</v>
      </c>
      <c r="T53" s="152">
        <v>120000</v>
      </c>
      <c r="U53" s="242">
        <f>H61</f>
        <v>3516000.0000000219</v>
      </c>
      <c r="V53" s="242">
        <f>I61</f>
        <v>0</v>
      </c>
      <c r="W53" s="181"/>
      <c r="X53" s="232"/>
      <c r="Y53" s="133"/>
      <c r="Z53" s="1268"/>
      <c r="AA53" s="1272"/>
      <c r="AB53" s="1268"/>
      <c r="AE53" t="s">
        <v>222</v>
      </c>
      <c r="AF53" t="s">
        <v>196</v>
      </c>
      <c r="AG53" t="s">
        <v>223</v>
      </c>
      <c r="AH53">
        <v>293.60000000000002</v>
      </c>
      <c r="AI53">
        <v>321.8</v>
      </c>
      <c r="AJ53">
        <v>120000</v>
      </c>
      <c r="AK53">
        <v>3387000</v>
      </c>
      <c r="AL53">
        <v>3000</v>
      </c>
    </row>
    <row r="54" spans="1:44" ht="15" customHeight="1">
      <c r="A54" s="1274"/>
      <c r="B54" s="232" t="s">
        <v>214</v>
      </c>
      <c r="C54" s="232" t="s">
        <v>196</v>
      </c>
      <c r="D54" s="238" t="s">
        <v>215</v>
      </c>
      <c r="E54" s="14">
        <v>140273.5</v>
      </c>
      <c r="F54" s="14">
        <v>140843.70000000001</v>
      </c>
      <c r="G54" s="238">
        <v>2000</v>
      </c>
      <c r="H54" s="158">
        <f t="shared" si="10"/>
        <v>1140400.0000000233</v>
      </c>
      <c r="I54" s="249"/>
      <c r="J54" s="235"/>
      <c r="K54" s="235"/>
      <c r="L54" s="133"/>
      <c r="N54" s="1270" t="s">
        <v>5</v>
      </c>
      <c r="O54" s="250" t="s">
        <v>224</v>
      </c>
      <c r="P54" s="251" t="s">
        <v>196</v>
      </c>
      <c r="Q54" s="252" t="s">
        <v>225</v>
      </c>
      <c r="R54" s="95">
        <f>E63</f>
        <v>3281.4</v>
      </c>
      <c r="S54" s="95">
        <f>F63</f>
        <v>3313.8</v>
      </c>
      <c r="T54" s="95">
        <f>G63</f>
        <v>120000</v>
      </c>
      <c r="U54" s="95">
        <f>H63</f>
        <v>3888000.0000000107</v>
      </c>
      <c r="V54" s="95">
        <f>I63</f>
        <v>0</v>
      </c>
      <c r="W54" s="95">
        <f>J62</f>
        <v>0</v>
      </c>
      <c r="X54" s="232"/>
      <c r="Y54" s="133"/>
      <c r="Z54" s="1268"/>
      <c r="AA54" s="1272"/>
      <c r="AB54" s="1268"/>
      <c r="AD54" t="s">
        <v>5</v>
      </c>
      <c r="AE54" t="s">
        <v>224</v>
      </c>
      <c r="AF54" t="s">
        <v>196</v>
      </c>
      <c r="AG54" t="s">
        <v>225</v>
      </c>
      <c r="AH54">
        <v>220507.5</v>
      </c>
      <c r="AI54">
        <v>606.9</v>
      </c>
      <c r="AJ54">
        <v>1000</v>
      </c>
      <c r="AK54">
        <v>0</v>
      </c>
      <c r="AL54">
        <v>0</v>
      </c>
      <c r="AM54">
        <v>0</v>
      </c>
    </row>
    <row r="55" spans="1:44">
      <c r="A55" s="1274"/>
      <c r="B55" s="232" t="s">
        <v>202</v>
      </c>
      <c r="C55" s="232" t="s">
        <v>196</v>
      </c>
      <c r="D55" s="232" t="s">
        <v>203</v>
      </c>
      <c r="E55" s="14">
        <v>3067.7</v>
      </c>
      <c r="F55" s="14">
        <v>3089.4</v>
      </c>
      <c r="G55" s="232">
        <v>120000</v>
      </c>
      <c r="H55" s="158">
        <f t="shared" si="10"/>
        <v>2604000.0000000326</v>
      </c>
      <c r="I55" s="249"/>
      <c r="J55" s="235"/>
      <c r="K55" s="235"/>
      <c r="L55" s="133"/>
      <c r="N55" s="1270"/>
      <c r="O55" s="250"/>
      <c r="P55" s="251"/>
      <c r="Q55" s="252"/>
      <c r="R55" s="181"/>
      <c r="S55" s="181"/>
      <c r="T55" s="152"/>
      <c r="U55" s="242"/>
      <c r="V55" s="242">
        <f>I63</f>
        <v>0</v>
      </c>
      <c r="W55" s="181"/>
      <c r="X55" s="232"/>
      <c r="Y55" s="133"/>
      <c r="Z55" s="1268"/>
      <c r="AA55" s="1272"/>
      <c r="AB55" s="1268"/>
      <c r="AE55" t="s">
        <v>224</v>
      </c>
      <c r="AF55" t="s">
        <v>196</v>
      </c>
      <c r="AG55" t="s">
        <v>225</v>
      </c>
      <c r="AH55">
        <v>558</v>
      </c>
      <c r="AI55">
        <v>606.9</v>
      </c>
      <c r="AJ55">
        <v>60000</v>
      </c>
      <c r="AK55">
        <v>2937666</v>
      </c>
      <c r="AL55">
        <v>3666</v>
      </c>
    </row>
    <row r="56" spans="1:44">
      <c r="A56" s="1274"/>
      <c r="B56" s="232" t="s">
        <v>210</v>
      </c>
      <c r="C56" s="232" t="s">
        <v>196</v>
      </c>
      <c r="D56" s="232" t="s">
        <v>211</v>
      </c>
      <c r="E56" s="14">
        <v>2564.6</v>
      </c>
      <c r="F56" s="14">
        <v>2607.3000000000002</v>
      </c>
      <c r="G56" s="232">
        <v>120000</v>
      </c>
      <c r="H56" s="155">
        <f t="shared" si="10"/>
        <v>5124000.0000000326</v>
      </c>
      <c r="I56" s="249"/>
      <c r="J56" s="232"/>
      <c r="K56" s="232"/>
      <c r="L56" s="133"/>
      <c r="N56" s="253"/>
      <c r="U56" s="136">
        <f>SUM(U44:U55)</f>
        <v>41745714.400000125</v>
      </c>
      <c r="X56" s="232"/>
      <c r="Y56" s="133"/>
      <c r="Z56" s="1268"/>
      <c r="AA56" s="1272"/>
      <c r="AB56" s="1268"/>
      <c r="AK56">
        <v>40184232</v>
      </c>
    </row>
    <row r="57" spans="1:44">
      <c r="A57" s="1274"/>
      <c r="B57" s="232" t="s">
        <v>216</v>
      </c>
      <c r="C57" s="232" t="s">
        <v>196</v>
      </c>
      <c r="D57" s="232" t="s">
        <v>217</v>
      </c>
      <c r="E57" s="14">
        <v>2849.5</v>
      </c>
      <c r="F57" s="14">
        <v>2892.8</v>
      </c>
      <c r="G57" s="232">
        <v>120000</v>
      </c>
      <c r="H57" s="158">
        <f t="shared" si="10"/>
        <v>5196000.0000000214</v>
      </c>
      <c r="I57" s="249"/>
      <c r="J57" s="232"/>
      <c r="K57" s="133"/>
      <c r="L57" s="133"/>
      <c r="N57" s="254"/>
      <c r="O57" s="255"/>
      <c r="X57" s="133"/>
      <c r="Y57" s="133"/>
      <c r="Z57" s="1268"/>
      <c r="AA57" s="1272"/>
      <c r="AB57" s="1268"/>
    </row>
    <row r="58" spans="1:44">
      <c r="A58" s="1274"/>
      <c r="B58" s="256" t="s">
        <v>206</v>
      </c>
      <c r="C58" s="232" t="s">
        <v>196</v>
      </c>
      <c r="D58" s="232" t="s">
        <v>207</v>
      </c>
      <c r="E58" s="14">
        <v>3010.6</v>
      </c>
      <c r="F58" s="14">
        <v>3048.6</v>
      </c>
      <c r="G58" s="232">
        <v>120000</v>
      </c>
      <c r="H58" s="158">
        <f t="shared" si="10"/>
        <v>4560000</v>
      </c>
      <c r="I58" s="159"/>
      <c r="J58" s="232"/>
      <c r="K58" s="257"/>
      <c r="L58" s="133"/>
      <c r="N58" s="254"/>
      <c r="O58" s="255"/>
      <c r="X58" s="238"/>
      <c r="Y58" s="133"/>
      <c r="Z58" s="1268"/>
      <c r="AA58" s="1272"/>
      <c r="AB58" s="1268"/>
    </row>
    <row r="59" spans="1:44">
      <c r="A59" s="1274"/>
      <c r="B59" s="232" t="s">
        <v>218</v>
      </c>
      <c r="C59" s="232" t="s">
        <v>196</v>
      </c>
      <c r="D59" s="232" t="s">
        <v>219</v>
      </c>
      <c r="E59" s="14">
        <v>1935.5</v>
      </c>
      <c r="F59" s="14">
        <v>1973.7</v>
      </c>
      <c r="G59" s="232">
        <v>120000</v>
      </c>
      <c r="H59" s="155">
        <f t="shared" si="10"/>
        <v>4584000.0000000056</v>
      </c>
      <c r="I59" s="249"/>
      <c r="J59" s="258"/>
      <c r="K59" s="259"/>
      <c r="L59" s="133"/>
      <c r="N59" s="254"/>
      <c r="O59" s="255"/>
      <c r="P59" s="255"/>
      <c r="Q59" s="255"/>
      <c r="R59" s="255"/>
      <c r="S59" s="255"/>
      <c r="T59" s="255"/>
      <c r="X59" s="133"/>
      <c r="Y59" s="133"/>
      <c r="Z59" s="1268"/>
      <c r="AA59" s="1272"/>
      <c r="AB59" s="1268"/>
    </row>
    <row r="60" spans="1:44">
      <c r="A60" s="1274"/>
      <c r="B60" s="238" t="s">
        <v>220</v>
      </c>
      <c r="C60" s="232" t="s">
        <v>196</v>
      </c>
      <c r="D60" s="238" t="s">
        <v>221</v>
      </c>
      <c r="E60" s="14">
        <v>2766.8</v>
      </c>
      <c r="F60" s="14">
        <v>2806.4</v>
      </c>
      <c r="G60" s="238">
        <v>120000</v>
      </c>
      <c r="H60" s="155">
        <f t="shared" si="10"/>
        <v>4751999.9999999888</v>
      </c>
      <c r="I60" s="244"/>
      <c r="J60" s="260"/>
      <c r="K60" s="232"/>
      <c r="L60" s="133"/>
      <c r="N60" s="254"/>
      <c r="O60" s="255"/>
      <c r="P60" s="255"/>
      <c r="Q60" s="255"/>
      <c r="R60" s="255"/>
      <c r="S60" s="255"/>
      <c r="T60" s="255"/>
      <c r="X60" s="238"/>
      <c r="Y60" s="133"/>
      <c r="Z60" s="1268"/>
      <c r="AA60" s="1272"/>
      <c r="AB60" s="1268"/>
    </row>
    <row r="61" spans="1:44">
      <c r="A61" s="1274"/>
      <c r="B61" s="133" t="s">
        <v>222</v>
      </c>
      <c r="C61" s="232" t="s">
        <v>196</v>
      </c>
      <c r="D61" s="133" t="s">
        <v>223</v>
      </c>
      <c r="E61" s="14">
        <v>2011.1</v>
      </c>
      <c r="F61" s="14">
        <v>2040.4</v>
      </c>
      <c r="G61" s="232">
        <v>120000</v>
      </c>
      <c r="H61" s="155">
        <f t="shared" si="10"/>
        <v>3516000.0000000219</v>
      </c>
      <c r="I61" s="261"/>
      <c r="J61" s="133"/>
      <c r="K61" s="262"/>
      <c r="L61" s="133"/>
      <c r="N61" s="254"/>
      <c r="O61" s="255"/>
      <c r="P61" s="255"/>
      <c r="Q61" s="255"/>
      <c r="R61" s="255"/>
      <c r="S61" s="255"/>
      <c r="T61" s="255"/>
      <c r="X61" s="133"/>
      <c r="Y61" s="133"/>
      <c r="Z61" s="1268"/>
      <c r="AA61" s="1272"/>
      <c r="AB61" s="1268"/>
    </row>
    <row r="62" spans="1:44">
      <c r="A62" s="1274"/>
      <c r="B62" s="238" t="s">
        <v>171</v>
      </c>
      <c r="C62" s="232" t="s">
        <v>196</v>
      </c>
      <c r="D62" s="238" t="s">
        <v>226</v>
      </c>
      <c r="E62" s="14">
        <v>103825</v>
      </c>
      <c r="F62" s="14">
        <v>104393</v>
      </c>
      <c r="G62" s="238">
        <v>333.3</v>
      </c>
      <c r="H62" s="152">
        <v>0</v>
      </c>
      <c r="I62" s="181"/>
      <c r="J62" s="263"/>
      <c r="K62" s="262">
        <f>(F62-E62)*G62</f>
        <v>189314.4</v>
      </c>
      <c r="L62" s="133"/>
      <c r="N62" s="1276"/>
      <c r="O62" s="255"/>
      <c r="P62" s="255"/>
      <c r="Q62" s="255"/>
      <c r="R62" s="255"/>
      <c r="S62" s="255"/>
      <c r="T62" s="255"/>
      <c r="X62" s="133"/>
      <c r="Y62" s="133"/>
      <c r="Z62" s="1268">
        <f>U54+U55</f>
        <v>3888000.0000000107</v>
      </c>
      <c r="AA62" s="1277">
        <f>Z62/H64</f>
        <v>9.3135308758783605E-2</v>
      </c>
      <c r="AB62" s="1264">
        <f>AA62*L51</f>
        <v>0</v>
      </c>
      <c r="AP62">
        <v>2937666</v>
      </c>
      <c r="AQ62">
        <v>7.3104943252368201E-2</v>
      </c>
      <c r="AR62">
        <v>-6635.8819089039698</v>
      </c>
    </row>
    <row r="63" spans="1:44">
      <c r="A63" s="1274"/>
      <c r="B63" s="265" t="s">
        <v>224</v>
      </c>
      <c r="C63" s="266" t="s">
        <v>196</v>
      </c>
      <c r="D63" s="265" t="s">
        <v>227</v>
      </c>
      <c r="E63" s="14">
        <v>3281.4</v>
      </c>
      <c r="F63" s="14">
        <v>3313.8</v>
      </c>
      <c r="G63" s="265">
        <v>120000</v>
      </c>
      <c r="H63" s="158">
        <f>((F63-E63)*G63)+(I63+J62)</f>
        <v>3888000.0000000107</v>
      </c>
      <c r="I63" s="267"/>
      <c r="J63" s="239"/>
      <c r="K63" s="232"/>
      <c r="L63" s="133"/>
      <c r="N63" s="1276"/>
      <c r="O63" s="255"/>
      <c r="P63" s="255"/>
      <c r="Q63" s="255"/>
      <c r="R63" s="255"/>
      <c r="S63" s="255"/>
      <c r="T63" s="255"/>
      <c r="Z63" s="1268"/>
      <c r="AA63" s="1277"/>
      <c r="AB63" s="1264"/>
    </row>
    <row r="64" spans="1:44" ht="15.75">
      <c r="A64" s="1274"/>
      <c r="B64" s="268" t="s">
        <v>228</v>
      </c>
      <c r="C64" s="268"/>
      <c r="D64" s="268"/>
      <c r="E64" s="269"/>
      <c r="F64" s="269"/>
      <c r="G64" s="268"/>
      <c r="H64" s="270">
        <f>SUM(H53:H63)</f>
        <v>41745714.400000125</v>
      </c>
      <c r="I64" s="271">
        <f>(H52-H64)/H52</f>
        <v>-1.4888630268752407E-3</v>
      </c>
      <c r="J64" s="272"/>
      <c r="K64" s="273"/>
      <c r="L64" s="154"/>
      <c r="O64" s="255"/>
      <c r="P64" s="255"/>
      <c r="Q64" s="255"/>
      <c r="R64" s="255"/>
      <c r="S64" s="255"/>
      <c r="T64" s="255"/>
      <c r="AB64" s="86">
        <f>SUM(AB44:AB62)</f>
        <v>0</v>
      </c>
      <c r="AR64">
        <v>-90772</v>
      </c>
    </row>
    <row r="65" spans="1:31">
      <c r="A65" s="1274"/>
      <c r="B65" s="239" t="s">
        <v>188</v>
      </c>
      <c r="C65" s="239"/>
      <c r="D65" s="239"/>
      <c r="E65" s="142"/>
      <c r="F65" s="142"/>
      <c r="G65" s="239"/>
      <c r="H65" s="274">
        <f>H50+H63</f>
        <v>3891146.8500000108</v>
      </c>
      <c r="I65" s="239"/>
      <c r="J65" s="275"/>
      <c r="K65" s="275"/>
      <c r="L65" s="133"/>
      <c r="O65" s="255"/>
      <c r="P65" s="255"/>
      <c r="Q65" s="255"/>
      <c r="R65" s="255"/>
      <c r="S65" s="255"/>
      <c r="T65" s="255"/>
    </row>
    <row r="66" spans="1:31" ht="15.75">
      <c r="A66" s="1274"/>
      <c r="B66" s="239" t="s">
        <v>229</v>
      </c>
      <c r="C66" s="239"/>
      <c r="D66" s="239"/>
      <c r="E66" s="142"/>
      <c r="F66" s="142"/>
      <c r="G66" s="239"/>
      <c r="H66" s="276">
        <f>H64-H65</f>
        <v>37854567.550000116</v>
      </c>
      <c r="I66" s="239"/>
      <c r="J66" s="275"/>
      <c r="K66" s="277"/>
      <c r="L66" s="133"/>
      <c r="O66" s="255"/>
      <c r="P66" s="255"/>
      <c r="Q66" s="255"/>
      <c r="R66" s="255"/>
      <c r="S66" s="255"/>
      <c r="T66" s="255"/>
    </row>
    <row r="67" spans="1:31">
      <c r="A67" s="1274"/>
      <c r="K67" s="87"/>
      <c r="O67" s="255"/>
      <c r="P67" s="255"/>
      <c r="Q67" s="255"/>
      <c r="R67" s="255"/>
      <c r="S67" s="255"/>
      <c r="T67" s="255"/>
    </row>
    <row r="68" spans="1:31">
      <c r="A68" s="1274"/>
      <c r="K68" s="87"/>
      <c r="O68" s="255"/>
      <c r="P68" s="255"/>
      <c r="Q68" s="255"/>
      <c r="R68" s="255"/>
      <c r="S68" s="255"/>
      <c r="T68" s="255"/>
    </row>
    <row r="69" spans="1:31">
      <c r="A69" s="1274"/>
      <c r="J69" s="87"/>
      <c r="K69" s="87"/>
      <c r="O69" s="255"/>
      <c r="P69" s="255"/>
      <c r="Q69" s="255"/>
      <c r="R69" s="255"/>
      <c r="S69" s="255"/>
      <c r="T69" s="255"/>
    </row>
    <row r="70" spans="1:31">
      <c r="A70" s="1274"/>
      <c r="O70" s="255"/>
      <c r="P70" s="255"/>
      <c r="Q70" s="255"/>
      <c r="R70" s="255"/>
      <c r="S70" s="255"/>
      <c r="T70" s="255"/>
    </row>
    <row r="71" spans="1:31">
      <c r="A71" s="1274"/>
      <c r="O71" s="255"/>
      <c r="P71" s="255"/>
      <c r="Q71" s="255"/>
      <c r="R71" s="255"/>
      <c r="S71" s="255"/>
      <c r="T71" s="255"/>
    </row>
    <row r="72" spans="1:31">
      <c r="A72" s="1274"/>
      <c r="O72" s="255"/>
      <c r="P72" s="255"/>
      <c r="Q72" s="255"/>
      <c r="R72" s="255"/>
      <c r="S72" s="255"/>
      <c r="T72" s="255"/>
    </row>
    <row r="73" spans="1:31">
      <c r="A73" s="1274"/>
    </row>
    <row r="74" spans="1:31">
      <c r="A74" s="1274"/>
      <c r="O74">
        <v>1043400</v>
      </c>
      <c r="AE74">
        <v>1043400</v>
      </c>
    </row>
    <row r="75" spans="1:31" ht="15.75">
      <c r="A75" s="278" t="s">
        <v>230</v>
      </c>
      <c r="J75" s="277"/>
      <c r="K75" s="277"/>
      <c r="L75" s="133"/>
      <c r="O75">
        <v>828200</v>
      </c>
      <c r="AE75">
        <v>828200</v>
      </c>
    </row>
    <row r="76" spans="1:31" ht="15.75">
      <c r="A76" s="137"/>
      <c r="B76" s="137"/>
      <c r="C76" s="137"/>
      <c r="D76" s="137"/>
      <c r="E76" s="279"/>
      <c r="F76" s="279"/>
      <c r="G76" s="137"/>
      <c r="H76" s="280" t="str">
        <f>H2</f>
        <v>OCT.2024</v>
      </c>
      <c r="I76" s="137"/>
      <c r="J76" s="277"/>
      <c r="K76" s="281"/>
      <c r="L76" s="133"/>
      <c r="O76">
        <f>O74-O75</f>
        <v>215200</v>
      </c>
      <c r="AE76">
        <v>215200</v>
      </c>
    </row>
    <row r="77" spans="1:31" ht="15.75" customHeight="1">
      <c r="A77" s="1262" t="s">
        <v>192</v>
      </c>
      <c r="H77" s="152"/>
      <c r="I77" s="137"/>
      <c r="J77" s="281"/>
      <c r="K77" s="282"/>
      <c r="L77" s="133"/>
      <c r="O77">
        <v>6200</v>
      </c>
      <c r="AE77">
        <v>6200</v>
      </c>
    </row>
    <row r="78" spans="1:31" ht="38.25">
      <c r="A78" s="1262"/>
      <c r="B78" s="6" t="s">
        <v>128</v>
      </c>
      <c r="C78" s="6" t="s">
        <v>129</v>
      </c>
      <c r="D78" s="6" t="s">
        <v>130</v>
      </c>
      <c r="E78" s="283" t="s">
        <v>193</v>
      </c>
      <c r="F78" s="283" t="s">
        <v>193</v>
      </c>
      <c r="G78" s="141"/>
      <c r="H78" s="141"/>
      <c r="I78" s="231" t="s">
        <v>132</v>
      </c>
      <c r="J78" s="281"/>
      <c r="K78" s="284"/>
      <c r="L78" s="133"/>
      <c r="O78">
        <v>152000</v>
      </c>
      <c r="AE78">
        <v>152000</v>
      </c>
    </row>
    <row r="79" spans="1:31" ht="15.75" customHeight="1">
      <c r="A79" s="1265" t="s">
        <v>231</v>
      </c>
      <c r="B79" s="11" t="s">
        <v>6</v>
      </c>
      <c r="C79" s="6"/>
      <c r="D79" s="6"/>
      <c r="E79" s="148">
        <v>45565</v>
      </c>
      <c r="F79" s="148">
        <v>45596</v>
      </c>
      <c r="G79" s="6" t="s">
        <v>135</v>
      </c>
      <c r="H79" s="6" t="s">
        <v>136</v>
      </c>
      <c r="I79" s="231"/>
      <c r="J79" s="285"/>
      <c r="K79" s="286"/>
      <c r="L79" s="133"/>
      <c r="O79">
        <v>1200</v>
      </c>
      <c r="AE79">
        <v>1200</v>
      </c>
    </row>
    <row r="80" spans="1:31" ht="15.75">
      <c r="A80" s="1265"/>
      <c r="B80" s="151" t="s">
        <v>195</v>
      </c>
      <c r="C80" s="151" t="s">
        <v>232</v>
      </c>
      <c r="D80" s="151" t="s">
        <v>233</v>
      </c>
      <c r="E80" s="287">
        <v>7905454</v>
      </c>
      <c r="F80" s="287">
        <v>7905454</v>
      </c>
      <c r="G80" s="153">
        <v>360</v>
      </c>
      <c r="H80" s="152">
        <f>((F80-E80)*G80)+(I80+J79)</f>
        <v>0</v>
      </c>
      <c r="I80" s="151"/>
      <c r="J80" s="285"/>
      <c r="K80" s="286"/>
      <c r="L80" s="133"/>
    </row>
    <row r="81" spans="1:44" ht="15.75">
      <c r="A81" s="1265"/>
      <c r="B81" s="151" t="s">
        <v>195</v>
      </c>
      <c r="C81" s="151" t="s">
        <v>232</v>
      </c>
      <c r="D81" s="152" t="s">
        <v>234</v>
      </c>
      <c r="E81" s="287">
        <v>370.82499999999999</v>
      </c>
      <c r="F81" s="14">
        <v>429.85599999999999</v>
      </c>
      <c r="G81" s="153">
        <v>360000</v>
      </c>
      <c r="H81" s="152">
        <f>((F81-E81)*G81)+(I81+J80)</f>
        <v>21251160.000000004</v>
      </c>
      <c r="I81" s="288"/>
      <c r="J81" s="285"/>
      <c r="K81" s="286"/>
      <c r="L81" s="133"/>
    </row>
    <row r="82" spans="1:44" ht="15.75">
      <c r="A82" s="1265"/>
      <c r="B82" s="151" t="s">
        <v>195</v>
      </c>
      <c r="C82" s="151" t="s">
        <v>232</v>
      </c>
      <c r="D82" s="151" t="s">
        <v>235</v>
      </c>
      <c r="E82" s="289">
        <v>1353.6</v>
      </c>
      <c r="F82" s="289">
        <v>1353.6</v>
      </c>
      <c r="G82" s="153">
        <v>360000</v>
      </c>
      <c r="H82" s="152">
        <f>((F82-E82)*G82)+(I82+J81)</f>
        <v>0</v>
      </c>
      <c r="I82" s="288"/>
      <c r="J82" s="285"/>
      <c r="K82" s="286"/>
      <c r="L82" s="133"/>
      <c r="O82">
        <v>4200</v>
      </c>
      <c r="AE82">
        <v>4200</v>
      </c>
    </row>
    <row r="83" spans="1:44" ht="15.75">
      <c r="A83" s="1265"/>
      <c r="B83" s="151" t="s">
        <v>195</v>
      </c>
      <c r="C83" s="151" t="s">
        <v>232</v>
      </c>
      <c r="D83" s="151" t="s">
        <v>236</v>
      </c>
      <c r="E83" s="287">
        <v>400.95600000000002</v>
      </c>
      <c r="F83" s="14">
        <v>463.464</v>
      </c>
      <c r="G83" s="153">
        <v>360000</v>
      </c>
      <c r="H83" s="152">
        <f>((F83-E83)*G83)+(I83+J82)</f>
        <v>22502879.999999993</v>
      </c>
      <c r="I83" s="290"/>
      <c r="J83" s="285"/>
      <c r="K83" s="286"/>
      <c r="L83" s="133"/>
      <c r="O83">
        <v>5200</v>
      </c>
      <c r="P83">
        <f>O77+O78+O79+O82+O83</f>
        <v>168800</v>
      </c>
      <c r="AE83">
        <v>5200</v>
      </c>
      <c r="AF83">
        <v>168800</v>
      </c>
    </row>
    <row r="84" spans="1:44" ht="15.75">
      <c r="A84" s="1265"/>
      <c r="B84" s="151" t="s">
        <v>237</v>
      </c>
      <c r="C84" s="151" t="s">
        <v>232</v>
      </c>
      <c r="D84" s="151" t="s">
        <v>238</v>
      </c>
      <c r="E84" s="287">
        <v>339859</v>
      </c>
      <c r="F84" s="14">
        <v>342001</v>
      </c>
      <c r="G84" s="152">
        <v>2</v>
      </c>
      <c r="H84" s="152">
        <f>((F84-E84)*G84)+(I84+J83)</f>
        <v>4284</v>
      </c>
      <c r="I84" s="291"/>
      <c r="J84" s="285"/>
      <c r="K84" s="286"/>
      <c r="L84" s="133">
        <f>H85-H100</f>
        <v>-10846644.000000052</v>
      </c>
    </row>
    <row r="85" spans="1:44" ht="15.75">
      <c r="A85" s="1265"/>
      <c r="B85" s="151" t="s">
        <v>71</v>
      </c>
      <c r="C85" s="151"/>
      <c r="D85" s="151"/>
      <c r="E85" s="287"/>
      <c r="F85" s="287"/>
      <c r="G85" s="152"/>
      <c r="H85" s="292">
        <f>H80+H82+H81+H83-H84</f>
        <v>43749756</v>
      </c>
      <c r="I85" s="293"/>
      <c r="J85" s="285"/>
      <c r="K85" s="286"/>
      <c r="L85" s="133"/>
      <c r="M85" s="136"/>
      <c r="N85" s="181" t="s">
        <v>81</v>
      </c>
      <c r="O85" s="133"/>
      <c r="P85" s="133"/>
      <c r="Q85" s="133"/>
      <c r="R85" s="133"/>
      <c r="S85" s="133"/>
      <c r="T85" s="133"/>
      <c r="U85" s="181">
        <v>0</v>
      </c>
      <c r="V85" s="181"/>
      <c r="W85" s="181"/>
      <c r="X85" s="133"/>
      <c r="Y85" s="133"/>
      <c r="Z85" s="181">
        <f>U85</f>
        <v>0</v>
      </c>
      <c r="AA85" s="220">
        <f>Z85/Z97</f>
        <v>0</v>
      </c>
      <c r="AB85" s="220">
        <f>L84*AA85</f>
        <v>0</v>
      </c>
      <c r="AD85" t="s">
        <v>81</v>
      </c>
      <c r="AK85">
        <v>0</v>
      </c>
      <c r="AP85">
        <v>0</v>
      </c>
      <c r="AQ85">
        <v>0</v>
      </c>
      <c r="AR85">
        <v>0</v>
      </c>
    </row>
    <row r="86" spans="1:44" ht="15.75">
      <c r="A86" s="1265"/>
      <c r="B86" s="207" t="s">
        <v>239</v>
      </c>
      <c r="C86" s="151"/>
      <c r="D86" s="151"/>
      <c r="E86" s="287"/>
      <c r="F86" s="287"/>
      <c r="G86" s="152"/>
      <c r="H86" s="137"/>
      <c r="I86" s="151"/>
      <c r="J86" s="294"/>
      <c r="K86" s="286"/>
      <c r="L86" s="133"/>
      <c r="M86" s="136"/>
      <c r="N86" s="1266" t="s">
        <v>82</v>
      </c>
      <c r="O86" s="151" t="s">
        <v>240</v>
      </c>
      <c r="P86" s="151" t="s">
        <v>232</v>
      </c>
      <c r="Q86" s="151" t="s">
        <v>241</v>
      </c>
      <c r="R86" s="295">
        <f>E87</f>
        <v>6665007</v>
      </c>
      <c r="S86" s="295">
        <f>F87</f>
        <v>6714291</v>
      </c>
      <c r="T86" s="152">
        <v>120</v>
      </c>
      <c r="U86" s="153">
        <f t="shared" ref="U86:U95" si="11">(S86-R86)*T86+V86</f>
        <v>5933080</v>
      </c>
      <c r="V86" s="153">
        <f>I87</f>
        <v>19000</v>
      </c>
      <c r="W86" s="153">
        <f>J86</f>
        <v>0</v>
      </c>
      <c r="X86" s="152"/>
      <c r="Y86" s="133"/>
      <c r="Z86" s="1266">
        <f>SUM(U86:U88)</f>
        <v>17095880.000000045</v>
      </c>
      <c r="AA86" s="1267">
        <f>Z86/Z97</f>
        <v>0.38451233884825436</v>
      </c>
      <c r="AB86" s="1268">
        <f>L84*AA86</f>
        <v>-4170668.4530944051</v>
      </c>
      <c r="AD86" t="s">
        <v>82</v>
      </c>
      <c r="AE86" t="s">
        <v>240</v>
      </c>
      <c r="AF86" t="s">
        <v>232</v>
      </c>
      <c r="AG86" t="s">
        <v>241</v>
      </c>
      <c r="AH86">
        <v>3390272</v>
      </c>
      <c r="AI86">
        <v>3453324</v>
      </c>
      <c r="AJ86">
        <v>120</v>
      </c>
      <c r="AK86">
        <v>8058040</v>
      </c>
      <c r="AL86">
        <v>491800</v>
      </c>
      <c r="AM86">
        <v>0</v>
      </c>
      <c r="AP86">
        <v>20023840</v>
      </c>
      <c r="AQ86">
        <v>0.48063475787086402</v>
      </c>
      <c r="AR86">
        <v>-19238.848088069299</v>
      </c>
    </row>
    <row r="87" spans="1:44" ht="15.75">
      <c r="A87" s="1265"/>
      <c r="B87" s="151" t="s">
        <v>242</v>
      </c>
      <c r="C87" s="151" t="s">
        <v>232</v>
      </c>
      <c r="D87" s="151" t="s">
        <v>241</v>
      </c>
      <c r="E87" s="287">
        <v>6665007</v>
      </c>
      <c r="F87" s="14">
        <v>6714291</v>
      </c>
      <c r="G87" s="152">
        <v>120</v>
      </c>
      <c r="H87" s="153">
        <f>((F87-E87)*G87)+(I87+J87)</f>
        <v>5933080</v>
      </c>
      <c r="I87" s="152">
        <v>19000</v>
      </c>
      <c r="J87" s="294"/>
      <c r="K87" s="286"/>
      <c r="L87" s="133"/>
      <c r="M87" s="136"/>
      <c r="N87" s="1266"/>
      <c r="O87" s="151" t="s">
        <v>243</v>
      </c>
      <c r="P87" s="151" t="s">
        <v>232</v>
      </c>
      <c r="Q87" s="151" t="s">
        <v>244</v>
      </c>
      <c r="R87" s="153">
        <f>E90</f>
        <v>293586</v>
      </c>
      <c r="S87" s="153">
        <f>F90</f>
        <v>296763.40000000002</v>
      </c>
      <c r="T87" s="152">
        <v>2000</v>
      </c>
      <c r="U87" s="153">
        <f t="shared" si="11"/>
        <v>6379400.0000000466</v>
      </c>
      <c r="V87" s="153">
        <f>I90</f>
        <v>24600</v>
      </c>
      <c r="W87" s="153">
        <f>J89</f>
        <v>0</v>
      </c>
      <c r="X87" s="133"/>
      <c r="Y87" s="133"/>
      <c r="Z87" s="1266"/>
      <c r="AA87" s="1267"/>
      <c r="AB87" s="1268"/>
      <c r="AE87" t="s">
        <v>243</v>
      </c>
      <c r="AF87" t="s">
        <v>232</v>
      </c>
      <c r="AG87" t="s">
        <v>244</v>
      </c>
      <c r="AH87">
        <v>140573</v>
      </c>
      <c r="AI87">
        <v>144091.5</v>
      </c>
      <c r="AJ87">
        <v>2000</v>
      </c>
      <c r="AK87">
        <v>7088400</v>
      </c>
      <c r="AL87">
        <v>51400</v>
      </c>
      <c r="AM87">
        <v>0</v>
      </c>
    </row>
    <row r="88" spans="1:44" ht="15.75">
      <c r="A88" s="1265"/>
      <c r="B88" s="151" t="s">
        <v>245</v>
      </c>
      <c r="C88" s="151" t="s">
        <v>232</v>
      </c>
      <c r="D88" s="151" t="s">
        <v>246</v>
      </c>
      <c r="E88" s="287">
        <v>315956.3</v>
      </c>
      <c r="F88" s="14">
        <v>317964.90000000002</v>
      </c>
      <c r="G88" s="152">
        <v>2000</v>
      </c>
      <c r="H88" s="241">
        <f t="shared" ref="H88:H97" si="12">((F88-E88)*G88)+(I88+J88)</f>
        <v>4017200.0000000698</v>
      </c>
      <c r="I88" s="152"/>
      <c r="J88" s="294"/>
      <c r="K88" s="286"/>
      <c r="L88" s="133"/>
      <c r="M88" s="136"/>
      <c r="N88" s="1266"/>
      <c r="O88" s="151" t="s">
        <v>247</v>
      </c>
      <c r="P88" s="151" t="s">
        <v>232</v>
      </c>
      <c r="Q88" s="151" t="s">
        <v>248</v>
      </c>
      <c r="R88" s="153">
        <f>E91</f>
        <v>224325.2</v>
      </c>
      <c r="S88" s="153">
        <f>F91</f>
        <v>226702.2</v>
      </c>
      <c r="T88" s="152">
        <v>2000</v>
      </c>
      <c r="U88" s="153">
        <f t="shared" si="11"/>
        <v>4783400</v>
      </c>
      <c r="V88" s="153">
        <f>I91</f>
        <v>29400</v>
      </c>
      <c r="W88" s="153">
        <f>J90</f>
        <v>3653520.0000000033</v>
      </c>
      <c r="X88" s="133"/>
      <c r="Y88" s="133"/>
      <c r="Z88" s="1266"/>
      <c r="AA88" s="1267"/>
      <c r="AB88" s="1268"/>
      <c r="AE88" t="s">
        <v>247</v>
      </c>
      <c r="AF88" t="s">
        <v>232</v>
      </c>
      <c r="AG88" t="s">
        <v>248</v>
      </c>
      <c r="AH88">
        <v>124286.6</v>
      </c>
      <c r="AI88">
        <v>126720.7</v>
      </c>
      <c r="AJ88">
        <v>2000</v>
      </c>
      <c r="AK88">
        <v>4877399.9999999804</v>
      </c>
      <c r="AL88">
        <v>9200</v>
      </c>
      <c r="AM88">
        <v>0</v>
      </c>
    </row>
    <row r="89" spans="1:44" ht="15.75">
      <c r="A89" s="1265"/>
      <c r="B89" s="151" t="s">
        <v>249</v>
      </c>
      <c r="C89" s="151" t="s">
        <v>232</v>
      </c>
      <c r="D89" s="151" t="s">
        <v>250</v>
      </c>
      <c r="E89" s="287">
        <v>2312350</v>
      </c>
      <c r="F89" s="14">
        <v>2315910</v>
      </c>
      <c r="G89" s="152">
        <v>60</v>
      </c>
      <c r="H89" s="241">
        <f t="shared" si="12"/>
        <v>214600</v>
      </c>
      <c r="I89" s="152">
        <v>1000</v>
      </c>
      <c r="J89" s="294"/>
      <c r="K89" s="286"/>
      <c r="L89" s="133"/>
      <c r="M89" s="136"/>
      <c r="N89" s="1266" t="s">
        <v>83</v>
      </c>
      <c r="O89" s="151" t="s">
        <v>251</v>
      </c>
      <c r="P89" s="151" t="s">
        <v>232</v>
      </c>
      <c r="Q89" s="151" t="s">
        <v>246</v>
      </c>
      <c r="R89" s="295">
        <f>E88</f>
        <v>315956.3</v>
      </c>
      <c r="S89" s="295">
        <f>F88</f>
        <v>317964.90000000002</v>
      </c>
      <c r="T89" s="152">
        <v>2000</v>
      </c>
      <c r="U89" s="153">
        <f t="shared" si="11"/>
        <v>4017200.0000000698</v>
      </c>
      <c r="V89" s="153">
        <f>I88</f>
        <v>0</v>
      </c>
      <c r="W89" s="153">
        <f>J87</f>
        <v>0</v>
      </c>
      <c r="X89" s="133"/>
      <c r="Y89" s="133"/>
      <c r="Z89" s="1266">
        <f>SUM(U89:U94)</f>
        <v>20764400.000000071</v>
      </c>
      <c r="AA89" s="1267">
        <f>Z89/Z97</f>
        <v>0.46702293235450293</v>
      </c>
      <c r="AB89" s="1268">
        <f>L84*AA89</f>
        <v>-5065631.4870853992</v>
      </c>
      <c r="AD89" t="s">
        <v>83</v>
      </c>
      <c r="AE89" t="s">
        <v>251</v>
      </c>
      <c r="AF89" t="s">
        <v>232</v>
      </c>
      <c r="AG89" t="s">
        <v>246</v>
      </c>
      <c r="AH89">
        <v>193948.4</v>
      </c>
      <c r="AI89">
        <v>196029</v>
      </c>
      <c r="AJ89">
        <v>2000</v>
      </c>
      <c r="AK89">
        <v>4192200.0000000098</v>
      </c>
      <c r="AL89">
        <v>31000</v>
      </c>
      <c r="AM89">
        <v>0</v>
      </c>
      <c r="AP89">
        <v>15011200.000000101</v>
      </c>
      <c r="AQ89">
        <v>0.36031572752035301</v>
      </c>
      <c r="AR89">
        <v>-14422.7179411954</v>
      </c>
    </row>
    <row r="90" spans="1:44" ht="15.75">
      <c r="A90" s="1265"/>
      <c r="B90" s="151" t="s">
        <v>243</v>
      </c>
      <c r="C90" s="151" t="s">
        <v>232</v>
      </c>
      <c r="D90" s="151" t="s">
        <v>244</v>
      </c>
      <c r="E90" s="287">
        <v>293586</v>
      </c>
      <c r="F90" s="287">
        <v>296763.40000000002</v>
      </c>
      <c r="G90" s="152">
        <v>2000</v>
      </c>
      <c r="H90" s="241">
        <f>((F90-E90)*G90)+(I90+J90)</f>
        <v>10032920.00000005</v>
      </c>
      <c r="I90" s="152">
        <v>24600</v>
      </c>
      <c r="J90" s="294">
        <v>3653520.0000000033</v>
      </c>
      <c r="K90" s="286"/>
      <c r="L90" s="133"/>
      <c r="M90" s="136"/>
      <c r="N90" s="1266"/>
      <c r="O90" s="151" t="s">
        <v>252</v>
      </c>
      <c r="P90" s="151" t="s">
        <v>232</v>
      </c>
      <c r="Q90" s="151" t="s">
        <v>250</v>
      </c>
      <c r="R90" s="295">
        <f>E89</f>
        <v>2312350</v>
      </c>
      <c r="S90" s="295">
        <f>F89</f>
        <v>2315910</v>
      </c>
      <c r="T90" s="152">
        <v>1000</v>
      </c>
      <c r="U90" s="153">
        <f t="shared" si="11"/>
        <v>3561000</v>
      </c>
      <c r="V90" s="153">
        <f>I89</f>
        <v>1000</v>
      </c>
      <c r="W90" s="153">
        <f>J87</f>
        <v>0</v>
      </c>
      <c r="X90" s="133"/>
      <c r="Y90" s="133"/>
      <c r="Z90" s="1266"/>
      <c r="AA90" s="1267"/>
      <c r="AB90" s="1268"/>
      <c r="AE90" t="s">
        <v>252</v>
      </c>
      <c r="AF90" t="s">
        <v>232</v>
      </c>
      <c r="AG90" t="s">
        <v>250</v>
      </c>
      <c r="AH90">
        <v>26873.3</v>
      </c>
      <c r="AI90">
        <v>27206.5</v>
      </c>
      <c r="AJ90">
        <v>1000</v>
      </c>
      <c r="AK90">
        <v>333200.00000000099</v>
      </c>
      <c r="AL90">
        <v>0</v>
      </c>
      <c r="AM90">
        <v>0</v>
      </c>
    </row>
    <row r="91" spans="1:44" ht="15.75">
      <c r="A91" s="1265"/>
      <c r="B91" s="151" t="s">
        <v>247</v>
      </c>
      <c r="C91" s="151" t="s">
        <v>232</v>
      </c>
      <c r="D91" s="151" t="s">
        <v>248</v>
      </c>
      <c r="E91" s="287">
        <v>224325.2</v>
      </c>
      <c r="F91" s="14">
        <v>226702.2</v>
      </c>
      <c r="G91" s="152">
        <v>2000</v>
      </c>
      <c r="H91" s="241">
        <f t="shared" si="12"/>
        <v>8298199.9999999302</v>
      </c>
      <c r="I91" s="152">
        <v>29400</v>
      </c>
      <c r="J91" s="294">
        <v>3514799.9999999302</v>
      </c>
      <c r="K91" s="286"/>
      <c r="L91" s="133"/>
      <c r="M91" s="136"/>
      <c r="N91" s="1266"/>
      <c r="O91" s="151" t="s">
        <v>253</v>
      </c>
      <c r="P91" s="151" t="s">
        <v>232</v>
      </c>
      <c r="Q91" s="151" t="s">
        <v>254</v>
      </c>
      <c r="R91" s="153">
        <f>E92</f>
        <v>308918.5</v>
      </c>
      <c r="S91" s="153">
        <f>F92</f>
        <v>311315</v>
      </c>
      <c r="T91" s="152">
        <v>2000</v>
      </c>
      <c r="U91" s="153">
        <f t="shared" si="11"/>
        <v>4793000</v>
      </c>
      <c r="V91" s="153">
        <f>I92</f>
        <v>0</v>
      </c>
      <c r="W91" s="153">
        <f>J91</f>
        <v>3514799.9999999302</v>
      </c>
      <c r="X91" s="152"/>
      <c r="Y91" s="133"/>
      <c r="Z91" s="1266"/>
      <c r="AA91" s="1267"/>
      <c r="AB91" s="1268"/>
      <c r="AE91" t="s">
        <v>255</v>
      </c>
      <c r="AF91" t="s">
        <v>232</v>
      </c>
      <c r="AG91" t="s">
        <v>254</v>
      </c>
      <c r="AH91">
        <v>154127.29999999999</v>
      </c>
      <c r="AI91">
        <v>157769.70000000001</v>
      </c>
      <c r="AJ91">
        <v>2000</v>
      </c>
      <c r="AK91">
        <v>7312400.0000000503</v>
      </c>
      <c r="AL91">
        <v>27600</v>
      </c>
      <c r="AM91">
        <v>0</v>
      </c>
      <c r="AN91">
        <v>47000</v>
      </c>
    </row>
    <row r="92" spans="1:44" ht="15.75">
      <c r="A92" s="1265"/>
      <c r="B92" s="151" t="s">
        <v>253</v>
      </c>
      <c r="C92" s="151" t="s">
        <v>232</v>
      </c>
      <c r="D92" s="151" t="s">
        <v>254</v>
      </c>
      <c r="E92" s="287">
        <v>308918.5</v>
      </c>
      <c r="F92" s="14">
        <v>311315</v>
      </c>
      <c r="G92" s="152">
        <v>2000</v>
      </c>
      <c r="H92" s="241">
        <f t="shared" si="12"/>
        <v>8474800.0000000466</v>
      </c>
      <c r="I92" s="152"/>
      <c r="J92" s="294">
        <v>3681800.0000000466</v>
      </c>
      <c r="K92" s="286"/>
      <c r="L92" s="133"/>
      <c r="M92" s="136"/>
      <c r="N92" s="1266"/>
      <c r="O92" s="151" t="s">
        <v>256</v>
      </c>
      <c r="P92" s="151" t="s">
        <v>232</v>
      </c>
      <c r="Q92" s="151" t="s">
        <v>257</v>
      </c>
      <c r="R92" s="153">
        <f>E95</f>
        <v>29265.8</v>
      </c>
      <c r="S92" s="153">
        <f>F95</f>
        <v>30941.1</v>
      </c>
      <c r="T92" s="152">
        <v>2000</v>
      </c>
      <c r="U92" s="153">
        <f t="shared" si="11"/>
        <v>3435599.9999999986</v>
      </c>
      <c r="V92" s="153">
        <f>I95</f>
        <v>85000</v>
      </c>
      <c r="W92" s="153">
        <f>J94</f>
        <v>0</v>
      </c>
      <c r="X92" s="152"/>
      <c r="Y92" s="133"/>
      <c r="Z92" s="1266"/>
      <c r="AA92" s="1267"/>
      <c r="AB92" s="1268"/>
    </row>
    <row r="93" spans="1:44" ht="15.75">
      <c r="A93" s="1265"/>
      <c r="B93" s="151" t="s">
        <v>258</v>
      </c>
      <c r="C93" s="151" t="s">
        <v>232</v>
      </c>
      <c r="D93" s="151" t="s">
        <v>259</v>
      </c>
      <c r="E93" s="287">
        <v>243157.3</v>
      </c>
      <c r="F93" s="14">
        <v>244051.8</v>
      </c>
      <c r="G93" s="152">
        <v>2000</v>
      </c>
      <c r="H93" s="241">
        <f t="shared" si="12"/>
        <v>1837600</v>
      </c>
      <c r="I93" s="152">
        <v>48600</v>
      </c>
      <c r="J93" s="294"/>
      <c r="K93" s="286"/>
      <c r="L93" s="133"/>
      <c r="M93" s="136"/>
      <c r="N93" s="1266"/>
      <c r="O93" s="151" t="s">
        <v>260</v>
      </c>
      <c r="P93" s="151" t="s">
        <v>232</v>
      </c>
      <c r="Q93" s="151" t="s">
        <v>259</v>
      </c>
      <c r="R93" s="297">
        <v>219574.9</v>
      </c>
      <c r="S93" s="297">
        <v>219675.1</v>
      </c>
      <c r="T93" s="152">
        <v>2000</v>
      </c>
      <c r="U93" s="153">
        <f t="shared" si="11"/>
        <v>249000.00000002328</v>
      </c>
      <c r="V93" s="153">
        <f>I93</f>
        <v>48600</v>
      </c>
      <c r="W93" s="153">
        <f>J92</f>
        <v>3681800.0000000466</v>
      </c>
      <c r="X93" s="152"/>
      <c r="Y93" s="133"/>
      <c r="Z93" s="1266"/>
      <c r="AA93" s="1267"/>
      <c r="AB93" s="1268"/>
      <c r="AE93" t="s">
        <v>261</v>
      </c>
      <c r="AF93" t="s">
        <v>232</v>
      </c>
      <c r="AG93" t="s">
        <v>262</v>
      </c>
      <c r="AH93">
        <v>54889.4</v>
      </c>
      <c r="AI93">
        <v>56476.1</v>
      </c>
      <c r="AJ93">
        <v>2000</v>
      </c>
      <c r="AK93">
        <v>3173399.9999999902</v>
      </c>
      <c r="AL93">
        <v>0</v>
      </c>
      <c r="AM93">
        <v>0</v>
      </c>
    </row>
    <row r="94" spans="1:44" ht="15.75">
      <c r="A94" s="1265"/>
      <c r="B94" s="151" t="s">
        <v>261</v>
      </c>
      <c r="C94" s="151" t="s">
        <v>232</v>
      </c>
      <c r="D94" s="151" t="s">
        <v>262</v>
      </c>
      <c r="E94" s="287">
        <v>211537.5</v>
      </c>
      <c r="F94" s="14">
        <v>213891.8</v>
      </c>
      <c r="G94" s="152">
        <v>2000</v>
      </c>
      <c r="H94" s="241">
        <f t="shared" si="12"/>
        <v>4708599.9999999767</v>
      </c>
      <c r="I94" s="152"/>
      <c r="J94" s="298"/>
      <c r="K94" s="286"/>
      <c r="L94" s="133"/>
      <c r="M94" s="136"/>
      <c r="N94" s="1266" t="s">
        <v>5</v>
      </c>
      <c r="O94" s="151" t="s">
        <v>261</v>
      </c>
      <c r="P94" s="151" t="s">
        <v>232</v>
      </c>
      <c r="Q94" s="151" t="s">
        <v>262</v>
      </c>
      <c r="R94" s="153">
        <f>E94</f>
        <v>211537.5</v>
      </c>
      <c r="S94" s="153">
        <f>F94</f>
        <v>213891.8</v>
      </c>
      <c r="T94" s="152">
        <v>2000</v>
      </c>
      <c r="U94" s="153">
        <f t="shared" si="11"/>
        <v>4708599.9999999767</v>
      </c>
      <c r="V94" s="153">
        <f>I94</f>
        <v>0</v>
      </c>
      <c r="W94" s="153">
        <f>J93</f>
        <v>0</v>
      </c>
      <c r="X94" s="164">
        <v>0</v>
      </c>
      <c r="Y94" s="133"/>
      <c r="Z94" s="1266">
        <f>SUM(U95:U96)</f>
        <v>6600919.9999999767</v>
      </c>
      <c r="AA94" s="1267">
        <f>Z94/Z97</f>
        <v>0.1484647287972426</v>
      </c>
      <c r="AB94" s="1268">
        <f>L84*AA94</f>
        <v>-1610344.0598202464</v>
      </c>
      <c r="AD94" t="s">
        <v>5</v>
      </c>
      <c r="AE94" t="s">
        <v>263</v>
      </c>
      <c r="AF94" t="s">
        <v>232</v>
      </c>
      <c r="AG94" t="s">
        <v>264</v>
      </c>
      <c r="AH94">
        <v>126420.1</v>
      </c>
      <c r="AI94">
        <v>127353.7</v>
      </c>
      <c r="AJ94">
        <v>2000</v>
      </c>
      <c r="AK94">
        <v>1867199.99999998</v>
      </c>
      <c r="AL94">
        <v>0</v>
      </c>
      <c r="AM94">
        <v>0</v>
      </c>
      <c r="AN94">
        <v>0</v>
      </c>
      <c r="AP94">
        <v>6626199.9999999804</v>
      </c>
      <c r="AQ94">
        <v>0.159049514608782</v>
      </c>
      <c r="AR94">
        <v>-6366.4339707650697</v>
      </c>
    </row>
    <row r="95" spans="1:44" ht="15.75">
      <c r="A95" s="1265"/>
      <c r="B95" s="151" t="s">
        <v>256</v>
      </c>
      <c r="C95" s="151" t="s">
        <v>232</v>
      </c>
      <c r="D95" s="151" t="s">
        <v>265</v>
      </c>
      <c r="E95" s="287">
        <v>29265.8</v>
      </c>
      <c r="F95" s="14">
        <v>30941.1</v>
      </c>
      <c r="G95" s="152">
        <v>2000</v>
      </c>
      <c r="H95" s="241">
        <f t="shared" si="12"/>
        <v>3435599.9999999986</v>
      </c>
      <c r="I95" s="152">
        <v>85000</v>
      </c>
      <c r="J95" s="298"/>
      <c r="K95" s="286"/>
      <c r="L95" s="133"/>
      <c r="M95" s="136"/>
      <c r="N95" s="1266"/>
      <c r="O95" s="299" t="s">
        <v>263</v>
      </c>
      <c r="P95" s="299" t="s">
        <v>232</v>
      </c>
      <c r="Q95" s="299" t="s">
        <v>264</v>
      </c>
      <c r="R95" s="295">
        <f>E96</f>
        <v>204794.7</v>
      </c>
      <c r="S95" s="295">
        <f>F96</f>
        <v>206263.5</v>
      </c>
      <c r="T95" s="164">
        <v>2000</v>
      </c>
      <c r="U95" s="153">
        <f t="shared" si="11"/>
        <v>2956799.9999999767</v>
      </c>
      <c r="V95" s="153">
        <f>I96</f>
        <v>19200</v>
      </c>
      <c r="W95" s="153">
        <f>J94</f>
        <v>0</v>
      </c>
      <c r="X95" s="164"/>
      <c r="Y95" s="133"/>
      <c r="Z95" s="1266"/>
      <c r="AA95" s="1267"/>
      <c r="AB95" s="1268"/>
      <c r="AE95" t="s">
        <v>266</v>
      </c>
      <c r="AF95" t="s">
        <v>232</v>
      </c>
      <c r="AG95" t="s">
        <v>267</v>
      </c>
      <c r="AH95">
        <v>501387</v>
      </c>
      <c r="AI95">
        <v>506146</v>
      </c>
      <c r="AJ95">
        <v>1000</v>
      </c>
      <c r="AK95">
        <v>4759000</v>
      </c>
      <c r="AL95">
        <v>0</v>
      </c>
      <c r="AM95">
        <v>0</v>
      </c>
    </row>
    <row r="96" spans="1:44">
      <c r="A96" s="1265"/>
      <c r="B96" s="300" t="s">
        <v>263</v>
      </c>
      <c r="C96" s="300" t="s">
        <v>232</v>
      </c>
      <c r="D96" s="300" t="s">
        <v>264</v>
      </c>
      <c r="E96" s="287">
        <v>204794.7</v>
      </c>
      <c r="F96" s="14">
        <v>206263.5</v>
      </c>
      <c r="G96" s="204">
        <v>2000</v>
      </c>
      <c r="H96" s="241">
        <f t="shared" si="12"/>
        <v>2956799.9999999767</v>
      </c>
      <c r="I96" s="204">
        <v>19200</v>
      </c>
      <c r="J96" s="238"/>
      <c r="K96" s="187"/>
      <c r="L96" s="133"/>
      <c r="M96" s="136"/>
      <c r="N96" s="220"/>
      <c r="O96" s="299" t="s">
        <v>266</v>
      </c>
      <c r="P96" s="299" t="s">
        <v>232</v>
      </c>
      <c r="Q96" s="299" t="s">
        <v>267</v>
      </c>
      <c r="R96" s="301">
        <f>E97</f>
        <v>800133</v>
      </c>
      <c r="S96" s="301">
        <f>F97</f>
        <v>804820</v>
      </c>
      <c r="T96" s="164">
        <v>1000</v>
      </c>
      <c r="U96" s="153">
        <f>(S96-R96)*T96+V96-H99</f>
        <v>3644120</v>
      </c>
      <c r="V96" s="153">
        <f>I97</f>
        <v>0</v>
      </c>
      <c r="W96" s="153">
        <f>J95</f>
        <v>0</v>
      </c>
      <c r="X96" s="164"/>
      <c r="Y96" s="133"/>
      <c r="Z96" s="220"/>
      <c r="AA96" s="296"/>
      <c r="AB96" s="180"/>
    </row>
    <row r="97" spans="1:44">
      <c r="A97" s="1265"/>
      <c r="B97" s="300" t="s">
        <v>266</v>
      </c>
      <c r="C97" s="300" t="s">
        <v>232</v>
      </c>
      <c r="D97" s="300" t="s">
        <v>267</v>
      </c>
      <c r="E97" s="287">
        <v>800133</v>
      </c>
      <c r="F97" s="14">
        <v>804820</v>
      </c>
      <c r="G97" s="204">
        <v>1000</v>
      </c>
      <c r="H97" s="241">
        <f t="shared" si="12"/>
        <v>4687000</v>
      </c>
      <c r="I97" s="204"/>
      <c r="K97" s="302"/>
      <c r="L97" s="133"/>
      <c r="N97" s="215"/>
      <c r="O97" s="299"/>
      <c r="P97" s="299"/>
      <c r="Q97" s="299"/>
      <c r="R97" s="301"/>
      <c r="S97" s="301"/>
      <c r="T97" s="164"/>
      <c r="U97" s="153"/>
      <c r="V97" s="153"/>
      <c r="W97" s="153"/>
      <c r="X97" s="133"/>
      <c r="Y97" s="133"/>
      <c r="Z97" s="181">
        <f>SUM(Z85:Z95)</f>
        <v>44461200.000000097</v>
      </c>
      <c r="AA97" s="296">
        <f>SUM(AA85:AA95)</f>
        <v>0.99999999999999989</v>
      </c>
      <c r="AB97" s="220">
        <f>SUM(AB85:AB95)</f>
        <v>-10846644.00000005</v>
      </c>
      <c r="AK97">
        <v>41661240</v>
      </c>
      <c r="AP97">
        <v>41661240</v>
      </c>
      <c r="AQ97">
        <v>1</v>
      </c>
      <c r="AR97">
        <v>-40028.000000029802</v>
      </c>
    </row>
    <row r="98" spans="1:44">
      <c r="A98" s="1265"/>
      <c r="B98" s="238" t="s">
        <v>268</v>
      </c>
      <c r="C98" s="238" t="s">
        <v>232</v>
      </c>
      <c r="D98" s="238" t="s">
        <v>269</v>
      </c>
      <c r="E98" s="287">
        <v>12443.9</v>
      </c>
      <c r="F98" s="14">
        <v>12557.3</v>
      </c>
      <c r="G98" s="14">
        <v>2000</v>
      </c>
      <c r="H98" s="238"/>
      <c r="I98" s="238"/>
      <c r="K98" s="302">
        <f>(F98-E98)*G98</f>
        <v>226799.99999999927</v>
      </c>
      <c r="L98" s="133"/>
      <c r="O98" s="133"/>
      <c r="P98" s="133"/>
      <c r="Q98" s="133"/>
      <c r="R98" s="133"/>
      <c r="S98" s="133"/>
      <c r="T98" s="133"/>
      <c r="U98" s="181">
        <f>SUM(U85:U96)</f>
        <v>44461200.000000089</v>
      </c>
      <c r="V98" s="181"/>
      <c r="W98" s="133"/>
    </row>
    <row r="99" spans="1:44" ht="15.75">
      <c r="A99" s="1265"/>
      <c r="B99" s="300" t="s">
        <v>270</v>
      </c>
      <c r="C99" s="300" t="s">
        <v>232</v>
      </c>
      <c r="D99" s="300"/>
      <c r="E99" s="243">
        <v>842876</v>
      </c>
      <c r="F99" s="243">
        <v>855912</v>
      </c>
      <c r="G99" s="204">
        <v>80</v>
      </c>
      <c r="H99" s="204">
        <f>((F99-E99)*G99)+(I99+J97)</f>
        <v>1042880</v>
      </c>
      <c r="I99" s="133"/>
      <c r="J99" s="285"/>
      <c r="K99" s="286"/>
      <c r="L99" s="133"/>
    </row>
    <row r="100" spans="1:44" ht="15.75">
      <c r="A100" s="1265"/>
      <c r="B100" s="151" t="s">
        <v>71</v>
      </c>
      <c r="C100" s="151"/>
      <c r="D100" s="151"/>
      <c r="E100" s="156"/>
      <c r="F100" s="156"/>
      <c r="G100" s="151"/>
      <c r="H100" s="137">
        <f>SUM(H87:H97)</f>
        <v>54596400.000000052</v>
      </c>
      <c r="I100" s="133"/>
      <c r="J100" s="303"/>
      <c r="K100" s="286"/>
      <c r="L100" s="304">
        <f>L14+L51+L84</f>
        <v>-10906093.000000022</v>
      </c>
    </row>
    <row r="101" spans="1:44">
      <c r="A101" s="305"/>
      <c r="B101" s="239" t="s">
        <v>188</v>
      </c>
      <c r="C101" s="151"/>
      <c r="D101" s="151"/>
      <c r="E101" s="156"/>
      <c r="F101" s="156"/>
      <c r="G101" s="151"/>
      <c r="H101" s="152">
        <f>H84+H96+H97-H99</f>
        <v>6605203.9999999767</v>
      </c>
      <c r="I101" s="151"/>
    </row>
    <row r="102" spans="1:44" ht="15.75">
      <c r="A102" s="306"/>
      <c r="B102" s="207" t="s">
        <v>271</v>
      </c>
      <c r="C102" s="151"/>
      <c r="D102" s="151"/>
      <c r="E102" s="156"/>
      <c r="F102" s="156"/>
      <c r="G102" s="151"/>
      <c r="H102" s="137">
        <f>H100-H101</f>
        <v>47991196.000000075</v>
      </c>
      <c r="I102" s="208">
        <f>(H85-H100)/H85</f>
        <v>-0.2479246741398981</v>
      </c>
      <c r="L102" s="86">
        <f>L100-H110</f>
        <v>62061.250000096858</v>
      </c>
    </row>
    <row r="103" spans="1:44">
      <c r="H103" s="86"/>
      <c r="J103" s="86"/>
      <c r="K103" s="86"/>
    </row>
    <row r="104" spans="1:44">
      <c r="B104" s="307" t="s">
        <v>272</v>
      </c>
      <c r="C104" s="86"/>
      <c r="D104" s="86"/>
      <c r="E104" s="308"/>
      <c r="F104" s="308"/>
      <c r="G104" s="86"/>
      <c r="H104" s="309">
        <f>H14+H52+H85</f>
        <v>146506132.14999998</v>
      </c>
      <c r="I104" s="86"/>
    </row>
    <row r="105" spans="1:44">
      <c r="B105" s="285" t="s">
        <v>273</v>
      </c>
      <c r="C105" s="86"/>
      <c r="D105" s="86"/>
      <c r="G105" s="86"/>
      <c r="H105" s="86">
        <f>H31+H64+H100</f>
        <v>157474286.40000013</v>
      </c>
      <c r="I105" s="86"/>
      <c r="J105" t="s">
        <v>274</v>
      </c>
      <c r="L105">
        <v>129600</v>
      </c>
    </row>
    <row r="106" spans="1:44">
      <c r="B106" s="307" t="s">
        <v>275</v>
      </c>
      <c r="C106" s="86"/>
      <c r="D106" s="86"/>
      <c r="G106" s="86"/>
      <c r="H106" s="309">
        <f>'IMP-EXP'!J15</f>
        <v>17998360.000000045</v>
      </c>
      <c r="I106" s="86"/>
      <c r="L106">
        <v>123200</v>
      </c>
    </row>
    <row r="107" spans="1:44">
      <c r="B107" s="307" t="s">
        <v>276</v>
      </c>
      <c r="C107" s="86"/>
      <c r="D107" s="86"/>
      <c r="E107" s="308"/>
      <c r="F107" s="308"/>
      <c r="G107" s="86"/>
      <c r="H107" s="309">
        <f>'IMP-EXP'!J40</f>
        <v>18768832.999999989</v>
      </c>
      <c r="I107" s="86"/>
      <c r="L107">
        <v>422600</v>
      </c>
    </row>
    <row r="108" spans="1:44">
      <c r="B108" s="285" t="s">
        <v>277</v>
      </c>
      <c r="C108" s="86"/>
      <c r="D108" s="86"/>
      <c r="E108" s="308"/>
      <c r="F108" s="308"/>
      <c r="G108" s="86"/>
      <c r="H108" s="310">
        <f>H104+H106-H107</f>
        <v>145735659.15000004</v>
      </c>
      <c r="I108" s="86"/>
      <c r="K108" s="311"/>
      <c r="L108">
        <f>SUM(L105:L107)</f>
        <v>675400</v>
      </c>
    </row>
    <row r="109" spans="1:44">
      <c r="B109" s="285" t="s">
        <v>278</v>
      </c>
      <c r="C109" s="86"/>
      <c r="D109" s="86"/>
      <c r="E109" s="308"/>
      <c r="F109" s="308"/>
      <c r="G109" s="86"/>
      <c r="H109" s="86">
        <f>H105+H106-H107</f>
        <v>156703813.40000015</v>
      </c>
      <c r="I109" s="86"/>
    </row>
    <row r="110" spans="1:44">
      <c r="B110" s="285" t="s">
        <v>134</v>
      </c>
      <c r="C110" s="86"/>
      <c r="D110" s="86"/>
      <c r="G110" s="86"/>
      <c r="H110" s="312">
        <f>H108-H109</f>
        <v>-10968154.250000119</v>
      </c>
      <c r="I110" s="86"/>
      <c r="K110" s="86"/>
    </row>
    <row r="111" spans="1:44">
      <c r="H111" s="86"/>
      <c r="I111" s="86"/>
    </row>
    <row r="112" spans="1:44">
      <c r="I112" s="86"/>
    </row>
    <row r="113" spans="3:20">
      <c r="C113" s="86"/>
      <c r="H113" s="313"/>
      <c r="I113" s="86"/>
      <c r="P113" t="s">
        <v>134</v>
      </c>
    </row>
    <row r="114" spans="3:20">
      <c r="H114" s="86"/>
      <c r="I114" s="86"/>
      <c r="Q114" t="s">
        <v>80</v>
      </c>
      <c r="S114">
        <v>-1173.8079492340401</v>
      </c>
      <c r="T114">
        <v>-1.17380794923404E-2</v>
      </c>
    </row>
    <row r="115" spans="3:20">
      <c r="Q115" t="s">
        <v>81</v>
      </c>
      <c r="S115">
        <v>-3181.5785953473701</v>
      </c>
      <c r="T115">
        <v>-3.1815785953473702E-2</v>
      </c>
    </row>
    <row r="116" spans="3:20">
      <c r="J116" s="133"/>
      <c r="K116" s="133"/>
      <c r="L116" s="133"/>
      <c r="M116" s="133"/>
    </row>
    <row r="117" spans="3:20">
      <c r="J117" s="133"/>
      <c r="K117" s="133"/>
      <c r="L117" s="133" t="s">
        <v>71</v>
      </c>
      <c r="M117" s="133" t="s">
        <v>279</v>
      </c>
      <c r="Q117" t="s">
        <v>82</v>
      </c>
      <c r="S117">
        <v>14990.9912688248</v>
      </c>
      <c r="T117">
        <v>0.14990991268824799</v>
      </c>
    </row>
    <row r="118" spans="3:20">
      <c r="E118" s="287"/>
      <c r="F118" s="287"/>
      <c r="G118" s="133"/>
      <c r="H118" s="133"/>
      <c r="I118" s="133"/>
      <c r="J118" s="314">
        <f>I120/60</f>
        <v>53.888888888888893</v>
      </c>
      <c r="K118" s="314">
        <v>4580</v>
      </c>
      <c r="L118" s="133">
        <v>12000</v>
      </c>
      <c r="M118" s="314">
        <f>L118-K118</f>
        <v>7420</v>
      </c>
    </row>
    <row r="119" spans="3:20">
      <c r="E119" s="287"/>
      <c r="F119" s="287"/>
      <c r="G119" s="133"/>
      <c r="H119" s="133"/>
      <c r="I119" s="133"/>
      <c r="J119" s="314">
        <f>I121/60</f>
        <v>62.652329749103949</v>
      </c>
      <c r="K119" s="133"/>
      <c r="L119" s="133"/>
      <c r="M119" s="133"/>
      <c r="Q119" t="s">
        <v>83</v>
      </c>
      <c r="S119">
        <v>-73857.604724299294</v>
      </c>
      <c r="T119">
        <v>-0.73857604724299297</v>
      </c>
    </row>
    <row r="120" spans="3:20">
      <c r="E120" s="287" t="s">
        <v>280</v>
      </c>
      <c r="F120" s="287" t="s">
        <v>280</v>
      </c>
      <c r="G120" s="133">
        <v>2405600</v>
      </c>
      <c r="H120" s="133">
        <f>G120/31</f>
        <v>77600</v>
      </c>
      <c r="I120" s="314">
        <f>H120/24</f>
        <v>3233.3333333333335</v>
      </c>
      <c r="J120" s="314">
        <f>I122/60</f>
        <v>45.116487455197131</v>
      </c>
      <c r="K120" s="133"/>
      <c r="L120" s="133"/>
      <c r="M120" s="133"/>
      <c r="T120">
        <v>-0.632220000000559</v>
      </c>
    </row>
    <row r="121" spans="3:20">
      <c r="E121" s="287" t="s">
        <v>281</v>
      </c>
      <c r="F121" s="287" t="s">
        <v>281</v>
      </c>
      <c r="G121" s="133">
        <v>2796800</v>
      </c>
      <c r="H121" s="133">
        <f>G121/31</f>
        <v>90219.354838709682</v>
      </c>
      <c r="I121" s="314">
        <f>H121/24</f>
        <v>3759.1397849462369</v>
      </c>
      <c r="J121" s="314">
        <f>I123/60</f>
        <v>59.385342789598106</v>
      </c>
      <c r="K121" s="315">
        <f>J121*263</f>
        <v>15618.345153664302</v>
      </c>
      <c r="L121" s="133"/>
      <c r="M121" s="133"/>
    </row>
    <row r="122" spans="3:20">
      <c r="E122" s="287" t="s">
        <v>282</v>
      </c>
      <c r="F122" s="287" t="s">
        <v>282</v>
      </c>
      <c r="G122" s="133">
        <v>2014000</v>
      </c>
      <c r="H122" s="133">
        <f>G122/31</f>
        <v>64967.741935483871</v>
      </c>
      <c r="I122" s="314">
        <f>H122/24</f>
        <v>2706.989247311828</v>
      </c>
      <c r="J122" s="133"/>
      <c r="K122" s="133"/>
      <c r="L122" s="133"/>
      <c r="M122" s="133"/>
    </row>
    <row r="123" spans="3:20">
      <c r="E123" s="287" t="s">
        <v>279</v>
      </c>
      <c r="F123" s="287" t="s">
        <v>279</v>
      </c>
      <c r="G123" s="133">
        <v>502400</v>
      </c>
      <c r="H123" s="133"/>
      <c r="I123" s="314">
        <f>G123/141</f>
        <v>3563.1205673758864</v>
      </c>
      <c r="J123" s="316">
        <f>I125-H125</f>
        <v>0.18263888888888902</v>
      </c>
      <c r="K123" s="314">
        <f>263*J118</f>
        <v>14172.777777777779</v>
      </c>
      <c r="L123" s="133"/>
      <c r="M123" s="133"/>
    </row>
    <row r="124" spans="3:20">
      <c r="E124" s="287"/>
      <c r="F124" s="287"/>
      <c r="G124" s="133"/>
      <c r="H124" s="133"/>
      <c r="I124" s="133"/>
      <c r="J124" s="133"/>
      <c r="K124" s="314">
        <f>263*J119</f>
        <v>16477.562724014337</v>
      </c>
      <c r="L124" s="133"/>
      <c r="M124" s="133"/>
    </row>
    <row r="125" spans="3:20">
      <c r="E125" s="287"/>
      <c r="F125" s="287"/>
      <c r="G125" s="133"/>
      <c r="H125" s="316">
        <v>0.60208333333333297</v>
      </c>
      <c r="I125" s="316">
        <v>0.78472222222222199</v>
      </c>
      <c r="J125" s="133"/>
      <c r="K125" s="314">
        <f>SUM(K123:K124)</f>
        <v>30650.340501792118</v>
      </c>
      <c r="L125" s="133"/>
      <c r="M125" s="314">
        <f>K127-K125</f>
        <v>29949.659498207882</v>
      </c>
    </row>
    <row r="126" spans="3:20">
      <c r="E126" s="287"/>
      <c r="F126" s="287"/>
      <c r="G126" s="133"/>
      <c r="H126" s="133"/>
      <c r="I126" s="133"/>
      <c r="J126" s="133"/>
      <c r="K126" s="133"/>
      <c r="L126" s="133"/>
      <c r="M126" s="133"/>
    </row>
    <row r="127" spans="3:20">
      <c r="E127" s="287"/>
      <c r="F127" s="287"/>
      <c r="G127" s="133"/>
      <c r="H127" s="133"/>
      <c r="I127" s="133"/>
      <c r="J127" s="133"/>
      <c r="K127" s="133">
        <v>60600</v>
      </c>
      <c r="L127" s="133"/>
      <c r="M127" s="133"/>
    </row>
    <row r="128" spans="3:20">
      <c r="E128" s="287"/>
      <c r="F128" s="287"/>
      <c r="G128" s="133"/>
      <c r="H128" s="133"/>
      <c r="I128" s="133"/>
    </row>
    <row r="129" spans="5:10">
      <c r="E129" s="287"/>
      <c r="F129" s="287"/>
      <c r="G129" s="133"/>
      <c r="H129" s="133"/>
      <c r="I129" s="133"/>
    </row>
    <row r="144" spans="5:10">
      <c r="J144">
        <v>4800</v>
      </c>
    </row>
    <row r="146" spans="3:9">
      <c r="C146">
        <v>112000</v>
      </c>
      <c r="D146">
        <v>5600</v>
      </c>
      <c r="E146" s="135">
        <v>62600</v>
      </c>
      <c r="F146" s="135">
        <v>62600</v>
      </c>
      <c r="G146">
        <v>6600</v>
      </c>
      <c r="H146">
        <v>4200</v>
      </c>
      <c r="I146">
        <v>41600</v>
      </c>
    </row>
    <row r="147" spans="3:9">
      <c r="E147" s="135">
        <v>62600</v>
      </c>
      <c r="F147" s="135">
        <v>62600</v>
      </c>
      <c r="G147">
        <v>6600</v>
      </c>
      <c r="H147">
        <v>4200</v>
      </c>
    </row>
  </sheetData>
  <mergeCells count="44">
    <mergeCell ref="A1:F1"/>
    <mergeCell ref="A3:A4"/>
    <mergeCell ref="M3:X3"/>
    <mergeCell ref="A5:A37"/>
    <mergeCell ref="N15:N16"/>
    <mergeCell ref="Z15:Z16"/>
    <mergeCell ref="AA15:AA16"/>
    <mergeCell ref="AB15:AB16"/>
    <mergeCell ref="N19:N32"/>
    <mergeCell ref="Z19:Z32"/>
    <mergeCell ref="AA19:AA32"/>
    <mergeCell ref="AB19:AB32"/>
    <mergeCell ref="A42:A43"/>
    <mergeCell ref="A44:A74"/>
    <mergeCell ref="N44:N45"/>
    <mergeCell ref="Z44:Z49"/>
    <mergeCell ref="AA44:AA49"/>
    <mergeCell ref="N62:N63"/>
    <mergeCell ref="Z62:Z63"/>
    <mergeCell ref="AA62:AA63"/>
    <mergeCell ref="AB44:AB49"/>
    <mergeCell ref="N48:N53"/>
    <mergeCell ref="Z50:Z51"/>
    <mergeCell ref="AA50:AA51"/>
    <mergeCell ref="AB50:AB51"/>
    <mergeCell ref="Z52:Z61"/>
    <mergeCell ref="AA52:AA61"/>
    <mergeCell ref="AB52:AB61"/>
    <mergeCell ref="N54:N55"/>
    <mergeCell ref="AB62:AB63"/>
    <mergeCell ref="A77:A78"/>
    <mergeCell ref="A79:A100"/>
    <mergeCell ref="N86:N88"/>
    <mergeCell ref="Z86:Z88"/>
    <mergeCell ref="AA86:AA88"/>
    <mergeCell ref="AB86:AB88"/>
    <mergeCell ref="N89:N93"/>
    <mergeCell ref="Z89:Z93"/>
    <mergeCell ref="AA89:AA93"/>
    <mergeCell ref="AB89:AB93"/>
    <mergeCell ref="N94:N95"/>
    <mergeCell ref="Z94:Z95"/>
    <mergeCell ref="AA94:AA95"/>
    <mergeCell ref="AB94:AB95"/>
  </mergeCells>
  <printOptions horizontalCentered="1" verticalCentered="1"/>
  <pageMargins left="0" right="0" top="0" bottom="0" header="0.51180555555555496" footer="0.51180555555555496"/>
  <pageSetup paperSize="9" firstPageNumber="0" orientation="landscape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48"/>
  <sheetViews>
    <sheetView topLeftCell="B1" zoomScaleNormal="100" workbookViewId="0">
      <selection activeCell="F12" sqref="F12:F13"/>
    </sheetView>
  </sheetViews>
  <sheetFormatPr defaultRowHeight="15"/>
  <cols>
    <col min="1" max="1" width="8.7109375" customWidth="1"/>
    <col min="2" max="2" width="31.28515625" customWidth="1"/>
    <col min="3" max="3" width="12.42578125" style="317" customWidth="1"/>
    <col min="4" max="4" width="14.28515625" style="136" customWidth="1"/>
    <col min="5" max="5" width="10.28515625" style="136" customWidth="1"/>
    <col min="6" max="6" width="11.42578125" style="136"/>
    <col min="7" max="7" width="10.140625" style="136" customWidth="1"/>
    <col min="8" max="8" width="8.7109375" customWidth="1"/>
    <col min="9" max="9" width="10.85546875" customWidth="1"/>
    <col min="10" max="11" width="12.5703125" customWidth="1"/>
    <col min="12" max="12" width="9.42578125" customWidth="1"/>
    <col min="13" max="15" width="8.7109375" customWidth="1"/>
    <col min="16" max="16" width="12" customWidth="1"/>
    <col min="17" max="1025" width="8.7109375" customWidth="1"/>
  </cols>
  <sheetData>
    <row r="1" spans="1:17" ht="20.25">
      <c r="A1" s="1282" t="s">
        <v>283</v>
      </c>
      <c r="B1" s="1282"/>
      <c r="C1" s="1282"/>
      <c r="D1" s="1282"/>
      <c r="E1" s="1282"/>
      <c r="F1" s="1282"/>
      <c r="G1" s="1283" t="s">
        <v>284</v>
      </c>
      <c r="H1" s="1283"/>
      <c r="I1" s="318"/>
      <c r="J1" s="318"/>
      <c r="K1" s="318"/>
      <c r="L1" s="318"/>
      <c r="M1" s="319"/>
    </row>
    <row r="2" spans="1:17" ht="15.75">
      <c r="A2" s="320" t="s">
        <v>285</v>
      </c>
      <c r="B2" s="137"/>
      <c r="C2" s="278"/>
      <c r="D2" s="137"/>
      <c r="E2" s="137"/>
      <c r="F2" s="137"/>
      <c r="G2" s="137"/>
      <c r="H2" s="137"/>
      <c r="I2" s="137"/>
      <c r="J2" s="137"/>
      <c r="K2" s="137"/>
      <c r="L2" s="137"/>
      <c r="M2" s="277"/>
    </row>
    <row r="3" spans="1:17">
      <c r="A3" s="1284" t="s">
        <v>286</v>
      </c>
      <c r="B3" s="1284"/>
      <c r="C3" s="168"/>
      <c r="D3" s="141"/>
      <c r="E3" s="141"/>
      <c r="F3" s="141"/>
      <c r="G3" s="141"/>
      <c r="H3" s="141"/>
      <c r="I3" s="141"/>
      <c r="J3" s="141"/>
      <c r="K3" s="141"/>
      <c r="L3" s="141"/>
      <c r="M3" s="321"/>
    </row>
    <row r="4" spans="1:17" s="1" customFormat="1" ht="25.5">
      <c r="A4" s="6"/>
      <c r="B4" s="6" t="s">
        <v>287</v>
      </c>
      <c r="C4" s="231" t="s">
        <v>288</v>
      </c>
      <c r="D4" s="1285" t="s">
        <v>289</v>
      </c>
      <c r="E4" s="1285"/>
      <c r="F4" s="1285"/>
      <c r="G4" s="11"/>
      <c r="H4" s="6" t="s">
        <v>290</v>
      </c>
      <c r="I4" s="6" t="s">
        <v>135</v>
      </c>
      <c r="J4" s="6" t="s">
        <v>291</v>
      </c>
      <c r="K4" s="6" t="s">
        <v>292</v>
      </c>
      <c r="L4" s="322" t="s">
        <v>293</v>
      </c>
      <c r="M4" s="323"/>
    </row>
    <row r="5" spans="1:17">
      <c r="A5" s="6"/>
      <c r="B5" s="6"/>
      <c r="C5" s="231"/>
      <c r="D5" s="141" t="s">
        <v>294</v>
      </c>
      <c r="E5" s="141" t="s">
        <v>295</v>
      </c>
      <c r="F5" s="141" t="s">
        <v>296</v>
      </c>
      <c r="G5" s="141" t="s">
        <v>295</v>
      </c>
      <c r="H5" s="6"/>
      <c r="I5" s="6"/>
      <c r="J5" s="6"/>
      <c r="K5" s="6"/>
      <c r="L5" s="322"/>
      <c r="M5" s="324"/>
    </row>
    <row r="6" spans="1:17" ht="15.75">
      <c r="A6" s="7"/>
      <c r="B6" s="325" t="s">
        <v>297</v>
      </c>
      <c r="C6" s="326"/>
      <c r="D6" s="141"/>
      <c r="E6" s="141"/>
      <c r="F6" s="141"/>
      <c r="G6" s="141"/>
      <c r="H6" s="7"/>
      <c r="I6" s="7"/>
      <c r="J6" s="7"/>
      <c r="K6" s="7"/>
      <c r="L6" s="327"/>
      <c r="M6" s="324"/>
    </row>
    <row r="7" spans="1:17">
      <c r="A7" s="166" t="s">
        <v>298</v>
      </c>
      <c r="B7" s="328" t="s">
        <v>299</v>
      </c>
      <c r="C7" s="236"/>
      <c r="D7" s="160"/>
      <c r="E7" s="160"/>
      <c r="F7" s="160"/>
      <c r="G7" s="160"/>
      <c r="H7" s="160"/>
      <c r="I7" s="160"/>
      <c r="J7" s="160"/>
      <c r="K7" s="160"/>
      <c r="L7" s="329"/>
      <c r="M7" s="330"/>
    </row>
    <row r="8" spans="1:17">
      <c r="A8" s="152"/>
      <c r="B8" s="152" t="s">
        <v>300</v>
      </c>
      <c r="C8" s="232" t="s">
        <v>301</v>
      </c>
      <c r="D8" s="243">
        <v>4634475</v>
      </c>
      <c r="E8" s="331">
        <f>'SS INPUT'!D4</f>
        <v>45565</v>
      </c>
      <c r="F8" s="243">
        <v>4670236</v>
      </c>
      <c r="G8" s="332">
        <f>'SS INPUT'!E4</f>
        <v>45596</v>
      </c>
      <c r="H8" s="152">
        <f t="shared" ref="H8:H13" si="0">F8-D8</f>
        <v>35761</v>
      </c>
      <c r="I8" s="152">
        <v>120</v>
      </c>
      <c r="J8" s="153">
        <f t="shared" ref="J8:J13" si="1">(H8*I8)+K8</f>
        <v>4291320</v>
      </c>
      <c r="K8" s="153"/>
      <c r="L8" s="181" t="s">
        <v>302</v>
      </c>
      <c r="M8" s="333" t="s">
        <v>303</v>
      </c>
      <c r="O8">
        <v>4986240</v>
      </c>
      <c r="Q8">
        <f>J8-O8</f>
        <v>-694920</v>
      </c>
    </row>
    <row r="9" spans="1:17">
      <c r="A9" s="152"/>
      <c r="B9" s="152" t="s">
        <v>304</v>
      </c>
      <c r="C9" s="232" t="s">
        <v>305</v>
      </c>
      <c r="D9" s="243">
        <v>7152918</v>
      </c>
      <c r="E9" s="331">
        <f>'SS INPUT'!D4</f>
        <v>45565</v>
      </c>
      <c r="F9" s="243">
        <v>7207345</v>
      </c>
      <c r="G9" s="332">
        <f>'SS INPUT'!E4</f>
        <v>45596</v>
      </c>
      <c r="H9" s="152">
        <f t="shared" si="0"/>
        <v>54427</v>
      </c>
      <c r="I9" s="152">
        <v>120</v>
      </c>
      <c r="J9" s="153">
        <f t="shared" si="1"/>
        <v>6531240</v>
      </c>
      <c r="K9" s="153"/>
      <c r="L9" s="181" t="s">
        <v>302</v>
      </c>
      <c r="M9" s="333" t="s">
        <v>303</v>
      </c>
      <c r="O9">
        <v>3595800</v>
      </c>
    </row>
    <row r="10" spans="1:17">
      <c r="A10" s="152"/>
      <c r="B10" s="152" t="s">
        <v>306</v>
      </c>
      <c r="C10" s="232" t="s">
        <v>307</v>
      </c>
      <c r="D10" s="243">
        <v>149479.9</v>
      </c>
      <c r="E10" s="331">
        <f>'SS INPUT'!D4</f>
        <v>45565</v>
      </c>
      <c r="F10" s="243">
        <v>151318.6</v>
      </c>
      <c r="G10" s="332">
        <f>'SS INPUT'!E4</f>
        <v>45596</v>
      </c>
      <c r="H10" s="152">
        <f t="shared" si="0"/>
        <v>1838.7000000000116</v>
      </c>
      <c r="I10" s="152">
        <v>2000</v>
      </c>
      <c r="J10" s="153">
        <f t="shared" si="1"/>
        <v>3677400.0000000233</v>
      </c>
      <c r="K10" s="153"/>
      <c r="L10" s="181" t="s">
        <v>302</v>
      </c>
      <c r="M10" s="333" t="s">
        <v>308</v>
      </c>
      <c r="O10">
        <v>1595400</v>
      </c>
      <c r="P10">
        <f>O10-J10</f>
        <v>-2082000.0000000233</v>
      </c>
    </row>
    <row r="11" spans="1:17">
      <c r="A11" s="152"/>
      <c r="B11" s="152" t="s">
        <v>309</v>
      </c>
      <c r="C11" s="232" t="s">
        <v>310</v>
      </c>
      <c r="D11" s="243">
        <v>246927.4</v>
      </c>
      <c r="E11" s="331">
        <f>E10</f>
        <v>45565</v>
      </c>
      <c r="F11" s="243">
        <v>248676.6</v>
      </c>
      <c r="G11" s="332">
        <f>G10</f>
        <v>45596</v>
      </c>
      <c r="H11" s="152">
        <f t="shared" si="0"/>
        <v>1749.2000000000116</v>
      </c>
      <c r="I11" s="152">
        <v>2000</v>
      </c>
      <c r="J11" s="153">
        <f t="shared" si="1"/>
        <v>3498400.0000000233</v>
      </c>
      <c r="K11" s="153"/>
      <c r="L11" s="181" t="s">
        <v>302</v>
      </c>
      <c r="M11" s="333" t="s">
        <v>303</v>
      </c>
      <c r="O11">
        <v>5174000</v>
      </c>
      <c r="P11">
        <f>O11-J11</f>
        <v>1675599.9999999767</v>
      </c>
    </row>
    <row r="12" spans="1:17">
      <c r="A12" s="152"/>
      <c r="B12" s="152" t="s">
        <v>46</v>
      </c>
      <c r="C12" s="232" t="s">
        <v>311</v>
      </c>
      <c r="D12" s="243">
        <v>1328.7</v>
      </c>
      <c r="E12" s="331">
        <f>E11</f>
        <v>45565</v>
      </c>
      <c r="F12" s="243">
        <v>1473.7</v>
      </c>
      <c r="G12" s="332">
        <f>G11</f>
        <v>45596</v>
      </c>
      <c r="H12" s="152">
        <f t="shared" si="0"/>
        <v>145</v>
      </c>
      <c r="I12" s="152">
        <v>2000</v>
      </c>
      <c r="J12" s="153">
        <f t="shared" si="1"/>
        <v>290000</v>
      </c>
      <c r="K12" s="153"/>
      <c r="L12" s="181" t="s">
        <v>302</v>
      </c>
      <c r="M12" s="333"/>
    </row>
    <row r="13" spans="1:17">
      <c r="A13" s="152"/>
      <c r="B13" s="152" t="s">
        <v>48</v>
      </c>
      <c r="C13" s="232" t="s">
        <v>312</v>
      </c>
      <c r="D13" s="243">
        <v>11284.2</v>
      </c>
      <c r="E13" s="331">
        <f>E12</f>
        <v>45565</v>
      </c>
      <c r="F13" s="243">
        <v>13518.2</v>
      </c>
      <c r="G13" s="332">
        <f>G12</f>
        <v>45596</v>
      </c>
      <c r="H13" s="152">
        <f t="shared" si="0"/>
        <v>2234</v>
      </c>
      <c r="I13" s="152">
        <v>2000</v>
      </c>
      <c r="J13" s="153">
        <f t="shared" si="1"/>
        <v>4468000</v>
      </c>
      <c r="K13" s="153"/>
      <c r="L13" s="181" t="s">
        <v>302</v>
      </c>
      <c r="M13" s="333"/>
    </row>
    <row r="14" spans="1:17">
      <c r="A14" s="152"/>
      <c r="B14" s="152"/>
      <c r="C14" s="232"/>
      <c r="D14" s="334"/>
      <c r="E14" s="331"/>
      <c r="F14" s="334"/>
      <c r="G14" s="332"/>
      <c r="H14" s="152"/>
      <c r="I14" s="152"/>
      <c r="J14" s="153"/>
      <c r="K14" s="153"/>
      <c r="L14" s="181">
        <f>J14-K14</f>
        <v>0</v>
      </c>
      <c r="M14" s="333"/>
    </row>
    <row r="15" spans="1:17">
      <c r="A15" s="335"/>
      <c r="B15" s="197" t="s">
        <v>313</v>
      </c>
      <c r="C15" s="232"/>
      <c r="D15" s="336"/>
      <c r="E15" s="332"/>
      <c r="F15" s="336"/>
      <c r="G15" s="332"/>
      <c r="H15" s="152"/>
      <c r="I15" s="152"/>
      <c r="J15" s="337">
        <f>SUM(J8+J9+J10+J11+J14)</f>
        <v>17998360.000000045</v>
      </c>
      <c r="K15" s="337"/>
      <c r="L15" s="181"/>
      <c r="M15" s="338"/>
      <c r="P15">
        <f>K11+P11</f>
        <v>1675599.9999999767</v>
      </c>
    </row>
    <row r="16" spans="1:17" ht="15.75">
      <c r="A16" s="335"/>
      <c r="B16" s="339" t="s">
        <v>314</v>
      </c>
      <c r="C16" s="232"/>
      <c r="D16" s="184"/>
      <c r="E16" s="332"/>
      <c r="F16" s="184"/>
      <c r="G16" s="332"/>
      <c r="H16" s="152"/>
      <c r="I16" s="152"/>
      <c r="J16" s="141"/>
      <c r="K16" s="141"/>
      <c r="L16" s="181"/>
      <c r="M16" s="333"/>
    </row>
    <row r="17" spans="1:13">
      <c r="A17" s="141" t="s">
        <v>298</v>
      </c>
      <c r="B17" s="197" t="s">
        <v>315</v>
      </c>
      <c r="C17" s="232"/>
      <c r="D17" s="184"/>
      <c r="E17" s="332"/>
      <c r="F17" s="184"/>
      <c r="G17" s="332"/>
      <c r="H17" s="152"/>
      <c r="I17" s="152"/>
      <c r="J17" s="152"/>
      <c r="K17" s="152"/>
      <c r="L17" s="181"/>
      <c r="M17" s="338"/>
    </row>
    <row r="18" spans="1:13">
      <c r="A18" s="141">
        <v>1</v>
      </c>
      <c r="B18" s="340" t="s">
        <v>316</v>
      </c>
      <c r="C18" s="168">
        <v>22406</v>
      </c>
      <c r="D18" s="341">
        <f>'33KV FEEDER INPUT'!E27</f>
        <v>495.59289999999999</v>
      </c>
      <c r="E18" s="332">
        <f>E19</f>
        <v>45565</v>
      </c>
      <c r="F18" s="341">
        <f>'33KV FEEDER INPUT'!F27</f>
        <v>505.38440000000003</v>
      </c>
      <c r="G18" s="332">
        <f>G19</f>
        <v>45596</v>
      </c>
      <c r="H18" s="141">
        <f>F18-D18</f>
        <v>9.7915000000000418</v>
      </c>
      <c r="I18" s="141">
        <f>'33KV FEEDER INPUT'!G27</f>
        <v>240000</v>
      </c>
      <c r="J18" s="95">
        <f>'33KV FEEDER INPUT'!H27</f>
        <v>2575160.0000000102</v>
      </c>
      <c r="K18" s="95"/>
      <c r="L18" s="165"/>
      <c r="M18" s="342" t="s">
        <v>317</v>
      </c>
    </row>
    <row r="19" spans="1:13">
      <c r="A19" s="152">
        <v>4</v>
      </c>
      <c r="B19" s="343" t="s">
        <v>318</v>
      </c>
      <c r="C19" s="232">
        <v>22408</v>
      </c>
      <c r="D19" s="344">
        <v>20868.8</v>
      </c>
      <c r="E19" s="332">
        <f>E10</f>
        <v>45565</v>
      </c>
      <c r="F19" s="344">
        <v>20868.8</v>
      </c>
      <c r="G19" s="332">
        <f>G10</f>
        <v>45596</v>
      </c>
      <c r="H19" s="152">
        <f>F19-D19</f>
        <v>0</v>
      </c>
      <c r="I19" s="152">
        <v>2000</v>
      </c>
      <c r="J19" s="95">
        <v>0</v>
      </c>
      <c r="K19" s="95"/>
      <c r="L19" s="95"/>
      <c r="M19" s="342"/>
    </row>
    <row r="20" spans="1:13">
      <c r="A20" s="152">
        <v>5</v>
      </c>
      <c r="B20" s="343" t="s">
        <v>319</v>
      </c>
      <c r="C20" s="232">
        <v>22634</v>
      </c>
      <c r="D20" s="345">
        <f>'33KV FEEDER INPUT'!E30</f>
        <v>2561.0909999999999</v>
      </c>
      <c r="E20" s="332">
        <f>E19</f>
        <v>45565</v>
      </c>
      <c r="F20" s="345">
        <f>'33KV FEEDER INPUT'!F30</f>
        <v>2594.3004999999998</v>
      </c>
      <c r="G20" s="332">
        <f>G19</f>
        <v>45596</v>
      </c>
      <c r="H20" s="152">
        <f>F20-D20</f>
        <v>33.209499999999935</v>
      </c>
      <c r="I20" s="152">
        <f>'33KV FEEDER INPUT'!G30</f>
        <v>120000</v>
      </c>
      <c r="J20" s="95">
        <f>'33KV FEEDER INPUT'!H30</f>
        <v>3985139.9999999921</v>
      </c>
      <c r="K20" s="95"/>
      <c r="L20" s="181"/>
      <c r="M20" s="342" t="s">
        <v>317</v>
      </c>
    </row>
    <row r="21" spans="1:13">
      <c r="A21" s="141">
        <v>6</v>
      </c>
      <c r="B21" s="346" t="s">
        <v>320</v>
      </c>
      <c r="C21" s="347" t="s">
        <v>321</v>
      </c>
      <c r="D21" s="348">
        <f>'SS INPUT'!D410</f>
        <v>437460</v>
      </c>
      <c r="E21" s="332">
        <f>E20</f>
        <v>45565</v>
      </c>
      <c r="F21" s="348">
        <f>'SS INPUT'!E410</f>
        <v>439390</v>
      </c>
      <c r="G21" s="332">
        <f>G20</f>
        <v>45596</v>
      </c>
      <c r="H21" s="152">
        <v>0</v>
      </c>
      <c r="I21" s="141">
        <v>40</v>
      </c>
      <c r="J21" s="95">
        <v>0</v>
      </c>
      <c r="K21" s="349">
        <v>0</v>
      </c>
      <c r="L21" s="242"/>
      <c r="M21" s="350" t="s">
        <v>317</v>
      </c>
    </row>
    <row r="22" spans="1:13">
      <c r="A22" s="152">
        <v>7</v>
      </c>
      <c r="B22" s="340" t="s">
        <v>322</v>
      </c>
      <c r="C22" s="168" t="s">
        <v>323</v>
      </c>
      <c r="D22" s="345">
        <f>'33KV FEEDER INPUT'!E63</f>
        <v>3281.4</v>
      </c>
      <c r="E22" s="332">
        <f>E8</f>
        <v>45565</v>
      </c>
      <c r="F22" s="345">
        <f>'33KV FEEDER INPUT'!F63</f>
        <v>3313.8</v>
      </c>
      <c r="G22" s="332">
        <f>G8</f>
        <v>45596</v>
      </c>
      <c r="H22" s="152">
        <f>F22-D22</f>
        <v>32.400000000000091</v>
      </c>
      <c r="I22" s="141">
        <v>1000</v>
      </c>
      <c r="J22" s="349">
        <f>'33KV FEEDER INPUT'!H62</f>
        <v>0</v>
      </c>
      <c r="K22" s="95"/>
      <c r="L22" s="95"/>
      <c r="M22" s="351" t="s">
        <v>324</v>
      </c>
    </row>
    <row r="23" spans="1:13">
      <c r="A23" s="152"/>
      <c r="B23" s="340" t="s">
        <v>322</v>
      </c>
      <c r="C23" s="168" t="s">
        <v>325</v>
      </c>
      <c r="D23" s="345">
        <f>'33KV FEEDER INPUT'!E63</f>
        <v>3281.4</v>
      </c>
      <c r="E23" s="332">
        <f>E22</f>
        <v>45565</v>
      </c>
      <c r="F23" s="345">
        <f>'33KV FEEDER INPUT'!F63</f>
        <v>3313.8</v>
      </c>
      <c r="G23" s="332">
        <f>G22</f>
        <v>45596</v>
      </c>
      <c r="H23" s="152">
        <f>F23-D23</f>
        <v>32.400000000000091</v>
      </c>
      <c r="I23" s="141">
        <v>60000</v>
      </c>
      <c r="J23" s="349">
        <f>'33KV FEEDER INPUT'!H63</f>
        <v>3888000.0000000107</v>
      </c>
      <c r="K23" s="242"/>
      <c r="L23" s="181"/>
    </row>
    <row r="24" spans="1:13">
      <c r="A24" s="141">
        <v>8</v>
      </c>
      <c r="B24" s="352" t="s">
        <v>326</v>
      </c>
      <c r="C24" s="168" t="s">
        <v>327</v>
      </c>
      <c r="D24" s="353">
        <v>225050</v>
      </c>
      <c r="E24" s="331">
        <f>E22</f>
        <v>45565</v>
      </c>
      <c r="F24" s="353">
        <v>225050</v>
      </c>
      <c r="G24" s="332">
        <f>G22</f>
        <v>45596</v>
      </c>
      <c r="H24" s="141">
        <f>F24-D24</f>
        <v>0</v>
      </c>
      <c r="I24" s="141">
        <v>80</v>
      </c>
      <c r="J24" s="95">
        <f>H24*I24+L24</f>
        <v>0</v>
      </c>
      <c r="K24" s="95"/>
      <c r="L24" s="354"/>
      <c r="M24" s="355" t="s">
        <v>303</v>
      </c>
    </row>
    <row r="25" spans="1:13">
      <c r="A25" s="141"/>
      <c r="B25" s="356" t="s">
        <v>328</v>
      </c>
      <c r="C25" s="232" t="s">
        <v>264</v>
      </c>
      <c r="D25" s="357">
        <f>'33KV FEEDER INPUT'!E96</f>
        <v>204794.7</v>
      </c>
      <c r="E25" s="332">
        <f>E24</f>
        <v>45565</v>
      </c>
      <c r="F25" s="357">
        <f>'33KV FEEDER INPUT'!F96</f>
        <v>206263.5</v>
      </c>
      <c r="G25" s="332">
        <f>G22</f>
        <v>45596</v>
      </c>
      <c r="H25" s="152">
        <f>F25-D25</f>
        <v>1468.7999999999884</v>
      </c>
      <c r="I25" s="141">
        <f>'33KV FEEDER INPUT'!G94</f>
        <v>2000</v>
      </c>
      <c r="J25" s="95">
        <f>'33KV FEEDER INPUT'!H96</f>
        <v>2956799.9999999767</v>
      </c>
      <c r="K25" s="95"/>
      <c r="L25" s="354"/>
      <c r="M25" s="355" t="s">
        <v>324</v>
      </c>
    </row>
    <row r="26" spans="1:13">
      <c r="A26" s="141"/>
      <c r="B26" s="356" t="s">
        <v>329</v>
      </c>
      <c r="C26" s="232" t="s">
        <v>267</v>
      </c>
      <c r="D26" s="358">
        <f>'33KV FEEDER INPUT'!E97</f>
        <v>800133</v>
      </c>
      <c r="E26" s="332">
        <f>E25</f>
        <v>45565</v>
      </c>
      <c r="F26" s="358">
        <f>'33KV FEEDER INPUT'!F97</f>
        <v>804820</v>
      </c>
      <c r="G26" s="332">
        <f>G24</f>
        <v>45596</v>
      </c>
      <c r="H26" s="152">
        <f>F26-D26</f>
        <v>4687</v>
      </c>
      <c r="I26" s="141">
        <v>1000</v>
      </c>
      <c r="J26" s="95">
        <f>'33KV FEEDER INPUT'!H97</f>
        <v>4687000</v>
      </c>
      <c r="K26" s="95">
        <f>'33KV FEEDER INPUT'!J94</f>
        <v>0</v>
      </c>
      <c r="L26" s="354">
        <f>'33KV FEEDER INPUT'!I96</f>
        <v>19200</v>
      </c>
      <c r="M26" s="355" t="s">
        <v>324</v>
      </c>
    </row>
    <row r="27" spans="1:13">
      <c r="A27" s="152">
        <v>9</v>
      </c>
      <c r="B27" s="359" t="s">
        <v>330</v>
      </c>
      <c r="C27" s="232"/>
      <c r="D27" s="358"/>
      <c r="E27" s="332"/>
      <c r="F27" s="153"/>
      <c r="G27" s="152"/>
      <c r="H27" s="152"/>
      <c r="I27" s="152"/>
      <c r="J27" s="95">
        <f>SUM(J18:J26)</f>
        <v>18092099.999999989</v>
      </c>
      <c r="K27" s="95"/>
      <c r="L27" s="181"/>
      <c r="M27" s="360"/>
    </row>
    <row r="28" spans="1:13" ht="15.75">
      <c r="A28" s="152"/>
      <c r="B28" s="207" t="s">
        <v>331</v>
      </c>
      <c r="C28" s="232"/>
      <c r="D28" s="361"/>
      <c r="E28" s="332"/>
      <c r="F28" s="361"/>
      <c r="G28" s="332"/>
      <c r="H28" s="152"/>
      <c r="I28" s="152"/>
      <c r="J28" s="245"/>
      <c r="K28" s="245"/>
      <c r="L28" s="313"/>
      <c r="M28" s="338"/>
    </row>
    <row r="29" spans="1:13">
      <c r="A29" s="141" t="s">
        <v>332</v>
      </c>
      <c r="B29" s="207" t="s">
        <v>333</v>
      </c>
      <c r="C29" s="232"/>
      <c r="D29" s="152"/>
      <c r="E29" s="332"/>
      <c r="F29" s="152"/>
      <c r="G29" s="332"/>
      <c r="H29" s="152"/>
      <c r="I29" s="152"/>
      <c r="J29" s="141"/>
      <c r="K29" s="141"/>
      <c r="L29" s="181"/>
      <c r="M29" s="362"/>
    </row>
    <row r="30" spans="1:13">
      <c r="A30" s="152">
        <v>1</v>
      </c>
      <c r="B30" s="151" t="s">
        <v>334</v>
      </c>
      <c r="C30" s="232" t="s">
        <v>335</v>
      </c>
      <c r="D30" s="155">
        <f>'SS INPUT'!D34</f>
        <v>38667.800000000003</v>
      </c>
      <c r="E30" s="332">
        <f>E25</f>
        <v>45565</v>
      </c>
      <c r="F30" s="155">
        <f>'SS INPUT'!E34</f>
        <v>38940.300000000003</v>
      </c>
      <c r="G30" s="332">
        <f>G25</f>
        <v>45596</v>
      </c>
      <c r="H30" s="152">
        <f>F30-D30</f>
        <v>272.5</v>
      </c>
      <c r="I30" s="152">
        <f>'SS INPUT'!G34</f>
        <v>2000</v>
      </c>
      <c r="J30" s="95">
        <f>H30*I30+K30</f>
        <v>545000</v>
      </c>
      <c r="K30" s="95">
        <f>'SS INPUT'!I34</f>
        <v>0</v>
      </c>
      <c r="L30" s="181"/>
      <c r="M30" s="363" t="s">
        <v>308</v>
      </c>
    </row>
    <row r="31" spans="1:13">
      <c r="A31" s="152">
        <v>2</v>
      </c>
      <c r="B31" s="352" t="s">
        <v>336</v>
      </c>
      <c r="C31" s="352" t="s">
        <v>337</v>
      </c>
      <c r="D31" s="364">
        <f>'SS INPUT'!D417</f>
        <v>1489.1</v>
      </c>
      <c r="E31" s="332">
        <f>E30</f>
        <v>45565</v>
      </c>
      <c r="F31" s="364">
        <f>'SS INPUT'!E417</f>
        <v>1489.1</v>
      </c>
      <c r="G31" s="332">
        <f>G25</f>
        <v>45596</v>
      </c>
      <c r="H31" s="152">
        <f>F31-D31</f>
        <v>0</v>
      </c>
      <c r="I31" s="152">
        <v>13333</v>
      </c>
      <c r="J31" s="349">
        <f>H31*I31+K31</f>
        <v>110933</v>
      </c>
      <c r="K31" s="349">
        <f>'SS INPUT'!I417</f>
        <v>110933</v>
      </c>
      <c r="L31" s="365"/>
      <c r="M31" s="366" t="s">
        <v>317</v>
      </c>
    </row>
    <row r="32" spans="1:13">
      <c r="A32" s="152">
        <v>3</v>
      </c>
      <c r="B32" s="197" t="s">
        <v>37</v>
      </c>
      <c r="C32" s="232" t="s">
        <v>338</v>
      </c>
      <c r="D32" s="155">
        <f>'SS INPUT'!D697</f>
        <v>40360</v>
      </c>
      <c r="E32" s="332">
        <f>E31</f>
        <v>45565</v>
      </c>
      <c r="F32" s="155">
        <f>'SS INPUT'!E697</f>
        <v>41400</v>
      </c>
      <c r="G32" s="332">
        <f>G31</f>
        <v>45596</v>
      </c>
      <c r="H32" s="152">
        <f>F32-D32</f>
        <v>1040</v>
      </c>
      <c r="I32" s="152">
        <v>20</v>
      </c>
      <c r="J32" s="349">
        <f>H32*I32+K36</f>
        <v>20800</v>
      </c>
      <c r="K32" s="349">
        <f>'SS INPUT'!I697</f>
        <v>0</v>
      </c>
      <c r="L32" s="181"/>
      <c r="M32" s="366" t="s">
        <v>324</v>
      </c>
    </row>
    <row r="33" spans="1:13">
      <c r="A33" s="152"/>
      <c r="B33" s="197" t="s">
        <v>339</v>
      </c>
      <c r="C33" s="248"/>
      <c r="D33" s="152"/>
      <c r="E33" s="332"/>
      <c r="F33" s="152"/>
      <c r="G33" s="332"/>
      <c r="H33" s="152"/>
      <c r="I33" s="152"/>
      <c r="J33" s="349">
        <f>'SS INPUT'!J700</f>
        <v>0</v>
      </c>
      <c r="K33" s="95"/>
      <c r="L33" s="181"/>
      <c r="M33" s="366"/>
    </row>
    <row r="34" spans="1:13">
      <c r="A34" s="367"/>
      <c r="B34" s="207" t="s">
        <v>340</v>
      </c>
      <c r="C34" s="232"/>
      <c r="D34" s="152"/>
      <c r="E34" s="332"/>
      <c r="F34" s="152"/>
      <c r="G34" s="332"/>
      <c r="H34" s="152"/>
      <c r="I34" s="152"/>
      <c r="J34" s="313">
        <f>SUM(J30:J33)</f>
        <v>676733</v>
      </c>
      <c r="K34" s="313"/>
      <c r="L34" s="368"/>
      <c r="M34" s="366"/>
    </row>
    <row r="35" spans="1:13">
      <c r="A35" s="152"/>
      <c r="B35" s="207" t="s">
        <v>341</v>
      </c>
      <c r="C35" s="232"/>
      <c r="D35" s="153"/>
      <c r="E35" s="152"/>
      <c r="F35" s="153"/>
      <c r="G35" s="152"/>
      <c r="H35" s="152"/>
      <c r="I35" s="153"/>
      <c r="J35" s="153">
        <v>0</v>
      </c>
      <c r="K35" s="153"/>
      <c r="L35" s="152"/>
      <c r="M35" s="366"/>
    </row>
    <row r="36" spans="1:13">
      <c r="A36" s="152"/>
      <c r="B36" s="133"/>
      <c r="C36" s="248"/>
      <c r="D36" s="181"/>
      <c r="E36" s="181"/>
      <c r="F36" s="181"/>
      <c r="G36" s="181"/>
      <c r="H36" s="133"/>
      <c r="I36" s="133"/>
      <c r="J36" s="133"/>
      <c r="K36" s="133"/>
      <c r="L36" s="181"/>
    </row>
    <row r="37" spans="1:13">
      <c r="A37" s="152"/>
      <c r="B37" s="151"/>
      <c r="C37" s="232"/>
      <c r="D37" s="153"/>
      <c r="E37" s="332"/>
      <c r="F37" s="153"/>
      <c r="G37" s="332"/>
      <c r="H37" s="153"/>
      <c r="I37" s="153"/>
      <c r="J37" s="349"/>
      <c r="K37" s="349"/>
      <c r="L37" s="368"/>
      <c r="M37" s="369"/>
    </row>
    <row r="38" spans="1:13">
      <c r="A38" s="152"/>
      <c r="B38" s="207" t="s">
        <v>342</v>
      </c>
      <c r="C38" s="232"/>
      <c r="D38" s="152"/>
      <c r="E38" s="332"/>
      <c r="F38" s="152"/>
      <c r="G38" s="332"/>
      <c r="H38" s="152"/>
      <c r="I38" s="152"/>
      <c r="J38" s="313">
        <f>J27+J34+J35</f>
        <v>18768832.999999989</v>
      </c>
      <c r="K38" s="313"/>
      <c r="L38" s="368"/>
      <c r="M38" s="369"/>
    </row>
    <row r="39" spans="1:13">
      <c r="A39" s="370"/>
      <c r="B39" s="168" t="s">
        <v>343</v>
      </c>
      <c r="C39" s="232"/>
      <c r="D39" s="152"/>
      <c r="E39" s="152"/>
      <c r="F39" s="152"/>
      <c r="G39" s="152"/>
      <c r="H39" s="152"/>
      <c r="I39" s="152"/>
      <c r="J39" s="313">
        <f>'33 KV HT'!M154</f>
        <v>0</v>
      </c>
      <c r="K39" s="313"/>
      <c r="L39" s="152"/>
      <c r="M39" s="294"/>
    </row>
    <row r="40" spans="1:13">
      <c r="A40" s="133"/>
      <c r="B40" s="168" t="s">
        <v>344</v>
      </c>
      <c r="C40" s="232"/>
      <c r="D40" s="152"/>
      <c r="E40" s="152"/>
      <c r="F40" s="159">
        <f>J28+J39</f>
        <v>0</v>
      </c>
      <c r="G40" s="152"/>
      <c r="H40" s="152"/>
      <c r="I40" s="152"/>
      <c r="J40" s="371">
        <f>SUM(J38:J39)</f>
        <v>18768832.999999989</v>
      </c>
      <c r="K40" s="313"/>
      <c r="L40" s="238"/>
      <c r="M40" s="372" t="s">
        <v>324</v>
      </c>
    </row>
    <row r="41" spans="1:13">
      <c r="A41" s="133"/>
      <c r="B41" s="354"/>
      <c r="C41" s="373"/>
      <c r="D41" s="354"/>
      <c r="E41" s="354"/>
      <c r="F41" s="354"/>
      <c r="G41" s="354"/>
      <c r="H41" s="354"/>
      <c r="I41" s="354"/>
      <c r="J41" s="149"/>
      <c r="K41" s="149"/>
      <c r="L41" s="152"/>
      <c r="M41" s="294"/>
    </row>
    <row r="42" spans="1:13">
      <c r="A42" s="133"/>
      <c r="B42" s="354"/>
      <c r="C42" s="373"/>
      <c r="D42" s="354"/>
      <c r="E42" s="354"/>
      <c r="F42" s="354"/>
      <c r="G42" s="354"/>
      <c r="H42" s="354"/>
      <c r="I42" s="354"/>
      <c r="J42" s="149"/>
      <c r="K42" s="149"/>
      <c r="L42" s="374"/>
      <c r="M42" s="375"/>
    </row>
    <row r="46" spans="1:13">
      <c r="F46" s="136">
        <v>161721659</v>
      </c>
    </row>
    <row r="47" spans="1:13">
      <c r="F47" s="136">
        <v>489518</v>
      </c>
    </row>
    <row r="48" spans="1:13">
      <c r="F48" s="136">
        <f>SUM(F46-F47)</f>
        <v>161232141</v>
      </c>
    </row>
  </sheetData>
  <mergeCells count="4">
    <mergeCell ref="A1:F1"/>
    <mergeCell ref="G1:H1"/>
    <mergeCell ref="A3:B3"/>
    <mergeCell ref="D4:F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Q1066"/>
  <sheetViews>
    <sheetView topLeftCell="A261" zoomScaleNormal="100" workbookViewId="0">
      <selection activeCell="D282" sqref="D282"/>
    </sheetView>
  </sheetViews>
  <sheetFormatPr defaultRowHeight="15"/>
  <cols>
    <col min="1" max="1" width="5.140625" style="376" customWidth="1"/>
    <col min="2" max="2" width="17.28515625" style="376" customWidth="1"/>
    <col min="3" max="3" width="10.85546875" style="377" customWidth="1"/>
    <col min="4" max="4" width="52.7109375" style="378" customWidth="1"/>
    <col min="5" max="5" width="11.5703125" style="376" customWidth="1"/>
    <col min="6" max="6" width="10.140625" style="376" customWidth="1"/>
    <col min="7" max="7" width="11.42578125" style="377" hidden="1"/>
    <col min="8" max="8" width="10.140625" style="377" hidden="1" customWidth="1"/>
    <col min="9" max="9" width="15.5703125" customWidth="1"/>
    <col min="10" max="22" width="8.7109375" customWidth="1"/>
    <col min="23" max="23" width="13.5703125" customWidth="1"/>
    <col min="24" max="42" width="8.7109375" customWidth="1"/>
    <col min="43" max="43" width="9.140625" style="379" customWidth="1"/>
    <col min="44" max="1025" width="8.7109375" customWidth="1"/>
  </cols>
  <sheetData>
    <row r="1" spans="1:43" ht="18.75">
      <c r="F1" s="380"/>
      <c r="I1" s="381" t="str">
        <f>'CIRCLE INPUT'!Q3</f>
        <v>OCT.2024</v>
      </c>
    </row>
    <row r="2" spans="1:43" ht="45">
      <c r="A2" s="382" t="s">
        <v>345</v>
      </c>
      <c r="B2" s="383" t="s">
        <v>346</v>
      </c>
      <c r="C2" s="384" t="s">
        <v>347</v>
      </c>
      <c r="D2" s="383" t="s">
        <v>348</v>
      </c>
      <c r="E2" s="383"/>
      <c r="F2" s="383"/>
      <c r="G2" s="383" t="s">
        <v>349</v>
      </c>
      <c r="H2" s="383" t="s">
        <v>350</v>
      </c>
      <c r="I2" s="385" t="s">
        <v>351</v>
      </c>
      <c r="AQ2" s="386" t="e">
        <f>#N/A</f>
        <v>#N/A</v>
      </c>
    </row>
    <row r="3" spans="1:43">
      <c r="A3" s="387">
        <v>1</v>
      </c>
      <c r="B3" s="388" t="s">
        <v>352</v>
      </c>
      <c r="C3" s="389">
        <v>502066</v>
      </c>
      <c r="D3" s="390" t="s">
        <v>353</v>
      </c>
      <c r="E3" s="388" t="s">
        <v>83</v>
      </c>
      <c r="F3" s="388">
        <v>33</v>
      </c>
      <c r="G3" s="391" t="s">
        <v>354</v>
      </c>
      <c r="H3" s="391">
        <v>6750863</v>
      </c>
      <c r="I3" s="181">
        <v>1095240</v>
      </c>
      <c r="K3">
        <f t="shared" ref="K3:K66" si="0">I3/L3</f>
        <v>109524</v>
      </c>
      <c r="L3">
        <v>10</v>
      </c>
      <c r="M3">
        <v>1074024</v>
      </c>
      <c r="AQ3" s="379" t="e">
        <f>#N/A</f>
        <v>#N/A</v>
      </c>
    </row>
    <row r="4" spans="1:43">
      <c r="A4" s="387">
        <v>2</v>
      </c>
      <c r="B4" s="388" t="s">
        <v>355</v>
      </c>
      <c r="C4" s="389">
        <v>504003</v>
      </c>
      <c r="D4" s="392" t="s">
        <v>356</v>
      </c>
      <c r="E4" s="388" t="s">
        <v>80</v>
      </c>
      <c r="F4" s="388">
        <v>11</v>
      </c>
      <c r="G4" s="391" t="s">
        <v>354</v>
      </c>
      <c r="H4" s="391">
        <v>1261649</v>
      </c>
      <c r="I4" s="181">
        <v>97603</v>
      </c>
      <c r="K4">
        <f t="shared" si="0"/>
        <v>9760.2999999999993</v>
      </c>
      <c r="L4">
        <v>10</v>
      </c>
      <c r="M4">
        <v>96698</v>
      </c>
      <c r="AQ4" s="379" t="e">
        <f>#N/A</f>
        <v>#N/A</v>
      </c>
    </row>
    <row r="5" spans="1:43">
      <c r="A5" s="387">
        <v>3</v>
      </c>
      <c r="B5" s="329" t="s">
        <v>357</v>
      </c>
      <c r="C5" s="389">
        <v>504028</v>
      </c>
      <c r="D5" s="390" t="s">
        <v>358</v>
      </c>
      <c r="E5" s="388" t="s">
        <v>83</v>
      </c>
      <c r="F5" s="388">
        <v>11</v>
      </c>
      <c r="G5" s="391" t="s">
        <v>354</v>
      </c>
      <c r="H5" s="391">
        <v>315617</v>
      </c>
      <c r="I5" s="181">
        <v>5582</v>
      </c>
      <c r="K5">
        <f t="shared" si="0"/>
        <v>558.20000000000005</v>
      </c>
      <c r="L5">
        <v>10</v>
      </c>
      <c r="M5">
        <v>9476</v>
      </c>
      <c r="AQ5" s="379" t="e">
        <f>#N/A</f>
        <v>#N/A</v>
      </c>
    </row>
    <row r="6" spans="1:43">
      <c r="A6" s="387">
        <v>4</v>
      </c>
      <c r="B6" s="388" t="s">
        <v>359</v>
      </c>
      <c r="C6" s="389">
        <v>504033</v>
      </c>
      <c r="D6" s="390" t="s">
        <v>360</v>
      </c>
      <c r="E6" s="388" t="s">
        <v>82</v>
      </c>
      <c r="F6" s="388">
        <v>33</v>
      </c>
      <c r="G6" s="391" t="s">
        <v>354</v>
      </c>
      <c r="H6" s="391">
        <v>239382</v>
      </c>
      <c r="I6" s="181">
        <v>339550</v>
      </c>
      <c r="K6">
        <f t="shared" si="0"/>
        <v>33955</v>
      </c>
      <c r="L6">
        <v>10</v>
      </c>
      <c r="M6">
        <v>71231</v>
      </c>
      <c r="AQ6" s="379" t="e">
        <f>#N/A</f>
        <v>#N/A</v>
      </c>
    </row>
    <row r="7" spans="1:43">
      <c r="A7" s="387">
        <v>5</v>
      </c>
      <c r="B7" s="388" t="s">
        <v>361</v>
      </c>
      <c r="C7" s="389">
        <v>506001</v>
      </c>
      <c r="D7" s="392" t="s">
        <v>362</v>
      </c>
      <c r="E7" s="388" t="s">
        <v>82</v>
      </c>
      <c r="F7" s="388">
        <v>11</v>
      </c>
      <c r="G7" s="391" t="s">
        <v>354</v>
      </c>
      <c r="H7" s="391">
        <v>1633924</v>
      </c>
      <c r="I7" s="181">
        <v>199090</v>
      </c>
      <c r="K7">
        <f t="shared" si="0"/>
        <v>19909</v>
      </c>
      <c r="L7">
        <v>10</v>
      </c>
      <c r="M7">
        <v>166504</v>
      </c>
      <c r="AQ7" s="379" t="e">
        <f>#N/A</f>
        <v>#N/A</v>
      </c>
    </row>
    <row r="8" spans="1:43">
      <c r="A8" s="387">
        <v>6</v>
      </c>
      <c r="B8" s="388" t="s">
        <v>363</v>
      </c>
      <c r="C8" s="389">
        <v>508008</v>
      </c>
      <c r="D8" s="392" t="s">
        <v>364</v>
      </c>
      <c r="E8" s="388" t="s">
        <v>83</v>
      </c>
      <c r="F8" s="388">
        <v>11</v>
      </c>
      <c r="G8" s="391" t="s">
        <v>354</v>
      </c>
      <c r="H8" s="391">
        <v>1299232</v>
      </c>
      <c r="I8" s="181">
        <v>163148</v>
      </c>
      <c r="K8">
        <f t="shared" si="0"/>
        <v>16314.8</v>
      </c>
      <c r="L8">
        <v>10</v>
      </c>
      <c r="M8">
        <v>148556</v>
      </c>
      <c r="AQ8" s="379" t="e">
        <f>#N/A</f>
        <v>#N/A</v>
      </c>
    </row>
    <row r="9" spans="1:43">
      <c r="A9" s="387">
        <v>7</v>
      </c>
      <c r="B9" s="388" t="s">
        <v>365</v>
      </c>
      <c r="C9" s="389">
        <v>539004</v>
      </c>
      <c r="D9" s="393" t="s">
        <v>366</v>
      </c>
      <c r="E9" s="388" t="s">
        <v>82</v>
      </c>
      <c r="F9" s="388">
        <v>33</v>
      </c>
      <c r="G9" s="391" t="s">
        <v>354</v>
      </c>
      <c r="H9" s="391">
        <v>445935</v>
      </c>
      <c r="I9" s="181">
        <v>48326</v>
      </c>
      <c r="K9">
        <f t="shared" si="0"/>
        <v>4832.6000000000004</v>
      </c>
      <c r="L9">
        <v>10</v>
      </c>
      <c r="M9">
        <v>53723</v>
      </c>
      <c r="AQ9" s="379" t="e">
        <f>#N/A</f>
        <v>#N/A</v>
      </c>
    </row>
    <row r="10" spans="1:43">
      <c r="A10" s="387">
        <v>8</v>
      </c>
      <c r="B10" s="388" t="s">
        <v>367</v>
      </c>
      <c r="C10" s="389">
        <v>548005</v>
      </c>
      <c r="D10" s="392" t="s">
        <v>368</v>
      </c>
      <c r="E10" s="388" t="s">
        <v>82</v>
      </c>
      <c r="F10" s="388">
        <v>33</v>
      </c>
      <c r="G10" s="391" t="s">
        <v>354</v>
      </c>
      <c r="H10" s="391">
        <v>740324</v>
      </c>
      <c r="I10" s="181">
        <v>105804</v>
      </c>
      <c r="K10">
        <f t="shared" si="0"/>
        <v>10580.4</v>
      </c>
      <c r="L10">
        <v>10</v>
      </c>
      <c r="M10">
        <v>79090</v>
      </c>
      <c r="AQ10" s="379" t="e">
        <f>#N/A</f>
        <v>#N/A</v>
      </c>
    </row>
    <row r="11" spans="1:43">
      <c r="A11" s="387">
        <v>9</v>
      </c>
      <c r="B11" s="388" t="s">
        <v>369</v>
      </c>
      <c r="C11" s="389">
        <v>560007</v>
      </c>
      <c r="D11" s="393" t="s">
        <v>370</v>
      </c>
      <c r="E11" s="388" t="s">
        <v>82</v>
      </c>
      <c r="F11" s="388">
        <v>33</v>
      </c>
      <c r="G11" s="391" t="s">
        <v>354</v>
      </c>
      <c r="H11" s="391">
        <v>2749437</v>
      </c>
      <c r="I11" s="181">
        <v>254522</v>
      </c>
      <c r="K11">
        <f t="shared" si="0"/>
        <v>25452.2</v>
      </c>
      <c r="L11">
        <v>10</v>
      </c>
      <c r="M11">
        <v>299899</v>
      </c>
      <c r="AQ11" s="379" t="e">
        <f>#N/A</f>
        <v>#N/A</v>
      </c>
    </row>
    <row r="12" spans="1:43">
      <c r="A12" s="387">
        <v>10</v>
      </c>
      <c r="B12" s="388" t="s">
        <v>371</v>
      </c>
      <c r="C12" s="389">
        <v>565009</v>
      </c>
      <c r="D12" s="390" t="s">
        <v>372</v>
      </c>
      <c r="E12" s="388" t="s">
        <v>82</v>
      </c>
      <c r="F12" s="388">
        <v>33</v>
      </c>
      <c r="G12" s="391" t="s">
        <v>354</v>
      </c>
      <c r="H12" s="391">
        <v>143272</v>
      </c>
      <c r="I12" s="181">
        <v>6896</v>
      </c>
      <c r="K12">
        <f t="shared" si="0"/>
        <v>689.6</v>
      </c>
      <c r="L12">
        <v>10</v>
      </c>
      <c r="M12">
        <v>7443</v>
      </c>
      <c r="AQ12" s="379" t="e">
        <f>#N/A</f>
        <v>#N/A</v>
      </c>
    </row>
    <row r="13" spans="1:43">
      <c r="A13" s="387">
        <v>11</v>
      </c>
      <c r="B13" s="388" t="s">
        <v>373</v>
      </c>
      <c r="C13" s="389">
        <v>573017</v>
      </c>
      <c r="D13" s="390" t="s">
        <v>374</v>
      </c>
      <c r="E13" s="388" t="s">
        <v>82</v>
      </c>
      <c r="F13" s="388">
        <v>33</v>
      </c>
      <c r="G13" s="391" t="s">
        <v>354</v>
      </c>
      <c r="H13" s="391">
        <v>6936604</v>
      </c>
      <c r="I13" s="181">
        <v>1145516</v>
      </c>
      <c r="K13">
        <f t="shared" si="0"/>
        <v>114551.6</v>
      </c>
      <c r="L13">
        <v>10</v>
      </c>
      <c r="M13">
        <v>473526</v>
      </c>
      <c r="AQ13" s="379" t="e">
        <f>#N/A</f>
        <v>#N/A</v>
      </c>
    </row>
    <row r="14" spans="1:43">
      <c r="A14" s="387">
        <v>12</v>
      </c>
      <c r="B14" s="388" t="s">
        <v>375</v>
      </c>
      <c r="C14" s="389">
        <v>573018</v>
      </c>
      <c r="D14" s="393" t="s">
        <v>376</v>
      </c>
      <c r="E14" s="388" t="s">
        <v>82</v>
      </c>
      <c r="F14" s="388">
        <v>33</v>
      </c>
      <c r="G14" s="391" t="s">
        <v>354</v>
      </c>
      <c r="H14" s="391">
        <v>10147510</v>
      </c>
      <c r="I14" s="181">
        <v>1661280</v>
      </c>
      <c r="K14">
        <f t="shared" si="0"/>
        <v>166128</v>
      </c>
      <c r="L14">
        <v>10</v>
      </c>
      <c r="M14">
        <v>1683027</v>
      </c>
      <c r="AQ14" s="379" t="e">
        <f>#N/A</f>
        <v>#N/A</v>
      </c>
    </row>
    <row r="15" spans="1:43">
      <c r="A15" s="387">
        <v>13</v>
      </c>
      <c r="B15" s="388" t="s">
        <v>377</v>
      </c>
      <c r="C15" s="389">
        <v>573019</v>
      </c>
      <c r="D15" s="390" t="s">
        <v>378</v>
      </c>
      <c r="E15" s="388" t="s">
        <v>83</v>
      </c>
      <c r="F15" s="388">
        <v>11</v>
      </c>
      <c r="G15" s="391" t="s">
        <v>354</v>
      </c>
      <c r="H15" s="391">
        <v>508889</v>
      </c>
      <c r="I15" s="181">
        <v>63015</v>
      </c>
      <c r="K15">
        <f t="shared" si="0"/>
        <v>6301.5</v>
      </c>
      <c r="L15">
        <v>10</v>
      </c>
      <c r="M15">
        <v>75404</v>
      </c>
      <c r="AQ15" s="379" t="e">
        <f>#N/A</f>
        <v>#N/A</v>
      </c>
    </row>
    <row r="16" spans="1:43">
      <c r="A16" s="387">
        <v>14</v>
      </c>
      <c r="B16" s="388" t="s">
        <v>379</v>
      </c>
      <c r="C16" s="389">
        <v>574011</v>
      </c>
      <c r="D16" s="390" t="s">
        <v>380</v>
      </c>
      <c r="E16" s="388" t="s">
        <v>83</v>
      </c>
      <c r="F16" s="388">
        <v>11</v>
      </c>
      <c r="G16" s="391" t="s">
        <v>354</v>
      </c>
      <c r="H16" s="391">
        <v>42947</v>
      </c>
      <c r="I16" s="181">
        <v>7063</v>
      </c>
      <c r="K16">
        <f t="shared" si="0"/>
        <v>706.3</v>
      </c>
      <c r="L16">
        <v>10</v>
      </c>
      <c r="M16">
        <v>7195</v>
      </c>
      <c r="AQ16" s="379" t="e">
        <f>#N/A</f>
        <v>#N/A</v>
      </c>
    </row>
    <row r="17" spans="1:43" s="379" customFormat="1">
      <c r="A17" s="387">
        <v>15</v>
      </c>
      <c r="B17" s="388" t="s">
        <v>381</v>
      </c>
      <c r="C17" s="394">
        <v>574012</v>
      </c>
      <c r="D17" s="395" t="s">
        <v>382</v>
      </c>
      <c r="E17" s="396" t="s">
        <v>80</v>
      </c>
      <c r="F17" s="396">
        <v>33</v>
      </c>
      <c r="G17" s="397" t="s">
        <v>354</v>
      </c>
      <c r="H17" s="397">
        <v>458899</v>
      </c>
      <c r="I17" s="181">
        <v>144436</v>
      </c>
      <c r="K17" s="379">
        <f t="shared" si="0"/>
        <v>14443.6</v>
      </c>
      <c r="L17" s="379">
        <v>10</v>
      </c>
      <c r="M17" s="379">
        <v>129003</v>
      </c>
      <c r="AQ17" s="379" t="e">
        <f>#N/A</f>
        <v>#N/A</v>
      </c>
    </row>
    <row r="18" spans="1:43" s="379" customFormat="1">
      <c r="A18" s="387">
        <v>16</v>
      </c>
      <c r="B18" s="329" t="s">
        <v>383</v>
      </c>
      <c r="C18" s="389">
        <v>575009</v>
      </c>
      <c r="D18" s="390" t="s">
        <v>384</v>
      </c>
      <c r="E18" s="388" t="s">
        <v>82</v>
      </c>
      <c r="F18" s="388">
        <v>11</v>
      </c>
      <c r="G18" s="391" t="s">
        <v>354</v>
      </c>
      <c r="H18" s="391">
        <v>174168</v>
      </c>
      <c r="I18" s="181">
        <v>13433</v>
      </c>
      <c r="K18" s="379">
        <f t="shared" si="0"/>
        <v>1343.3</v>
      </c>
      <c r="L18" s="379">
        <v>10</v>
      </c>
      <c r="M18" s="379">
        <v>14827</v>
      </c>
      <c r="AQ18" s="379" t="e">
        <f>#N/A</f>
        <v>#N/A</v>
      </c>
    </row>
    <row r="19" spans="1:43" s="379" customFormat="1">
      <c r="A19" s="387">
        <v>17</v>
      </c>
      <c r="B19" s="388" t="s">
        <v>385</v>
      </c>
      <c r="C19" s="389">
        <v>595012</v>
      </c>
      <c r="D19" s="393" t="s">
        <v>386</v>
      </c>
      <c r="E19" s="388" t="s">
        <v>80</v>
      </c>
      <c r="F19" s="388">
        <v>11</v>
      </c>
      <c r="G19" s="391" t="s">
        <v>354</v>
      </c>
      <c r="H19" s="391">
        <v>65825</v>
      </c>
      <c r="I19" s="181">
        <v>0</v>
      </c>
      <c r="K19" s="379">
        <f t="shared" si="0"/>
        <v>0</v>
      </c>
      <c r="L19" s="379">
        <v>10</v>
      </c>
      <c r="M19" s="379">
        <v>0</v>
      </c>
      <c r="AQ19" s="379" t="e">
        <f>#N/A</f>
        <v>#N/A</v>
      </c>
    </row>
    <row r="20" spans="1:43" s="379" customFormat="1">
      <c r="A20" s="387">
        <v>18</v>
      </c>
      <c r="B20" s="329" t="s">
        <v>387</v>
      </c>
      <c r="C20" s="389">
        <v>595029</v>
      </c>
      <c r="D20" s="390" t="s">
        <v>388</v>
      </c>
      <c r="E20" s="388" t="s">
        <v>82</v>
      </c>
      <c r="F20" s="388">
        <v>33</v>
      </c>
      <c r="G20" s="391" t="s">
        <v>354</v>
      </c>
      <c r="H20" s="391">
        <v>156653</v>
      </c>
      <c r="I20" s="181">
        <v>10929</v>
      </c>
      <c r="K20" s="379">
        <f t="shared" si="0"/>
        <v>1092.9000000000001</v>
      </c>
      <c r="L20" s="379">
        <v>10</v>
      </c>
      <c r="M20" s="379">
        <v>13918</v>
      </c>
      <c r="AQ20" s="379" t="e">
        <f>#N/A</f>
        <v>#N/A</v>
      </c>
    </row>
    <row r="21" spans="1:43" s="379" customFormat="1">
      <c r="A21" s="387">
        <v>19</v>
      </c>
      <c r="B21" s="388" t="s">
        <v>389</v>
      </c>
      <c r="C21" s="389">
        <v>596069</v>
      </c>
      <c r="D21" s="390" t="s">
        <v>390</v>
      </c>
      <c r="E21" s="388" t="s">
        <v>83</v>
      </c>
      <c r="F21" s="388">
        <v>11</v>
      </c>
      <c r="G21" s="391" t="s">
        <v>354</v>
      </c>
      <c r="H21" s="391">
        <v>291106</v>
      </c>
      <c r="I21" s="181">
        <v>33588</v>
      </c>
      <c r="K21" s="379">
        <f t="shared" si="0"/>
        <v>3358.8</v>
      </c>
      <c r="L21" s="379">
        <v>10</v>
      </c>
      <c r="M21" s="379">
        <v>39643</v>
      </c>
      <c r="AQ21" s="379" t="e">
        <f>#N/A</f>
        <v>#N/A</v>
      </c>
    </row>
    <row r="22" spans="1:43" s="379" customFormat="1">
      <c r="A22" s="387">
        <v>20</v>
      </c>
      <c r="B22" s="388" t="s">
        <v>391</v>
      </c>
      <c r="C22" s="389">
        <v>596089</v>
      </c>
      <c r="D22" s="390" t="s">
        <v>392</v>
      </c>
      <c r="E22" s="388" t="s">
        <v>82</v>
      </c>
      <c r="F22" s="388">
        <v>11</v>
      </c>
      <c r="G22" s="391" t="s">
        <v>354</v>
      </c>
      <c r="H22" s="391">
        <v>206731</v>
      </c>
      <c r="I22" s="181">
        <v>32675</v>
      </c>
      <c r="K22" s="379">
        <f t="shared" si="0"/>
        <v>3267.5</v>
      </c>
      <c r="L22" s="379">
        <v>10</v>
      </c>
      <c r="M22" s="379">
        <v>38257</v>
      </c>
      <c r="AQ22" s="379" t="e">
        <f>#N/A</f>
        <v>#N/A</v>
      </c>
    </row>
    <row r="23" spans="1:43" s="379" customFormat="1">
      <c r="A23" s="387">
        <v>21</v>
      </c>
      <c r="B23" s="388" t="s">
        <v>393</v>
      </c>
      <c r="C23" s="389">
        <v>596092</v>
      </c>
      <c r="D23" s="390" t="s">
        <v>394</v>
      </c>
      <c r="E23" s="388" t="s">
        <v>82</v>
      </c>
      <c r="F23" s="388">
        <v>11</v>
      </c>
      <c r="G23" s="391" t="s">
        <v>354</v>
      </c>
      <c r="H23" s="391">
        <v>67236</v>
      </c>
      <c r="I23" s="181">
        <v>9999</v>
      </c>
      <c r="K23" s="379">
        <f t="shared" si="0"/>
        <v>999.9</v>
      </c>
      <c r="L23" s="379">
        <v>10</v>
      </c>
      <c r="M23" s="379">
        <v>10683</v>
      </c>
      <c r="AQ23" s="379" t="e">
        <f>#N/A</f>
        <v>#N/A</v>
      </c>
    </row>
    <row r="24" spans="1:43" s="379" customFormat="1">
      <c r="A24" s="387">
        <v>22</v>
      </c>
      <c r="B24" s="388" t="s">
        <v>395</v>
      </c>
      <c r="C24" s="389">
        <v>596095</v>
      </c>
      <c r="D24" s="390" t="s">
        <v>396</v>
      </c>
      <c r="E24" s="388" t="s">
        <v>82</v>
      </c>
      <c r="F24" s="388">
        <v>33</v>
      </c>
      <c r="G24" s="391" t="s">
        <v>354</v>
      </c>
      <c r="H24" s="391">
        <v>325829</v>
      </c>
      <c r="I24" s="181">
        <v>52809</v>
      </c>
      <c r="K24" s="379">
        <f t="shared" si="0"/>
        <v>5280.9</v>
      </c>
      <c r="L24" s="379">
        <v>10</v>
      </c>
      <c r="M24" s="379">
        <v>32832</v>
      </c>
      <c r="AQ24" s="379" t="e">
        <f>#N/A</f>
        <v>#N/A</v>
      </c>
    </row>
    <row r="25" spans="1:43" s="379" customFormat="1">
      <c r="A25" s="387">
        <v>23</v>
      </c>
      <c r="B25" s="388" t="s">
        <v>397</v>
      </c>
      <c r="C25" s="389">
        <v>596103</v>
      </c>
      <c r="D25" s="398" t="s">
        <v>398</v>
      </c>
      <c r="E25" s="388" t="s">
        <v>82</v>
      </c>
      <c r="F25" s="388">
        <v>11</v>
      </c>
      <c r="G25" s="391" t="s">
        <v>354</v>
      </c>
      <c r="H25" s="391">
        <v>59991</v>
      </c>
      <c r="I25" s="181">
        <v>0</v>
      </c>
      <c r="K25" s="379">
        <f t="shared" si="0"/>
        <v>0</v>
      </c>
      <c r="L25" s="379">
        <v>10</v>
      </c>
      <c r="M25" s="379">
        <v>2020</v>
      </c>
      <c r="AQ25" s="379" t="e">
        <f>#N/A</f>
        <v>#N/A</v>
      </c>
    </row>
    <row r="26" spans="1:43" s="379" customFormat="1">
      <c r="A26" s="387">
        <v>24</v>
      </c>
      <c r="B26" s="388" t="s">
        <v>399</v>
      </c>
      <c r="C26" s="389">
        <v>596105</v>
      </c>
      <c r="D26" s="390" t="s">
        <v>400</v>
      </c>
      <c r="E26" s="388" t="s">
        <v>82</v>
      </c>
      <c r="F26" s="388">
        <v>33</v>
      </c>
      <c r="G26" s="391" t="s">
        <v>354</v>
      </c>
      <c r="H26" s="391">
        <v>781153</v>
      </c>
      <c r="I26" s="181">
        <v>85842</v>
      </c>
      <c r="K26" s="379">
        <f t="shared" si="0"/>
        <v>8584.2000000000007</v>
      </c>
      <c r="L26" s="379">
        <v>10</v>
      </c>
      <c r="M26" s="379">
        <v>107357</v>
      </c>
      <c r="AQ26" s="379" t="e">
        <f>#N/A</f>
        <v>#N/A</v>
      </c>
    </row>
    <row r="27" spans="1:43" s="379" customFormat="1">
      <c r="A27" s="387">
        <v>25</v>
      </c>
      <c r="B27" s="388" t="s">
        <v>401</v>
      </c>
      <c r="C27" s="389">
        <v>596108</v>
      </c>
      <c r="D27" s="393" t="s">
        <v>402</v>
      </c>
      <c r="E27" s="388" t="s">
        <v>82</v>
      </c>
      <c r="F27" s="388">
        <v>33</v>
      </c>
      <c r="G27" s="391" t="s">
        <v>354</v>
      </c>
      <c r="H27" s="391">
        <v>821109</v>
      </c>
      <c r="I27" s="181">
        <v>172728</v>
      </c>
      <c r="K27" s="379">
        <f t="shared" si="0"/>
        <v>17272.8</v>
      </c>
      <c r="L27" s="379">
        <v>10</v>
      </c>
      <c r="M27" s="379">
        <v>145503</v>
      </c>
      <c r="AQ27" s="379" t="e">
        <f>#N/A</f>
        <v>#N/A</v>
      </c>
    </row>
    <row r="28" spans="1:43" s="379" customFormat="1">
      <c r="A28" s="387">
        <v>26</v>
      </c>
      <c r="B28" s="388" t="s">
        <v>403</v>
      </c>
      <c r="C28" s="389">
        <v>596113</v>
      </c>
      <c r="D28" s="392" t="s">
        <v>404</v>
      </c>
      <c r="E28" s="388" t="s">
        <v>82</v>
      </c>
      <c r="F28" s="388">
        <v>33</v>
      </c>
      <c r="G28" s="391" t="s">
        <v>354</v>
      </c>
      <c r="H28" s="391">
        <v>596695</v>
      </c>
      <c r="I28" s="181">
        <v>27444</v>
      </c>
      <c r="K28" s="379">
        <f t="shared" si="0"/>
        <v>2744.4</v>
      </c>
      <c r="L28" s="379">
        <v>10</v>
      </c>
      <c r="M28" s="379">
        <v>21438</v>
      </c>
      <c r="AQ28" s="379" t="e">
        <f>#N/A</f>
        <v>#N/A</v>
      </c>
    </row>
    <row r="29" spans="1:43" s="379" customFormat="1">
      <c r="A29" s="387">
        <v>27</v>
      </c>
      <c r="B29" s="388" t="s">
        <v>405</v>
      </c>
      <c r="C29" s="389">
        <v>596117</v>
      </c>
      <c r="D29" s="390" t="s">
        <v>406</v>
      </c>
      <c r="E29" s="388" t="s">
        <v>82</v>
      </c>
      <c r="F29" s="388">
        <v>33</v>
      </c>
      <c r="G29" s="391" t="s">
        <v>354</v>
      </c>
      <c r="H29" s="391">
        <v>1761155</v>
      </c>
      <c r="I29" s="181">
        <v>225369</v>
      </c>
      <c r="K29" s="379">
        <f t="shared" si="0"/>
        <v>22536.9</v>
      </c>
      <c r="L29" s="379">
        <v>10</v>
      </c>
      <c r="M29" s="379">
        <v>160285</v>
      </c>
      <c r="AQ29" s="379" t="e">
        <f>#N/A</f>
        <v>#N/A</v>
      </c>
    </row>
    <row r="30" spans="1:43" s="379" customFormat="1">
      <c r="A30" s="387">
        <v>28</v>
      </c>
      <c r="B30" s="388" t="s">
        <v>407</v>
      </c>
      <c r="C30" s="389">
        <v>596126</v>
      </c>
      <c r="D30" s="392" t="s">
        <v>408</v>
      </c>
      <c r="E30" s="388" t="s">
        <v>82</v>
      </c>
      <c r="F30" s="388">
        <v>33</v>
      </c>
      <c r="G30" s="391" t="s">
        <v>354</v>
      </c>
      <c r="H30" s="391">
        <v>223216</v>
      </c>
      <c r="I30" s="181">
        <v>12132</v>
      </c>
      <c r="K30" s="379">
        <f t="shared" si="0"/>
        <v>1213.2</v>
      </c>
      <c r="L30" s="379">
        <v>10</v>
      </c>
      <c r="M30" s="379">
        <v>1924</v>
      </c>
      <c r="AQ30" s="379" t="e">
        <f>#N/A</f>
        <v>#N/A</v>
      </c>
    </row>
    <row r="31" spans="1:43" s="379" customFormat="1">
      <c r="A31" s="387">
        <v>29</v>
      </c>
      <c r="B31" s="388" t="s">
        <v>409</v>
      </c>
      <c r="C31" s="389">
        <v>596128</v>
      </c>
      <c r="D31" s="390" t="s">
        <v>410</v>
      </c>
      <c r="E31" s="388" t="s">
        <v>83</v>
      </c>
      <c r="F31" s="388">
        <v>11</v>
      </c>
      <c r="G31" s="391" t="s">
        <v>354</v>
      </c>
      <c r="H31" s="391">
        <v>430450</v>
      </c>
      <c r="I31" s="181">
        <v>22706</v>
      </c>
      <c r="K31" s="379">
        <f t="shared" si="0"/>
        <v>2270.6</v>
      </c>
      <c r="L31" s="379">
        <v>10</v>
      </c>
      <c r="M31" s="379">
        <v>31578</v>
      </c>
      <c r="AQ31" s="379" t="e">
        <f>#N/A</f>
        <v>#N/A</v>
      </c>
    </row>
    <row r="32" spans="1:43" s="379" customFormat="1">
      <c r="A32" s="387">
        <v>30</v>
      </c>
      <c r="B32" s="388" t="s">
        <v>411</v>
      </c>
      <c r="C32" s="389">
        <v>596133</v>
      </c>
      <c r="D32" s="390" t="s">
        <v>412</v>
      </c>
      <c r="E32" s="388" t="s">
        <v>80</v>
      </c>
      <c r="F32" s="388">
        <v>11</v>
      </c>
      <c r="G32" s="391" t="s">
        <v>354</v>
      </c>
      <c r="H32" s="391">
        <v>303771</v>
      </c>
      <c r="I32" s="181">
        <v>37501</v>
      </c>
      <c r="K32" s="379">
        <f t="shared" si="0"/>
        <v>3750.1</v>
      </c>
      <c r="L32" s="379">
        <v>10</v>
      </c>
      <c r="M32" s="379">
        <v>41412</v>
      </c>
      <c r="AQ32" s="379" t="e">
        <f>#N/A</f>
        <v>#N/A</v>
      </c>
    </row>
    <row r="33" spans="1:43" s="379" customFormat="1">
      <c r="A33" s="387">
        <v>31</v>
      </c>
      <c r="B33" s="388" t="s">
        <v>413</v>
      </c>
      <c r="C33" s="389">
        <v>596136</v>
      </c>
      <c r="D33" s="390" t="s">
        <v>414</v>
      </c>
      <c r="E33" s="388" t="s">
        <v>82</v>
      </c>
      <c r="F33" s="388">
        <v>11</v>
      </c>
      <c r="G33" s="391" t="s">
        <v>354</v>
      </c>
      <c r="H33" s="391">
        <v>100138</v>
      </c>
      <c r="I33" s="181">
        <v>16243</v>
      </c>
      <c r="K33" s="379">
        <f t="shared" si="0"/>
        <v>1624.3</v>
      </c>
      <c r="L33" s="379">
        <v>10</v>
      </c>
      <c r="M33" s="379">
        <v>14472</v>
      </c>
      <c r="AQ33" s="379" t="e">
        <f>#N/A</f>
        <v>#N/A</v>
      </c>
    </row>
    <row r="34" spans="1:43" s="379" customFormat="1">
      <c r="A34" s="387">
        <v>32</v>
      </c>
      <c r="B34" s="388" t="s">
        <v>415</v>
      </c>
      <c r="C34" s="389">
        <v>596137</v>
      </c>
      <c r="D34" s="390" t="s">
        <v>416</v>
      </c>
      <c r="E34" s="388" t="s">
        <v>82</v>
      </c>
      <c r="F34" s="388">
        <v>11</v>
      </c>
      <c r="G34" s="391" t="s">
        <v>354</v>
      </c>
      <c r="H34" s="391">
        <v>105173</v>
      </c>
      <c r="I34" s="181">
        <v>14403</v>
      </c>
      <c r="K34" s="379">
        <f t="shared" si="0"/>
        <v>1440.3</v>
      </c>
      <c r="L34" s="379">
        <v>10</v>
      </c>
      <c r="M34" s="379">
        <v>12413</v>
      </c>
      <c r="AQ34" s="379" t="e">
        <f>#N/A</f>
        <v>#N/A</v>
      </c>
    </row>
    <row r="35" spans="1:43" s="379" customFormat="1">
      <c r="A35" s="387">
        <v>33</v>
      </c>
      <c r="B35" s="388" t="s">
        <v>417</v>
      </c>
      <c r="C35" s="389">
        <v>596140</v>
      </c>
      <c r="D35" s="393" t="s">
        <v>418</v>
      </c>
      <c r="E35" s="388" t="s">
        <v>83</v>
      </c>
      <c r="F35" s="388">
        <v>11</v>
      </c>
      <c r="G35" s="391" t="s">
        <v>354</v>
      </c>
      <c r="H35" s="391">
        <v>797071</v>
      </c>
      <c r="I35" s="181">
        <v>128628</v>
      </c>
      <c r="K35" s="379">
        <f t="shared" si="0"/>
        <v>12862.8</v>
      </c>
      <c r="L35" s="379">
        <v>10</v>
      </c>
      <c r="M35" s="379">
        <v>88681</v>
      </c>
      <c r="AQ35" s="379" t="e">
        <f>#N/A</f>
        <v>#N/A</v>
      </c>
    </row>
    <row r="36" spans="1:43" s="379" customFormat="1">
      <c r="A36" s="387">
        <v>34</v>
      </c>
      <c r="B36" s="329" t="s">
        <v>419</v>
      </c>
      <c r="C36" s="389">
        <v>596141</v>
      </c>
      <c r="D36" s="390" t="s">
        <v>420</v>
      </c>
      <c r="E36" s="388" t="s">
        <v>82</v>
      </c>
      <c r="F36" s="388">
        <v>11</v>
      </c>
      <c r="G36" s="391" t="s">
        <v>354</v>
      </c>
      <c r="H36" s="391">
        <v>271087</v>
      </c>
      <c r="I36" s="181">
        <v>33985</v>
      </c>
      <c r="K36" s="379">
        <f t="shared" si="0"/>
        <v>3398.5</v>
      </c>
      <c r="L36" s="379">
        <v>10</v>
      </c>
      <c r="M36" s="379">
        <v>33052</v>
      </c>
      <c r="AQ36" s="379" t="e">
        <f>#N/A</f>
        <v>#N/A</v>
      </c>
    </row>
    <row r="37" spans="1:43" s="379" customFormat="1">
      <c r="A37" s="387">
        <v>35</v>
      </c>
      <c r="B37" s="388" t="s">
        <v>421</v>
      </c>
      <c r="C37" s="389">
        <v>596142</v>
      </c>
      <c r="D37" s="392" t="s">
        <v>422</v>
      </c>
      <c r="E37" s="388" t="s">
        <v>82</v>
      </c>
      <c r="F37" s="388">
        <v>11</v>
      </c>
      <c r="G37" s="391" t="s">
        <v>354</v>
      </c>
      <c r="H37" s="391">
        <v>366620</v>
      </c>
      <c r="I37" s="181">
        <v>52352</v>
      </c>
      <c r="K37" s="379">
        <f t="shared" si="0"/>
        <v>5235.2</v>
      </c>
      <c r="L37" s="379">
        <v>10</v>
      </c>
      <c r="M37" s="379">
        <v>43809</v>
      </c>
      <c r="AQ37" s="379" t="e">
        <f>#N/A</f>
        <v>#N/A</v>
      </c>
    </row>
    <row r="38" spans="1:43" s="379" customFormat="1">
      <c r="A38" s="387">
        <v>36</v>
      </c>
      <c r="B38" s="388" t="s">
        <v>423</v>
      </c>
      <c r="C38" s="389">
        <v>596143</v>
      </c>
      <c r="D38" s="393" t="s">
        <v>424</v>
      </c>
      <c r="E38" s="388" t="s">
        <v>83</v>
      </c>
      <c r="F38" s="388">
        <v>33</v>
      </c>
      <c r="G38" s="391" t="s">
        <v>354</v>
      </c>
      <c r="H38" s="391">
        <v>1924926</v>
      </c>
      <c r="I38" s="181">
        <v>317244</v>
      </c>
      <c r="K38" s="379">
        <f t="shared" si="0"/>
        <v>31724.400000000001</v>
      </c>
      <c r="L38" s="379">
        <v>10</v>
      </c>
      <c r="M38" s="379">
        <v>199717</v>
      </c>
      <c r="AQ38" s="379" t="e">
        <f>#N/A</f>
        <v>#N/A</v>
      </c>
    </row>
    <row r="39" spans="1:43" s="379" customFormat="1">
      <c r="A39" s="387">
        <v>37</v>
      </c>
      <c r="B39" s="329" t="s">
        <v>425</v>
      </c>
      <c r="C39" s="389">
        <v>596144</v>
      </c>
      <c r="D39" s="390" t="s">
        <v>426</v>
      </c>
      <c r="E39" s="388" t="s">
        <v>82</v>
      </c>
      <c r="F39" s="388">
        <v>11</v>
      </c>
      <c r="G39" s="391" t="s">
        <v>354</v>
      </c>
      <c r="H39" s="391">
        <v>240283</v>
      </c>
      <c r="I39" s="181">
        <v>16211</v>
      </c>
      <c r="K39" s="379">
        <f t="shared" si="0"/>
        <v>1621.1</v>
      </c>
      <c r="L39" s="379">
        <v>10</v>
      </c>
      <c r="M39" s="379">
        <v>24336</v>
      </c>
      <c r="AQ39" s="379" t="e">
        <f>#N/A</f>
        <v>#N/A</v>
      </c>
    </row>
    <row r="40" spans="1:43" s="379" customFormat="1">
      <c r="A40" s="387">
        <v>38</v>
      </c>
      <c r="B40" s="388" t="s">
        <v>427</v>
      </c>
      <c r="C40" s="389">
        <v>596147</v>
      </c>
      <c r="D40" s="390" t="s">
        <v>428</v>
      </c>
      <c r="E40" s="388" t="s">
        <v>82</v>
      </c>
      <c r="F40" s="388">
        <v>33</v>
      </c>
      <c r="G40" s="391" t="s">
        <v>354</v>
      </c>
      <c r="H40" s="391">
        <v>2624647</v>
      </c>
      <c r="I40" s="181">
        <v>343455</v>
      </c>
      <c r="K40" s="379">
        <f t="shared" si="0"/>
        <v>34345.5</v>
      </c>
      <c r="L40" s="379">
        <v>10</v>
      </c>
      <c r="M40" s="379">
        <v>355752</v>
      </c>
      <c r="AQ40" s="379" t="e">
        <f>#N/A</f>
        <v>#N/A</v>
      </c>
    </row>
    <row r="41" spans="1:43" s="379" customFormat="1">
      <c r="A41" s="387">
        <v>39</v>
      </c>
      <c r="B41" s="388" t="s">
        <v>429</v>
      </c>
      <c r="C41" s="389">
        <v>596150</v>
      </c>
      <c r="D41" s="390" t="s">
        <v>430</v>
      </c>
      <c r="E41" s="388" t="s">
        <v>83</v>
      </c>
      <c r="F41" s="388">
        <v>11</v>
      </c>
      <c r="G41" s="391" t="s">
        <v>354</v>
      </c>
      <c r="H41" s="391">
        <v>85131</v>
      </c>
      <c r="I41" s="181">
        <v>20935</v>
      </c>
      <c r="K41" s="379">
        <f t="shared" si="0"/>
        <v>2093.5</v>
      </c>
      <c r="L41" s="379">
        <v>10</v>
      </c>
      <c r="M41" s="379">
        <v>17914</v>
      </c>
      <c r="AQ41" s="379" t="e">
        <f>#N/A</f>
        <v>#N/A</v>
      </c>
    </row>
    <row r="42" spans="1:43" s="379" customFormat="1">
      <c r="A42" s="387">
        <v>40</v>
      </c>
      <c r="B42" s="388" t="s">
        <v>431</v>
      </c>
      <c r="C42" s="389">
        <v>596151</v>
      </c>
      <c r="D42" s="390" t="s">
        <v>432</v>
      </c>
      <c r="E42" s="388" t="s">
        <v>81</v>
      </c>
      <c r="F42" s="388">
        <v>11</v>
      </c>
      <c r="G42" s="391" t="s">
        <v>354</v>
      </c>
      <c r="H42" s="391">
        <v>45753</v>
      </c>
      <c r="I42" s="181">
        <v>4398</v>
      </c>
      <c r="K42" s="379">
        <f t="shared" si="0"/>
        <v>439.8</v>
      </c>
      <c r="L42" s="379">
        <v>10</v>
      </c>
      <c r="M42" s="379">
        <v>4221</v>
      </c>
      <c r="AQ42" s="379" t="e">
        <f>#N/A</f>
        <v>#N/A</v>
      </c>
    </row>
    <row r="43" spans="1:43" s="379" customFormat="1">
      <c r="A43" s="387">
        <v>41</v>
      </c>
      <c r="B43" s="388" t="s">
        <v>433</v>
      </c>
      <c r="C43" s="389">
        <v>596152</v>
      </c>
      <c r="D43" s="390" t="s">
        <v>434</v>
      </c>
      <c r="E43" s="388" t="s">
        <v>80</v>
      </c>
      <c r="F43" s="388">
        <v>11</v>
      </c>
      <c r="G43" s="391" t="s">
        <v>354</v>
      </c>
      <c r="H43" s="391">
        <v>149186</v>
      </c>
      <c r="I43" s="181">
        <v>24990</v>
      </c>
      <c r="K43" s="379">
        <f t="shared" si="0"/>
        <v>2499</v>
      </c>
      <c r="L43" s="379">
        <v>10</v>
      </c>
      <c r="M43" s="379">
        <v>13205</v>
      </c>
      <c r="AQ43" s="379" t="e">
        <f>#N/A</f>
        <v>#N/A</v>
      </c>
    </row>
    <row r="44" spans="1:43" s="379" customFormat="1">
      <c r="A44" s="387">
        <v>42</v>
      </c>
      <c r="B44" s="388" t="s">
        <v>435</v>
      </c>
      <c r="C44" s="389">
        <v>596153</v>
      </c>
      <c r="D44" s="390" t="s">
        <v>436</v>
      </c>
      <c r="E44" s="388" t="s">
        <v>80</v>
      </c>
      <c r="F44" s="388">
        <v>33</v>
      </c>
      <c r="G44" s="391" t="s">
        <v>354</v>
      </c>
      <c r="H44" s="391">
        <v>888060</v>
      </c>
      <c r="I44" s="181">
        <v>95896</v>
      </c>
      <c r="K44" s="379">
        <f t="shared" si="0"/>
        <v>9589.6</v>
      </c>
      <c r="L44" s="379">
        <v>10</v>
      </c>
      <c r="M44" s="379">
        <v>119260</v>
      </c>
      <c r="AQ44" s="379" t="e">
        <f>#N/A</f>
        <v>#N/A</v>
      </c>
    </row>
    <row r="45" spans="1:43" s="379" customFormat="1">
      <c r="A45" s="387">
        <v>43</v>
      </c>
      <c r="B45" s="388" t="s">
        <v>437</v>
      </c>
      <c r="C45" s="389">
        <v>596154</v>
      </c>
      <c r="D45" s="390" t="s">
        <v>438</v>
      </c>
      <c r="E45" s="388" t="s">
        <v>83</v>
      </c>
      <c r="F45" s="388">
        <v>11</v>
      </c>
      <c r="G45" s="391" t="s">
        <v>354</v>
      </c>
      <c r="H45" s="391">
        <v>108526</v>
      </c>
      <c r="I45" s="181">
        <v>22221</v>
      </c>
      <c r="K45" s="379">
        <f t="shared" si="0"/>
        <v>2222.1</v>
      </c>
      <c r="L45" s="379">
        <v>10</v>
      </c>
      <c r="M45" s="379">
        <v>18639</v>
      </c>
      <c r="AQ45" s="379" t="e">
        <f>#N/A</f>
        <v>#N/A</v>
      </c>
    </row>
    <row r="46" spans="1:43" s="379" customFormat="1">
      <c r="A46" s="387">
        <v>44</v>
      </c>
      <c r="B46" s="388" t="s">
        <v>439</v>
      </c>
      <c r="C46" s="389">
        <v>596155</v>
      </c>
      <c r="D46" s="390" t="s">
        <v>440</v>
      </c>
      <c r="E46" s="388" t="s">
        <v>82</v>
      </c>
      <c r="F46" s="388">
        <v>11</v>
      </c>
      <c r="G46" s="391" t="s">
        <v>354</v>
      </c>
      <c r="H46" s="391">
        <v>347869</v>
      </c>
      <c r="I46" s="181">
        <v>14484</v>
      </c>
      <c r="K46" s="379">
        <f t="shared" si="0"/>
        <v>1448.4</v>
      </c>
      <c r="L46" s="379">
        <v>10</v>
      </c>
      <c r="M46" s="379">
        <v>22698</v>
      </c>
      <c r="AQ46" s="379" t="e">
        <f>#N/A</f>
        <v>#N/A</v>
      </c>
    </row>
    <row r="47" spans="1:43" s="379" customFormat="1">
      <c r="A47" s="387">
        <v>45</v>
      </c>
      <c r="B47" s="388" t="s">
        <v>441</v>
      </c>
      <c r="C47" s="389">
        <v>596159</v>
      </c>
      <c r="D47" s="395" t="s">
        <v>442</v>
      </c>
      <c r="E47" s="388" t="s">
        <v>82</v>
      </c>
      <c r="F47" s="388">
        <v>33</v>
      </c>
      <c r="G47" s="391" t="s">
        <v>354</v>
      </c>
      <c r="H47" s="391">
        <v>938756</v>
      </c>
      <c r="I47" s="181">
        <v>52689</v>
      </c>
      <c r="K47" s="379">
        <f t="shared" si="0"/>
        <v>5268.9</v>
      </c>
      <c r="L47" s="379">
        <v>10</v>
      </c>
      <c r="M47" s="379">
        <v>68461</v>
      </c>
      <c r="AQ47" s="379" t="e">
        <f>#N/A</f>
        <v>#N/A</v>
      </c>
    </row>
    <row r="48" spans="1:43" s="379" customFormat="1">
      <c r="A48" s="387">
        <v>46</v>
      </c>
      <c r="B48" s="388" t="s">
        <v>443</v>
      </c>
      <c r="C48" s="389">
        <v>596162</v>
      </c>
      <c r="D48" s="390" t="s">
        <v>444</v>
      </c>
      <c r="E48" s="388" t="s">
        <v>82</v>
      </c>
      <c r="F48" s="388">
        <v>11</v>
      </c>
      <c r="G48" s="391" t="s">
        <v>354</v>
      </c>
      <c r="H48" s="391">
        <v>459767</v>
      </c>
      <c r="I48" s="181">
        <v>50795</v>
      </c>
      <c r="K48" s="379">
        <f t="shared" si="0"/>
        <v>5079.5</v>
      </c>
      <c r="L48" s="379">
        <v>10</v>
      </c>
      <c r="M48" s="379">
        <v>65258</v>
      </c>
      <c r="AQ48" s="379" t="e">
        <f>#N/A</f>
        <v>#N/A</v>
      </c>
    </row>
    <row r="49" spans="1:43" s="379" customFormat="1">
      <c r="A49" s="387">
        <v>47</v>
      </c>
      <c r="B49" s="388" t="s">
        <v>445</v>
      </c>
      <c r="C49" s="389">
        <v>596164</v>
      </c>
      <c r="D49" s="399" t="s">
        <v>446</v>
      </c>
      <c r="E49" s="388" t="s">
        <v>80</v>
      </c>
      <c r="F49" s="388">
        <v>11</v>
      </c>
      <c r="G49" s="391" t="s">
        <v>354</v>
      </c>
      <c r="H49" s="391">
        <v>406844</v>
      </c>
      <c r="I49" s="181">
        <v>45000</v>
      </c>
      <c r="K49" s="379">
        <f t="shared" si="0"/>
        <v>4500</v>
      </c>
      <c r="L49" s="379">
        <v>10</v>
      </c>
      <c r="M49" s="379">
        <v>34362</v>
      </c>
      <c r="AQ49" s="379" t="e">
        <f>#N/A</f>
        <v>#N/A</v>
      </c>
    </row>
    <row r="50" spans="1:43" s="379" customFormat="1">
      <c r="A50" s="387">
        <v>48</v>
      </c>
      <c r="B50" s="388" t="s">
        <v>447</v>
      </c>
      <c r="C50" s="389">
        <v>596165</v>
      </c>
      <c r="D50" s="390" t="s">
        <v>448</v>
      </c>
      <c r="E50" s="388" t="s">
        <v>80</v>
      </c>
      <c r="F50" s="388">
        <v>33</v>
      </c>
      <c r="G50" s="391" t="s">
        <v>354</v>
      </c>
      <c r="H50" s="391">
        <v>368058</v>
      </c>
      <c r="I50" s="181">
        <v>0</v>
      </c>
      <c r="K50" s="379">
        <f t="shared" si="0"/>
        <v>0</v>
      </c>
      <c r="L50" s="379">
        <v>10</v>
      </c>
      <c r="M50" s="379">
        <v>0</v>
      </c>
      <c r="AQ50" s="379" t="e">
        <f>#N/A</f>
        <v>#N/A</v>
      </c>
    </row>
    <row r="51" spans="1:43" s="379" customFormat="1">
      <c r="A51" s="387">
        <v>49</v>
      </c>
      <c r="B51" s="388" t="s">
        <v>449</v>
      </c>
      <c r="C51" s="389">
        <v>596166</v>
      </c>
      <c r="D51" s="393" t="s">
        <v>450</v>
      </c>
      <c r="E51" s="388" t="s">
        <v>82</v>
      </c>
      <c r="F51" s="388">
        <v>11</v>
      </c>
      <c r="G51" s="391" t="s">
        <v>354</v>
      </c>
      <c r="H51" s="391">
        <v>95565</v>
      </c>
      <c r="I51" s="181">
        <v>10589</v>
      </c>
      <c r="K51" s="379">
        <f t="shared" si="0"/>
        <v>1058.9000000000001</v>
      </c>
      <c r="L51" s="379">
        <v>10</v>
      </c>
      <c r="M51" s="379">
        <v>17784</v>
      </c>
      <c r="AQ51" s="379" t="e">
        <f>#N/A</f>
        <v>#N/A</v>
      </c>
    </row>
    <row r="52" spans="1:43" s="379" customFormat="1">
      <c r="A52" s="387">
        <v>50</v>
      </c>
      <c r="B52" s="388" t="s">
        <v>451</v>
      </c>
      <c r="C52" s="389">
        <v>596167</v>
      </c>
      <c r="D52" s="390" t="s">
        <v>452</v>
      </c>
      <c r="E52" s="388" t="s">
        <v>82</v>
      </c>
      <c r="F52" s="388">
        <v>11</v>
      </c>
      <c r="G52" s="391" t="s">
        <v>354</v>
      </c>
      <c r="H52" s="391">
        <v>97611</v>
      </c>
      <c r="I52" s="181">
        <v>18626</v>
      </c>
      <c r="K52" s="379">
        <f t="shared" si="0"/>
        <v>1862.6</v>
      </c>
      <c r="L52" s="379">
        <v>10</v>
      </c>
      <c r="M52" s="379">
        <v>12931</v>
      </c>
      <c r="AQ52" s="379" t="e">
        <f>#N/A</f>
        <v>#N/A</v>
      </c>
    </row>
    <row r="53" spans="1:43" s="379" customFormat="1">
      <c r="A53" s="387">
        <v>51</v>
      </c>
      <c r="B53" s="388" t="s">
        <v>453</v>
      </c>
      <c r="C53" s="389">
        <v>596171</v>
      </c>
      <c r="D53" s="393" t="s">
        <v>454</v>
      </c>
      <c r="E53" s="388" t="s">
        <v>82</v>
      </c>
      <c r="F53" s="388">
        <v>11</v>
      </c>
      <c r="G53" s="391" t="s">
        <v>354</v>
      </c>
      <c r="H53" s="391">
        <v>364033</v>
      </c>
      <c r="I53" s="181">
        <v>41262</v>
      </c>
      <c r="K53" s="379">
        <f t="shared" si="0"/>
        <v>4126.2</v>
      </c>
      <c r="L53" s="379">
        <v>10</v>
      </c>
      <c r="M53" s="379">
        <v>36728</v>
      </c>
      <c r="AQ53" s="379" t="e">
        <f>#N/A</f>
        <v>#N/A</v>
      </c>
    </row>
    <row r="54" spans="1:43" s="379" customFormat="1">
      <c r="A54" s="387">
        <v>52</v>
      </c>
      <c r="B54" s="388" t="s">
        <v>455</v>
      </c>
      <c r="C54" s="389">
        <v>596174</v>
      </c>
      <c r="D54" s="390" t="s">
        <v>456</v>
      </c>
      <c r="E54" s="388" t="s">
        <v>83</v>
      </c>
      <c r="F54" s="388">
        <v>33</v>
      </c>
      <c r="G54" s="391" t="s">
        <v>354</v>
      </c>
      <c r="H54" s="391">
        <v>522364</v>
      </c>
      <c r="I54" s="181">
        <v>198414</v>
      </c>
      <c r="K54" s="379">
        <f t="shared" si="0"/>
        <v>19841.400000000001</v>
      </c>
      <c r="L54" s="379">
        <v>10</v>
      </c>
      <c r="M54" s="379">
        <v>132175</v>
      </c>
      <c r="AQ54" s="379" t="e">
        <f>#N/A</f>
        <v>#N/A</v>
      </c>
    </row>
    <row r="55" spans="1:43" s="379" customFormat="1">
      <c r="A55" s="387">
        <v>53</v>
      </c>
      <c r="B55" s="388" t="s">
        <v>457</v>
      </c>
      <c r="C55" s="389">
        <v>596176</v>
      </c>
      <c r="D55" s="400" t="s">
        <v>458</v>
      </c>
      <c r="E55" s="388" t="s">
        <v>82</v>
      </c>
      <c r="F55" s="388">
        <v>11</v>
      </c>
      <c r="G55" s="391" t="s">
        <v>354</v>
      </c>
      <c r="H55" s="391">
        <v>142160</v>
      </c>
      <c r="I55" s="181">
        <v>15440</v>
      </c>
      <c r="K55" s="379">
        <f t="shared" si="0"/>
        <v>1544</v>
      </c>
      <c r="L55" s="379">
        <v>10</v>
      </c>
      <c r="M55" s="379">
        <v>14470</v>
      </c>
      <c r="AQ55" s="379" t="e">
        <f>#N/A</f>
        <v>#N/A</v>
      </c>
    </row>
    <row r="56" spans="1:43" s="379" customFormat="1">
      <c r="A56" s="387">
        <v>54</v>
      </c>
      <c r="B56" s="388" t="s">
        <v>459</v>
      </c>
      <c r="C56" s="389">
        <v>596177</v>
      </c>
      <c r="D56" s="392" t="s">
        <v>460</v>
      </c>
      <c r="E56" s="388" t="s">
        <v>80</v>
      </c>
      <c r="F56" s="388">
        <v>11</v>
      </c>
      <c r="G56" s="391" t="s">
        <v>354</v>
      </c>
      <c r="H56" s="391">
        <v>161813</v>
      </c>
      <c r="I56" s="181">
        <v>14265</v>
      </c>
      <c r="K56" s="379">
        <f t="shared" si="0"/>
        <v>1426.5</v>
      </c>
      <c r="L56" s="379">
        <v>10</v>
      </c>
      <c r="M56" s="379">
        <v>18866</v>
      </c>
      <c r="AQ56" s="379" t="e">
        <f>#N/A</f>
        <v>#N/A</v>
      </c>
    </row>
    <row r="57" spans="1:43" s="379" customFormat="1">
      <c r="A57" s="387">
        <v>55</v>
      </c>
      <c r="B57" s="388" t="s">
        <v>461</v>
      </c>
      <c r="C57" s="389">
        <v>596179</v>
      </c>
      <c r="D57" s="393" t="s">
        <v>462</v>
      </c>
      <c r="E57" s="388" t="s">
        <v>82</v>
      </c>
      <c r="F57" s="388">
        <v>33</v>
      </c>
      <c r="G57" s="391" t="s">
        <v>354</v>
      </c>
      <c r="H57" s="391">
        <v>84763</v>
      </c>
      <c r="I57" s="181">
        <v>0</v>
      </c>
      <c r="K57" s="379">
        <f t="shared" si="0"/>
        <v>0</v>
      </c>
      <c r="L57" s="379">
        <v>10</v>
      </c>
      <c r="M57" s="379">
        <v>0</v>
      </c>
      <c r="AQ57" s="379" t="e">
        <f>#N/A</f>
        <v>#N/A</v>
      </c>
    </row>
    <row r="58" spans="1:43" s="379" customFormat="1">
      <c r="A58" s="387">
        <v>56</v>
      </c>
      <c r="B58" s="388" t="s">
        <v>463</v>
      </c>
      <c r="C58" s="389">
        <v>596180</v>
      </c>
      <c r="D58" s="390" t="s">
        <v>464</v>
      </c>
      <c r="E58" s="388" t="s">
        <v>82</v>
      </c>
      <c r="F58" s="388">
        <v>11</v>
      </c>
      <c r="G58" s="391" t="s">
        <v>354</v>
      </c>
      <c r="H58" s="391">
        <v>136275</v>
      </c>
      <c r="I58" s="181">
        <v>6552</v>
      </c>
      <c r="K58" s="379">
        <f t="shared" si="0"/>
        <v>655.20000000000005</v>
      </c>
      <c r="L58" s="379">
        <v>10</v>
      </c>
      <c r="M58" s="379">
        <v>8559</v>
      </c>
      <c r="AQ58" s="379" t="e">
        <f>#N/A</f>
        <v>#N/A</v>
      </c>
    </row>
    <row r="59" spans="1:43" s="379" customFormat="1">
      <c r="A59" s="387">
        <v>57</v>
      </c>
      <c r="B59" s="388" t="s">
        <v>465</v>
      </c>
      <c r="C59" s="389">
        <v>596184</v>
      </c>
      <c r="D59" s="390" t="s">
        <v>466</v>
      </c>
      <c r="E59" s="388" t="s">
        <v>82</v>
      </c>
      <c r="F59" s="388">
        <v>11</v>
      </c>
      <c r="G59" s="391" t="s">
        <v>354</v>
      </c>
      <c r="H59" s="391">
        <v>55234</v>
      </c>
      <c r="I59" s="181">
        <v>11283</v>
      </c>
      <c r="K59" s="379">
        <f t="shared" si="0"/>
        <v>1128.3</v>
      </c>
      <c r="L59" s="379">
        <v>10</v>
      </c>
      <c r="M59" s="379">
        <v>4907</v>
      </c>
      <c r="AQ59" s="379" t="e">
        <f>#N/A</f>
        <v>#N/A</v>
      </c>
    </row>
    <row r="60" spans="1:43" s="379" customFormat="1">
      <c r="A60" s="387">
        <v>58</v>
      </c>
      <c r="B60" s="388" t="s">
        <v>467</v>
      </c>
      <c r="C60" s="389">
        <v>596188</v>
      </c>
      <c r="D60" s="390" t="s">
        <v>468</v>
      </c>
      <c r="E60" s="388" t="s">
        <v>82</v>
      </c>
      <c r="F60" s="388">
        <v>11</v>
      </c>
      <c r="G60" s="391" t="s">
        <v>354</v>
      </c>
      <c r="H60" s="391">
        <v>143976</v>
      </c>
      <c r="I60" s="181">
        <v>22392</v>
      </c>
      <c r="K60" s="379">
        <f t="shared" si="0"/>
        <v>2239.1999999999998</v>
      </c>
      <c r="L60" s="379">
        <v>10</v>
      </c>
      <c r="M60" s="379">
        <v>20079</v>
      </c>
      <c r="AQ60" s="379" t="e">
        <f>#N/A</f>
        <v>#N/A</v>
      </c>
    </row>
    <row r="61" spans="1:43" s="379" customFormat="1" ht="15.75">
      <c r="A61" s="387">
        <v>59</v>
      </c>
      <c r="B61" s="329" t="s">
        <v>469</v>
      </c>
      <c r="C61" s="394">
        <v>596190</v>
      </c>
      <c r="D61" s="401" t="s">
        <v>470</v>
      </c>
      <c r="E61" s="396" t="s">
        <v>81</v>
      </c>
      <c r="F61" s="396">
        <v>33</v>
      </c>
      <c r="G61" s="397" t="s">
        <v>354</v>
      </c>
      <c r="H61" s="397">
        <v>642025</v>
      </c>
      <c r="I61" s="181">
        <v>103787</v>
      </c>
      <c r="K61" s="379">
        <f t="shared" si="0"/>
        <v>10378.700000000001</v>
      </c>
      <c r="L61" s="379">
        <v>10</v>
      </c>
      <c r="M61" s="379">
        <v>168520</v>
      </c>
      <c r="AQ61" s="379" t="e">
        <f>#N/A</f>
        <v>#N/A</v>
      </c>
    </row>
    <row r="62" spans="1:43" s="379" customFormat="1">
      <c r="A62" s="387">
        <v>60</v>
      </c>
      <c r="B62" s="388" t="s">
        <v>471</v>
      </c>
      <c r="C62" s="402">
        <v>596200</v>
      </c>
      <c r="D62" s="393" t="s">
        <v>472</v>
      </c>
      <c r="E62" s="403" t="s">
        <v>82</v>
      </c>
      <c r="F62" s="403">
        <v>11</v>
      </c>
      <c r="G62" s="391" t="s">
        <v>354</v>
      </c>
      <c r="H62" s="391">
        <v>375568</v>
      </c>
      <c r="I62" s="181">
        <v>58695</v>
      </c>
      <c r="K62" s="379">
        <f t="shared" si="0"/>
        <v>5869.5</v>
      </c>
      <c r="L62" s="379">
        <v>10</v>
      </c>
      <c r="M62" s="379">
        <v>60744</v>
      </c>
      <c r="AQ62" s="379" t="e">
        <f>#N/A</f>
        <v>#N/A</v>
      </c>
    </row>
    <row r="63" spans="1:43" s="379" customFormat="1">
      <c r="A63" s="387">
        <v>61</v>
      </c>
      <c r="B63" s="388" t="s">
        <v>473</v>
      </c>
      <c r="C63" s="402">
        <v>596202</v>
      </c>
      <c r="D63" s="390" t="s">
        <v>474</v>
      </c>
      <c r="E63" s="403" t="s">
        <v>82</v>
      </c>
      <c r="F63" s="403">
        <v>33</v>
      </c>
      <c r="G63" s="391" t="s">
        <v>354</v>
      </c>
      <c r="H63" s="391">
        <v>189842</v>
      </c>
      <c r="I63" s="181">
        <v>14999</v>
      </c>
      <c r="K63" s="379">
        <f t="shared" si="0"/>
        <v>1499.9</v>
      </c>
      <c r="L63" s="379">
        <v>10</v>
      </c>
      <c r="M63" s="379">
        <v>17577</v>
      </c>
      <c r="AQ63" s="379" t="e">
        <f>#N/A</f>
        <v>#N/A</v>
      </c>
    </row>
    <row r="64" spans="1:43" s="379" customFormat="1">
      <c r="A64" s="387">
        <v>62</v>
      </c>
      <c r="B64" s="388" t="s">
        <v>475</v>
      </c>
      <c r="C64" s="394">
        <v>596205</v>
      </c>
      <c r="D64" s="395" t="s">
        <v>476</v>
      </c>
      <c r="E64" s="396" t="s">
        <v>81</v>
      </c>
      <c r="F64" s="396">
        <v>33</v>
      </c>
      <c r="G64" s="397" t="s">
        <v>354</v>
      </c>
      <c r="H64" s="397">
        <v>1346815</v>
      </c>
      <c r="I64" s="181">
        <v>0</v>
      </c>
      <c r="K64" s="379">
        <f t="shared" si="0"/>
        <v>0</v>
      </c>
      <c r="L64" s="379">
        <v>10</v>
      </c>
      <c r="M64" s="379">
        <v>0</v>
      </c>
      <c r="AQ64" s="379" t="e">
        <f>#N/A</f>
        <v>#N/A</v>
      </c>
    </row>
    <row r="65" spans="1:43" s="379" customFormat="1">
      <c r="A65" s="387">
        <v>63</v>
      </c>
      <c r="B65" s="388" t="s">
        <v>477</v>
      </c>
      <c r="C65" s="402">
        <v>596206</v>
      </c>
      <c r="D65" s="390" t="s">
        <v>478</v>
      </c>
      <c r="E65" s="403" t="s">
        <v>80</v>
      </c>
      <c r="F65" s="403">
        <v>11</v>
      </c>
      <c r="G65" s="391" t="s">
        <v>354</v>
      </c>
      <c r="H65" s="391">
        <v>85269</v>
      </c>
      <c r="I65" s="181">
        <v>11307</v>
      </c>
      <c r="K65" s="379">
        <f t="shared" si="0"/>
        <v>1130.7</v>
      </c>
      <c r="L65" s="379">
        <v>10</v>
      </c>
      <c r="M65" s="379">
        <v>10219</v>
      </c>
      <c r="AQ65" s="379" t="e">
        <f>#N/A</f>
        <v>#N/A</v>
      </c>
    </row>
    <row r="66" spans="1:43" s="379" customFormat="1">
      <c r="A66" s="387">
        <v>64</v>
      </c>
      <c r="B66" s="388" t="s">
        <v>479</v>
      </c>
      <c r="C66" s="402">
        <v>596209</v>
      </c>
      <c r="D66" s="390" t="s">
        <v>480</v>
      </c>
      <c r="E66" s="403" t="s">
        <v>82</v>
      </c>
      <c r="F66" s="403">
        <v>11</v>
      </c>
      <c r="G66" s="391" t="s">
        <v>354</v>
      </c>
      <c r="H66" s="391">
        <v>267584</v>
      </c>
      <c r="I66" s="181">
        <v>52611</v>
      </c>
      <c r="K66" s="379">
        <f t="shared" si="0"/>
        <v>5261.1</v>
      </c>
      <c r="L66" s="379">
        <v>10</v>
      </c>
      <c r="M66" s="379">
        <v>47910</v>
      </c>
      <c r="AQ66" s="379" t="e">
        <f>#N/A</f>
        <v>#N/A</v>
      </c>
    </row>
    <row r="67" spans="1:43" s="379" customFormat="1">
      <c r="A67" s="387">
        <v>65</v>
      </c>
      <c r="B67" s="388" t="s">
        <v>481</v>
      </c>
      <c r="C67" s="402">
        <v>596213</v>
      </c>
      <c r="D67" s="392" t="s">
        <v>482</v>
      </c>
      <c r="E67" s="403" t="s">
        <v>82</v>
      </c>
      <c r="F67" s="403">
        <v>33</v>
      </c>
      <c r="G67" s="391" t="s">
        <v>354</v>
      </c>
      <c r="H67" s="391">
        <v>1696123</v>
      </c>
      <c r="I67" s="181">
        <v>250888</v>
      </c>
      <c r="K67" s="379">
        <f t="shared" ref="K67:K130" si="1">I67/L67</f>
        <v>25088.799999999999</v>
      </c>
      <c r="L67" s="379">
        <v>10</v>
      </c>
      <c r="M67" s="379">
        <v>246330</v>
      </c>
      <c r="AQ67" s="379" t="e">
        <f>#N/A</f>
        <v>#N/A</v>
      </c>
    </row>
    <row r="68" spans="1:43" s="379" customFormat="1">
      <c r="A68" s="387">
        <v>66</v>
      </c>
      <c r="B68" s="388" t="s">
        <v>483</v>
      </c>
      <c r="C68" s="394">
        <v>596214</v>
      </c>
      <c r="D68" s="395" t="s">
        <v>484</v>
      </c>
      <c r="E68" s="396" t="s">
        <v>81</v>
      </c>
      <c r="F68" s="396">
        <v>33</v>
      </c>
      <c r="G68" s="397" t="s">
        <v>354</v>
      </c>
      <c r="H68" s="397">
        <v>495626</v>
      </c>
      <c r="I68" s="181">
        <v>105551</v>
      </c>
      <c r="K68" s="379">
        <f t="shared" si="1"/>
        <v>10555.1</v>
      </c>
      <c r="L68" s="379">
        <v>10</v>
      </c>
      <c r="M68" s="379">
        <v>100938</v>
      </c>
      <c r="AQ68" s="379" t="e">
        <f>#N/A</f>
        <v>#N/A</v>
      </c>
    </row>
    <row r="69" spans="1:43" s="379" customFormat="1">
      <c r="A69" s="387">
        <v>67</v>
      </c>
      <c r="B69" s="329" t="s">
        <v>485</v>
      </c>
      <c r="C69" s="402">
        <v>596215</v>
      </c>
      <c r="D69" s="404" t="s">
        <v>486</v>
      </c>
      <c r="E69" s="403" t="s">
        <v>81</v>
      </c>
      <c r="F69" s="403">
        <v>33</v>
      </c>
      <c r="G69" s="391" t="s">
        <v>354</v>
      </c>
      <c r="H69" s="391">
        <v>614358</v>
      </c>
      <c r="I69" s="181">
        <v>62921</v>
      </c>
      <c r="K69" s="379">
        <f t="shared" si="1"/>
        <v>6292.1</v>
      </c>
      <c r="L69" s="379">
        <v>10</v>
      </c>
      <c r="M69" s="379">
        <v>126875</v>
      </c>
      <c r="AQ69" s="379" t="e">
        <f>#N/A</f>
        <v>#N/A</v>
      </c>
    </row>
    <row r="70" spans="1:43" s="379" customFormat="1">
      <c r="A70" s="387">
        <v>68</v>
      </c>
      <c r="B70" s="388" t="s">
        <v>487</v>
      </c>
      <c r="C70" s="402">
        <v>596219</v>
      </c>
      <c r="D70" s="390" t="s">
        <v>488</v>
      </c>
      <c r="E70" s="403" t="s">
        <v>83</v>
      </c>
      <c r="F70" s="403">
        <v>11</v>
      </c>
      <c r="G70" s="391" t="s">
        <v>354</v>
      </c>
      <c r="H70" s="391">
        <v>215474</v>
      </c>
      <c r="I70" s="181">
        <v>19691</v>
      </c>
      <c r="K70" s="379">
        <f t="shared" si="1"/>
        <v>1969.1</v>
      </c>
      <c r="L70" s="379">
        <v>10</v>
      </c>
      <c r="M70" s="379">
        <v>18025</v>
      </c>
      <c r="AQ70" s="379" t="e">
        <f>#N/A</f>
        <v>#N/A</v>
      </c>
    </row>
    <row r="71" spans="1:43" s="379" customFormat="1">
      <c r="A71" s="387">
        <v>69</v>
      </c>
      <c r="B71" s="388" t="s">
        <v>489</v>
      </c>
      <c r="C71" s="402">
        <v>596221</v>
      </c>
      <c r="D71" s="390" t="s">
        <v>490</v>
      </c>
      <c r="E71" s="403" t="s">
        <v>83</v>
      </c>
      <c r="F71" s="403">
        <v>11</v>
      </c>
      <c r="G71" s="391" t="s">
        <v>354</v>
      </c>
      <c r="H71" s="391">
        <v>61520</v>
      </c>
      <c r="I71" s="181">
        <v>0</v>
      </c>
      <c r="K71" s="379">
        <f t="shared" si="1"/>
        <v>0</v>
      </c>
      <c r="L71" s="379">
        <v>10</v>
      </c>
      <c r="M71" s="379">
        <v>25</v>
      </c>
      <c r="AQ71" s="379" t="e">
        <f>#N/A</f>
        <v>#N/A</v>
      </c>
    </row>
    <row r="72" spans="1:43" s="379" customFormat="1">
      <c r="A72" s="387">
        <v>70</v>
      </c>
      <c r="B72" s="388" t="s">
        <v>491</v>
      </c>
      <c r="C72" s="402">
        <v>596225</v>
      </c>
      <c r="D72" s="390" t="s">
        <v>492</v>
      </c>
      <c r="E72" s="403" t="s">
        <v>82</v>
      </c>
      <c r="F72" s="403">
        <v>11</v>
      </c>
      <c r="G72" s="391" t="s">
        <v>354</v>
      </c>
      <c r="H72" s="391">
        <v>397525</v>
      </c>
      <c r="I72" s="181">
        <v>36402</v>
      </c>
      <c r="K72" s="379">
        <f t="shared" si="1"/>
        <v>3640.2</v>
      </c>
      <c r="L72" s="379">
        <v>10</v>
      </c>
      <c r="M72" s="379">
        <v>32274</v>
      </c>
      <c r="AQ72" s="379" t="e">
        <f>#N/A</f>
        <v>#N/A</v>
      </c>
    </row>
    <row r="73" spans="1:43" s="379" customFormat="1">
      <c r="A73" s="387">
        <v>71</v>
      </c>
      <c r="B73" s="388" t="s">
        <v>493</v>
      </c>
      <c r="C73" s="394">
        <v>596228</v>
      </c>
      <c r="D73" s="405" t="s">
        <v>494</v>
      </c>
      <c r="E73" s="396" t="s">
        <v>80</v>
      </c>
      <c r="F73" s="396">
        <v>33</v>
      </c>
      <c r="G73" s="397" t="s">
        <v>354</v>
      </c>
      <c r="H73" s="397">
        <v>1830952</v>
      </c>
      <c r="I73" s="181">
        <v>255623</v>
      </c>
      <c r="K73" s="379">
        <f t="shared" si="1"/>
        <v>25562.3</v>
      </c>
      <c r="L73" s="379">
        <v>10</v>
      </c>
      <c r="M73" s="379">
        <v>295208</v>
      </c>
      <c r="AQ73" s="379" t="e">
        <f>#N/A</f>
        <v>#N/A</v>
      </c>
    </row>
    <row r="74" spans="1:43" s="379" customFormat="1">
      <c r="A74" s="387">
        <v>72</v>
      </c>
      <c r="B74" s="329" t="s">
        <v>495</v>
      </c>
      <c r="C74" s="402">
        <v>596231</v>
      </c>
      <c r="D74" s="393" t="s">
        <v>496</v>
      </c>
      <c r="E74" s="403" t="s">
        <v>82</v>
      </c>
      <c r="F74" s="403">
        <v>11</v>
      </c>
      <c r="G74" s="391" t="s">
        <v>354</v>
      </c>
      <c r="H74" s="391">
        <v>40349</v>
      </c>
      <c r="I74" s="181">
        <v>3539</v>
      </c>
      <c r="K74" s="379">
        <f t="shared" si="1"/>
        <v>353.9</v>
      </c>
      <c r="L74" s="379">
        <v>10</v>
      </c>
      <c r="M74" s="379">
        <v>3282</v>
      </c>
      <c r="AQ74" s="379" t="e">
        <f>#N/A</f>
        <v>#N/A</v>
      </c>
    </row>
    <row r="75" spans="1:43" s="379" customFormat="1">
      <c r="A75" s="387">
        <v>73</v>
      </c>
      <c r="B75" s="388" t="s">
        <v>497</v>
      </c>
      <c r="C75" s="394">
        <v>596232</v>
      </c>
      <c r="D75" s="406" t="s">
        <v>498</v>
      </c>
      <c r="E75" s="396" t="s">
        <v>83</v>
      </c>
      <c r="F75" s="396">
        <v>33</v>
      </c>
      <c r="G75" s="397" t="s">
        <v>354</v>
      </c>
      <c r="H75" s="397">
        <v>875748</v>
      </c>
      <c r="I75" s="181">
        <v>695994</v>
      </c>
      <c r="K75" s="379">
        <f t="shared" si="1"/>
        <v>69599.399999999994</v>
      </c>
      <c r="L75" s="379">
        <v>10</v>
      </c>
      <c r="M75" s="379">
        <v>542170</v>
      </c>
      <c r="AQ75" s="379" t="e">
        <f>#N/A</f>
        <v>#N/A</v>
      </c>
    </row>
    <row r="76" spans="1:43" s="412" customFormat="1">
      <c r="A76" s="407">
        <v>74</v>
      </c>
      <c r="B76" s="408" t="s">
        <v>499</v>
      </c>
      <c r="C76" s="409">
        <v>596233</v>
      </c>
      <c r="D76" s="410" t="s">
        <v>500</v>
      </c>
      <c r="E76" s="408" t="s">
        <v>82</v>
      </c>
      <c r="F76" s="408">
        <v>33</v>
      </c>
      <c r="G76" s="411" t="s">
        <v>354</v>
      </c>
      <c r="H76" s="411">
        <v>1644513</v>
      </c>
      <c r="I76" s="181">
        <v>140080</v>
      </c>
      <c r="K76" s="412">
        <f t="shared" si="1"/>
        <v>14008</v>
      </c>
      <c r="L76" s="412">
        <v>10</v>
      </c>
      <c r="M76" s="412">
        <v>108687</v>
      </c>
      <c r="AQ76" s="412" t="e">
        <f>#N/A</f>
        <v>#N/A</v>
      </c>
    </row>
    <row r="77" spans="1:43" s="379" customFormat="1">
      <c r="A77" s="387">
        <v>75</v>
      </c>
      <c r="B77" s="388" t="s">
        <v>501</v>
      </c>
      <c r="C77" s="402">
        <v>596240</v>
      </c>
      <c r="D77" s="390" t="s">
        <v>502</v>
      </c>
      <c r="E77" s="403" t="s">
        <v>82</v>
      </c>
      <c r="F77" s="403">
        <v>11</v>
      </c>
      <c r="G77" s="391" t="s">
        <v>354</v>
      </c>
      <c r="H77" s="391">
        <v>72740</v>
      </c>
      <c r="I77" s="181">
        <v>7140</v>
      </c>
      <c r="K77" s="379">
        <f t="shared" si="1"/>
        <v>714</v>
      </c>
      <c r="L77" s="379">
        <v>10</v>
      </c>
      <c r="M77" s="379">
        <v>5922</v>
      </c>
      <c r="AQ77" s="379" t="e">
        <f>#N/A</f>
        <v>#N/A</v>
      </c>
    </row>
    <row r="78" spans="1:43" s="379" customFormat="1">
      <c r="A78" s="387">
        <v>76</v>
      </c>
      <c r="B78" s="388" t="s">
        <v>503</v>
      </c>
      <c r="C78" s="402">
        <v>596241</v>
      </c>
      <c r="D78" s="390" t="s">
        <v>504</v>
      </c>
      <c r="E78" s="403" t="s">
        <v>82</v>
      </c>
      <c r="F78" s="403">
        <v>11</v>
      </c>
      <c r="G78" s="391" t="s">
        <v>354</v>
      </c>
      <c r="H78" s="391">
        <v>512912</v>
      </c>
      <c r="I78" s="181">
        <v>89556</v>
      </c>
      <c r="K78" s="379">
        <f t="shared" si="1"/>
        <v>8955.6</v>
      </c>
      <c r="L78" s="379">
        <v>10</v>
      </c>
      <c r="M78" s="379">
        <v>59223</v>
      </c>
      <c r="AQ78" s="379" t="e">
        <f>#N/A</f>
        <v>#N/A</v>
      </c>
    </row>
    <row r="79" spans="1:43" s="379" customFormat="1">
      <c r="A79" s="387">
        <v>77</v>
      </c>
      <c r="B79" s="388" t="s">
        <v>505</v>
      </c>
      <c r="C79" s="402">
        <v>596244</v>
      </c>
      <c r="D79" s="390" t="s">
        <v>506</v>
      </c>
      <c r="E79" s="403" t="s">
        <v>81</v>
      </c>
      <c r="F79" s="403">
        <v>11</v>
      </c>
      <c r="G79" s="391" t="s">
        <v>354</v>
      </c>
      <c r="H79" s="391">
        <v>442486</v>
      </c>
      <c r="I79" s="181">
        <v>134978</v>
      </c>
      <c r="K79" s="379">
        <f t="shared" si="1"/>
        <v>13497.8</v>
      </c>
      <c r="L79" s="379">
        <v>10</v>
      </c>
      <c r="M79" s="379">
        <v>88770</v>
      </c>
      <c r="AQ79" s="379" t="e">
        <f>#N/A</f>
        <v>#N/A</v>
      </c>
    </row>
    <row r="80" spans="1:43" s="379" customFormat="1">
      <c r="A80" s="387">
        <v>78</v>
      </c>
      <c r="B80" s="329" t="s">
        <v>507</v>
      </c>
      <c r="C80" s="402">
        <v>596246</v>
      </c>
      <c r="D80" s="390" t="s">
        <v>508</v>
      </c>
      <c r="E80" s="403" t="s">
        <v>82</v>
      </c>
      <c r="F80" s="403">
        <v>33</v>
      </c>
      <c r="G80" s="391" t="s">
        <v>354</v>
      </c>
      <c r="H80" s="391">
        <v>315109</v>
      </c>
      <c r="I80" s="181">
        <v>18216</v>
      </c>
      <c r="K80" s="379">
        <f t="shared" si="1"/>
        <v>1821.6</v>
      </c>
      <c r="L80" s="379">
        <v>10</v>
      </c>
      <c r="M80" s="379">
        <v>15030</v>
      </c>
      <c r="AQ80" s="379" t="e">
        <f>#N/A</f>
        <v>#N/A</v>
      </c>
    </row>
    <row r="81" spans="1:43" s="379" customFormat="1">
      <c r="A81" s="387">
        <v>79</v>
      </c>
      <c r="B81" s="388" t="s">
        <v>509</v>
      </c>
      <c r="C81" s="402">
        <v>596247</v>
      </c>
      <c r="D81" s="390" t="s">
        <v>510</v>
      </c>
      <c r="E81" s="403" t="s">
        <v>83</v>
      </c>
      <c r="F81" s="403">
        <v>33</v>
      </c>
      <c r="G81" s="391" t="s">
        <v>354</v>
      </c>
      <c r="H81" s="391">
        <v>1233284</v>
      </c>
      <c r="I81" s="181">
        <v>0</v>
      </c>
      <c r="K81" s="379">
        <f t="shared" si="1"/>
        <v>0</v>
      </c>
      <c r="L81" s="379">
        <v>10</v>
      </c>
      <c r="M81" s="379">
        <v>0</v>
      </c>
      <c r="AQ81" s="379" t="e">
        <f>#N/A</f>
        <v>#N/A</v>
      </c>
    </row>
    <row r="82" spans="1:43" s="379" customFormat="1">
      <c r="A82" s="387">
        <v>80</v>
      </c>
      <c r="B82" s="388" t="s">
        <v>511</v>
      </c>
      <c r="C82" s="402">
        <v>596251</v>
      </c>
      <c r="D82" s="390" t="s">
        <v>512</v>
      </c>
      <c r="E82" s="403" t="s">
        <v>83</v>
      </c>
      <c r="F82" s="403">
        <v>33</v>
      </c>
      <c r="G82" s="391" t="s">
        <v>354</v>
      </c>
      <c r="H82" s="391">
        <v>1449048</v>
      </c>
      <c r="I82" s="181">
        <v>256878</v>
      </c>
      <c r="K82" s="379">
        <f t="shared" si="1"/>
        <v>25687.8</v>
      </c>
      <c r="L82" s="379">
        <v>10</v>
      </c>
      <c r="M82" s="379">
        <v>115506</v>
      </c>
      <c r="AQ82" s="379" t="e">
        <f>#N/A</f>
        <v>#N/A</v>
      </c>
    </row>
    <row r="83" spans="1:43" s="379" customFormat="1">
      <c r="A83" s="387">
        <v>81</v>
      </c>
      <c r="B83" s="329" t="s">
        <v>513</v>
      </c>
      <c r="C83" s="402">
        <v>596253</v>
      </c>
      <c r="D83" s="390" t="s">
        <v>514</v>
      </c>
      <c r="E83" s="403" t="s">
        <v>80</v>
      </c>
      <c r="F83" s="403">
        <v>33</v>
      </c>
      <c r="G83" s="391" t="s">
        <v>354</v>
      </c>
      <c r="H83" s="391">
        <v>157262</v>
      </c>
      <c r="I83" s="181">
        <v>4458</v>
      </c>
      <c r="K83" s="379">
        <f t="shared" si="1"/>
        <v>445.8</v>
      </c>
      <c r="L83" s="379">
        <v>10</v>
      </c>
      <c r="M83" s="379">
        <v>5200</v>
      </c>
      <c r="AQ83" s="379" t="e">
        <f>#N/A</f>
        <v>#N/A</v>
      </c>
    </row>
    <row r="84" spans="1:43" s="379" customFormat="1">
      <c r="A84" s="387">
        <v>82</v>
      </c>
      <c r="B84" s="329" t="s">
        <v>515</v>
      </c>
      <c r="C84" s="402">
        <v>596254</v>
      </c>
      <c r="D84" s="390" t="s">
        <v>516</v>
      </c>
      <c r="E84" s="403" t="s">
        <v>82</v>
      </c>
      <c r="F84" s="403">
        <v>33</v>
      </c>
      <c r="G84" s="391" t="s">
        <v>354</v>
      </c>
      <c r="H84" s="391">
        <v>982557</v>
      </c>
      <c r="I84" s="181">
        <v>80637</v>
      </c>
      <c r="K84" s="379">
        <f t="shared" si="1"/>
        <v>8063.7</v>
      </c>
      <c r="L84" s="379">
        <v>10</v>
      </c>
      <c r="M84" s="379">
        <v>77076</v>
      </c>
      <c r="AQ84" s="379" t="e">
        <f>#N/A</f>
        <v>#N/A</v>
      </c>
    </row>
    <row r="85" spans="1:43" s="379" customFormat="1">
      <c r="A85" s="387">
        <v>83</v>
      </c>
      <c r="B85" s="388" t="s">
        <v>517</v>
      </c>
      <c r="C85" s="402">
        <v>596257</v>
      </c>
      <c r="D85" s="390" t="s">
        <v>518</v>
      </c>
      <c r="E85" s="403" t="s">
        <v>81</v>
      </c>
      <c r="F85" s="388">
        <v>33</v>
      </c>
      <c r="G85" s="391" t="s">
        <v>354</v>
      </c>
      <c r="H85" s="391">
        <v>256741</v>
      </c>
      <c r="I85" s="181">
        <v>44805</v>
      </c>
      <c r="K85" s="379">
        <f t="shared" si="1"/>
        <v>4480.5</v>
      </c>
      <c r="L85" s="379">
        <v>10</v>
      </c>
      <c r="M85" s="379">
        <v>50643</v>
      </c>
      <c r="AQ85" s="379" t="e">
        <f>#N/A</f>
        <v>#N/A</v>
      </c>
    </row>
    <row r="86" spans="1:43" s="379" customFormat="1">
      <c r="A86" s="387">
        <v>84</v>
      </c>
      <c r="B86" s="388" t="s">
        <v>519</v>
      </c>
      <c r="C86" s="402">
        <v>596258</v>
      </c>
      <c r="D86" s="390" t="s">
        <v>520</v>
      </c>
      <c r="E86" s="403" t="s">
        <v>80</v>
      </c>
      <c r="F86" s="403">
        <v>11</v>
      </c>
      <c r="G86" s="391" t="s">
        <v>354</v>
      </c>
      <c r="H86" s="391">
        <v>114619</v>
      </c>
      <c r="I86" s="181">
        <v>18776</v>
      </c>
      <c r="K86" s="379">
        <f t="shared" si="1"/>
        <v>1877.6</v>
      </c>
      <c r="L86" s="379">
        <v>10</v>
      </c>
      <c r="M86" s="379">
        <v>22125</v>
      </c>
      <c r="AQ86" s="379" t="e">
        <f>#N/A</f>
        <v>#N/A</v>
      </c>
    </row>
    <row r="87" spans="1:43" s="379" customFormat="1">
      <c r="A87" s="387">
        <v>85</v>
      </c>
      <c r="B87" s="388" t="s">
        <v>521</v>
      </c>
      <c r="C87" s="402">
        <v>596261</v>
      </c>
      <c r="D87" s="390" t="s">
        <v>522</v>
      </c>
      <c r="E87" s="403" t="s">
        <v>82</v>
      </c>
      <c r="F87" s="403">
        <v>11</v>
      </c>
      <c r="G87" s="391" t="s">
        <v>354</v>
      </c>
      <c r="H87" s="391">
        <v>280076</v>
      </c>
      <c r="I87" s="181">
        <v>67605</v>
      </c>
      <c r="K87" s="379">
        <f t="shared" si="1"/>
        <v>6760.5</v>
      </c>
      <c r="L87" s="379">
        <v>10</v>
      </c>
      <c r="M87" s="379">
        <v>48726</v>
      </c>
      <c r="AQ87" s="379" t="e">
        <f>#N/A</f>
        <v>#N/A</v>
      </c>
    </row>
    <row r="88" spans="1:43" s="379" customFormat="1">
      <c r="A88" s="387">
        <v>86</v>
      </c>
      <c r="B88" s="329" t="s">
        <v>523</v>
      </c>
      <c r="C88" s="402">
        <v>596262</v>
      </c>
      <c r="D88" s="390" t="s">
        <v>524</v>
      </c>
      <c r="E88" s="403" t="s">
        <v>82</v>
      </c>
      <c r="F88" s="403">
        <v>33</v>
      </c>
      <c r="G88" s="391" t="s">
        <v>354</v>
      </c>
      <c r="H88" s="391">
        <v>124188</v>
      </c>
      <c r="I88" s="181">
        <v>6336</v>
      </c>
      <c r="K88" s="379">
        <f t="shared" si="1"/>
        <v>633.6</v>
      </c>
      <c r="L88" s="379">
        <v>10</v>
      </c>
      <c r="M88" s="379">
        <v>12897</v>
      </c>
      <c r="AQ88" s="379" t="e">
        <f>#N/A</f>
        <v>#N/A</v>
      </c>
    </row>
    <row r="89" spans="1:43" s="379" customFormat="1">
      <c r="A89" s="387">
        <v>87</v>
      </c>
      <c r="B89" s="388" t="s">
        <v>525</v>
      </c>
      <c r="C89" s="402">
        <v>596263</v>
      </c>
      <c r="D89" s="390" t="s">
        <v>526</v>
      </c>
      <c r="E89" s="403" t="s">
        <v>80</v>
      </c>
      <c r="F89" s="403">
        <v>11</v>
      </c>
      <c r="G89" s="391" t="s">
        <v>354</v>
      </c>
      <c r="H89" s="391">
        <v>42535</v>
      </c>
      <c r="I89" s="181">
        <v>3483</v>
      </c>
      <c r="K89" s="379">
        <f t="shared" si="1"/>
        <v>348.3</v>
      </c>
      <c r="L89" s="379">
        <v>10</v>
      </c>
      <c r="M89" s="379">
        <v>3271</v>
      </c>
      <c r="AQ89" s="379" t="e">
        <f>#N/A</f>
        <v>#N/A</v>
      </c>
    </row>
    <row r="90" spans="1:43" s="379" customFormat="1">
      <c r="A90" s="387">
        <v>88</v>
      </c>
      <c r="B90" s="388" t="s">
        <v>527</v>
      </c>
      <c r="C90" s="402">
        <v>596264</v>
      </c>
      <c r="D90" s="390" t="s">
        <v>528</v>
      </c>
      <c r="E90" s="403" t="s">
        <v>82</v>
      </c>
      <c r="F90" s="403">
        <v>11</v>
      </c>
      <c r="G90" s="391" t="s">
        <v>354</v>
      </c>
      <c r="H90" s="391">
        <v>188868</v>
      </c>
      <c r="I90" s="181">
        <v>22902</v>
      </c>
      <c r="K90" s="379">
        <f t="shared" si="1"/>
        <v>2290.1999999999998</v>
      </c>
      <c r="L90" s="379">
        <v>10</v>
      </c>
      <c r="M90" s="379">
        <v>17036</v>
      </c>
      <c r="AQ90" s="379" t="e">
        <f>#N/A</f>
        <v>#N/A</v>
      </c>
    </row>
    <row r="91" spans="1:43" s="379" customFormat="1">
      <c r="A91" s="387">
        <v>89</v>
      </c>
      <c r="B91" s="388" t="s">
        <v>529</v>
      </c>
      <c r="C91" s="402">
        <v>596265</v>
      </c>
      <c r="D91" s="390" t="s">
        <v>530</v>
      </c>
      <c r="E91" s="403" t="s">
        <v>80</v>
      </c>
      <c r="F91" s="403">
        <v>11</v>
      </c>
      <c r="G91" s="391" t="s">
        <v>354</v>
      </c>
      <c r="H91" s="391">
        <v>155402</v>
      </c>
      <c r="I91" s="181">
        <v>7704</v>
      </c>
      <c r="K91" s="379">
        <f t="shared" si="1"/>
        <v>770.4</v>
      </c>
      <c r="L91" s="379">
        <v>10</v>
      </c>
      <c r="M91" s="379">
        <v>11015</v>
      </c>
      <c r="AQ91" s="379" t="e">
        <f>#N/A</f>
        <v>#N/A</v>
      </c>
    </row>
    <row r="92" spans="1:43" s="379" customFormat="1">
      <c r="A92" s="387">
        <v>90</v>
      </c>
      <c r="B92" s="388" t="s">
        <v>531</v>
      </c>
      <c r="C92" s="402">
        <v>596267</v>
      </c>
      <c r="D92" s="390" t="s">
        <v>532</v>
      </c>
      <c r="E92" s="403" t="s">
        <v>83</v>
      </c>
      <c r="F92" s="403">
        <v>11</v>
      </c>
      <c r="G92" s="391" t="s">
        <v>354</v>
      </c>
      <c r="H92" s="391">
        <v>236548</v>
      </c>
      <c r="I92" s="181">
        <v>33293</v>
      </c>
      <c r="K92" s="379">
        <f t="shared" si="1"/>
        <v>3329.3</v>
      </c>
      <c r="L92" s="379">
        <v>10</v>
      </c>
      <c r="M92" s="379">
        <v>30101</v>
      </c>
      <c r="AQ92" s="379" t="e">
        <f>#N/A</f>
        <v>#N/A</v>
      </c>
    </row>
    <row r="93" spans="1:43" s="379" customFormat="1">
      <c r="A93" s="387">
        <v>91</v>
      </c>
      <c r="B93" s="388" t="s">
        <v>533</v>
      </c>
      <c r="C93" s="402">
        <v>596268</v>
      </c>
      <c r="D93" s="390" t="s">
        <v>534</v>
      </c>
      <c r="E93" s="403" t="s">
        <v>81</v>
      </c>
      <c r="F93" s="403">
        <v>11</v>
      </c>
      <c r="G93" s="391" t="s">
        <v>354</v>
      </c>
      <c r="H93" s="391">
        <v>234022</v>
      </c>
      <c r="I93" s="181">
        <v>88278</v>
      </c>
      <c r="K93" s="379">
        <f t="shared" si="1"/>
        <v>8827.7999999999993</v>
      </c>
      <c r="L93" s="379">
        <v>10</v>
      </c>
      <c r="M93" s="379">
        <v>99154</v>
      </c>
      <c r="AQ93" s="379" t="e">
        <f>#N/A</f>
        <v>#N/A</v>
      </c>
    </row>
    <row r="94" spans="1:43" s="379" customFormat="1">
      <c r="A94" s="387">
        <v>92</v>
      </c>
      <c r="B94" s="388" t="s">
        <v>535</v>
      </c>
      <c r="C94" s="402">
        <v>596270</v>
      </c>
      <c r="D94" s="393" t="s">
        <v>536</v>
      </c>
      <c r="E94" s="403" t="s">
        <v>81</v>
      </c>
      <c r="F94" s="403">
        <v>11</v>
      </c>
      <c r="G94" s="391" t="s">
        <v>354</v>
      </c>
      <c r="H94" s="391">
        <v>412734</v>
      </c>
      <c r="I94" s="181">
        <v>40611</v>
      </c>
      <c r="K94" s="379">
        <f t="shared" si="1"/>
        <v>4061.1</v>
      </c>
      <c r="L94" s="379">
        <v>10</v>
      </c>
      <c r="M94" s="379">
        <v>67153</v>
      </c>
      <c r="AQ94" s="379" t="e">
        <f>#N/A</f>
        <v>#N/A</v>
      </c>
    </row>
    <row r="95" spans="1:43" s="379" customFormat="1">
      <c r="A95" s="387">
        <v>93</v>
      </c>
      <c r="B95" s="388" t="s">
        <v>537</v>
      </c>
      <c r="C95" s="402">
        <v>596276</v>
      </c>
      <c r="D95" s="413" t="s">
        <v>538</v>
      </c>
      <c r="E95" s="403" t="s">
        <v>82</v>
      </c>
      <c r="F95" s="403">
        <v>11</v>
      </c>
      <c r="G95" s="391" t="s">
        <v>354</v>
      </c>
      <c r="H95" s="391">
        <v>294671</v>
      </c>
      <c r="I95" s="181">
        <v>17114</v>
      </c>
      <c r="K95" s="379">
        <f t="shared" si="1"/>
        <v>1711.4</v>
      </c>
      <c r="L95" s="379">
        <v>10</v>
      </c>
      <c r="M95" s="379">
        <v>17538</v>
      </c>
      <c r="AQ95" s="379" t="e">
        <f>#N/A</f>
        <v>#N/A</v>
      </c>
    </row>
    <row r="96" spans="1:43" s="379" customFormat="1">
      <c r="A96" s="387">
        <v>94</v>
      </c>
      <c r="B96" s="388" t="s">
        <v>539</v>
      </c>
      <c r="C96" s="402">
        <v>596277</v>
      </c>
      <c r="D96" s="390" t="s">
        <v>540</v>
      </c>
      <c r="E96" s="403" t="s">
        <v>82</v>
      </c>
      <c r="F96" s="403">
        <v>33</v>
      </c>
      <c r="G96" s="391" t="s">
        <v>354</v>
      </c>
      <c r="H96" s="391">
        <v>412149</v>
      </c>
      <c r="I96" s="181">
        <v>49291</v>
      </c>
      <c r="K96" s="379">
        <f t="shared" si="1"/>
        <v>4929.1000000000004</v>
      </c>
      <c r="L96" s="379">
        <v>10</v>
      </c>
      <c r="M96" s="379">
        <v>45441</v>
      </c>
      <c r="AQ96" s="379" t="e">
        <f>#N/A</f>
        <v>#N/A</v>
      </c>
    </row>
    <row r="97" spans="1:43" s="379" customFormat="1">
      <c r="A97" s="387">
        <v>95</v>
      </c>
      <c r="B97" s="388" t="s">
        <v>541</v>
      </c>
      <c r="C97" s="402">
        <v>596281</v>
      </c>
      <c r="D97" s="390" t="s">
        <v>542</v>
      </c>
      <c r="E97" s="403" t="s">
        <v>82</v>
      </c>
      <c r="F97" s="403">
        <v>11</v>
      </c>
      <c r="G97" s="391" t="s">
        <v>354</v>
      </c>
      <c r="H97" s="391">
        <v>744748</v>
      </c>
      <c r="I97" s="181">
        <v>83637</v>
      </c>
      <c r="K97" s="379">
        <f t="shared" si="1"/>
        <v>8363.7000000000007</v>
      </c>
      <c r="L97" s="379">
        <v>10</v>
      </c>
      <c r="M97" s="379">
        <v>72279</v>
      </c>
      <c r="AQ97" s="379" t="e">
        <f>#N/A</f>
        <v>#N/A</v>
      </c>
    </row>
    <row r="98" spans="1:43" s="379" customFormat="1">
      <c r="A98" s="387">
        <v>96</v>
      </c>
      <c r="B98" s="388" t="s">
        <v>543</v>
      </c>
      <c r="C98" s="402">
        <v>596282</v>
      </c>
      <c r="D98" s="390" t="s">
        <v>544</v>
      </c>
      <c r="E98" s="403" t="s">
        <v>81</v>
      </c>
      <c r="F98" s="403">
        <v>11</v>
      </c>
      <c r="G98" s="391" t="s">
        <v>354</v>
      </c>
      <c r="H98" s="391">
        <v>30766</v>
      </c>
      <c r="I98" s="181">
        <v>5941</v>
      </c>
      <c r="K98" s="379">
        <f t="shared" si="1"/>
        <v>594.1</v>
      </c>
      <c r="L98" s="379">
        <v>10</v>
      </c>
      <c r="M98" s="379">
        <v>6064</v>
      </c>
      <c r="AQ98" s="379" t="e">
        <f>#N/A</f>
        <v>#N/A</v>
      </c>
    </row>
    <row r="99" spans="1:43" s="379" customFormat="1">
      <c r="A99" s="387">
        <v>97</v>
      </c>
      <c r="B99" s="388" t="s">
        <v>545</v>
      </c>
      <c r="C99" s="402">
        <v>596284</v>
      </c>
      <c r="D99" s="390" t="s">
        <v>546</v>
      </c>
      <c r="E99" s="403" t="s">
        <v>82</v>
      </c>
      <c r="F99" s="403">
        <v>33</v>
      </c>
      <c r="G99" s="391" t="s">
        <v>354</v>
      </c>
      <c r="H99" s="391">
        <v>952614</v>
      </c>
      <c r="I99" s="181">
        <v>19008</v>
      </c>
      <c r="K99" s="379">
        <f t="shared" si="1"/>
        <v>1900.8</v>
      </c>
      <c r="L99" s="379">
        <v>10</v>
      </c>
      <c r="M99" s="379">
        <v>46021</v>
      </c>
      <c r="AQ99" s="379" t="e">
        <f>#N/A</f>
        <v>#N/A</v>
      </c>
    </row>
    <row r="100" spans="1:43" s="379" customFormat="1">
      <c r="A100" s="387">
        <v>98</v>
      </c>
      <c r="B100" s="388" t="s">
        <v>547</v>
      </c>
      <c r="C100" s="402">
        <v>596285</v>
      </c>
      <c r="D100" s="390" t="s">
        <v>548</v>
      </c>
      <c r="E100" s="403" t="s">
        <v>82</v>
      </c>
      <c r="F100" s="403">
        <v>11</v>
      </c>
      <c r="G100" s="391" t="s">
        <v>354</v>
      </c>
      <c r="H100" s="391">
        <v>136480</v>
      </c>
      <c r="I100" s="181">
        <v>9488</v>
      </c>
      <c r="K100" s="379">
        <f t="shared" si="1"/>
        <v>948.8</v>
      </c>
      <c r="L100" s="379">
        <v>10</v>
      </c>
      <c r="M100" s="379">
        <v>11258</v>
      </c>
      <c r="AQ100" s="379" t="e">
        <f>#N/A</f>
        <v>#N/A</v>
      </c>
    </row>
    <row r="101" spans="1:43" s="379" customFormat="1">
      <c r="A101" s="387">
        <v>99</v>
      </c>
      <c r="B101" s="388" t="s">
        <v>549</v>
      </c>
      <c r="C101" s="402">
        <v>596288</v>
      </c>
      <c r="D101" s="390" t="s">
        <v>550</v>
      </c>
      <c r="E101" s="403" t="s">
        <v>83</v>
      </c>
      <c r="F101" s="403">
        <v>11</v>
      </c>
      <c r="G101" s="391" t="s">
        <v>354</v>
      </c>
      <c r="H101" s="391">
        <v>714648</v>
      </c>
      <c r="I101" s="181">
        <v>108528</v>
      </c>
      <c r="K101" s="379">
        <f t="shared" si="1"/>
        <v>10852.8</v>
      </c>
      <c r="L101" s="379">
        <v>10</v>
      </c>
      <c r="M101" s="379">
        <v>108059</v>
      </c>
      <c r="AQ101" s="379" t="e">
        <f>#N/A</f>
        <v>#N/A</v>
      </c>
    </row>
    <row r="102" spans="1:43" s="379" customFormat="1">
      <c r="A102" s="387">
        <v>100</v>
      </c>
      <c r="B102" s="388" t="s">
        <v>551</v>
      </c>
      <c r="C102" s="402">
        <v>596289</v>
      </c>
      <c r="D102" s="390" t="s">
        <v>552</v>
      </c>
      <c r="E102" s="403" t="s">
        <v>82</v>
      </c>
      <c r="F102" s="403">
        <v>33</v>
      </c>
      <c r="G102" s="391" t="s">
        <v>354</v>
      </c>
      <c r="H102" s="391">
        <v>191282</v>
      </c>
      <c r="I102" s="181">
        <v>121479</v>
      </c>
      <c r="K102" s="379">
        <f t="shared" si="1"/>
        <v>12147.9</v>
      </c>
      <c r="L102" s="379">
        <v>10</v>
      </c>
      <c r="M102" s="379">
        <v>96930</v>
      </c>
      <c r="AQ102" s="379" t="e">
        <f>#N/A</f>
        <v>#N/A</v>
      </c>
    </row>
    <row r="103" spans="1:43" s="379" customFormat="1">
      <c r="A103" s="387">
        <v>101</v>
      </c>
      <c r="B103" s="388" t="s">
        <v>553</v>
      </c>
      <c r="C103" s="389">
        <v>596292</v>
      </c>
      <c r="D103" s="390" t="s">
        <v>554</v>
      </c>
      <c r="E103" s="388" t="s">
        <v>82</v>
      </c>
      <c r="F103" s="388">
        <v>33</v>
      </c>
      <c r="G103" s="414" t="s">
        <v>354</v>
      </c>
      <c r="H103" s="414">
        <v>978721</v>
      </c>
      <c r="I103" s="181">
        <v>204381</v>
      </c>
      <c r="K103" s="379">
        <f t="shared" si="1"/>
        <v>20438.099999999999</v>
      </c>
      <c r="L103" s="379">
        <v>10</v>
      </c>
      <c r="M103" s="379">
        <v>257418</v>
      </c>
      <c r="AQ103" s="379" t="e">
        <f>#N/A</f>
        <v>#N/A</v>
      </c>
    </row>
    <row r="104" spans="1:43" s="379" customFormat="1">
      <c r="A104" s="387">
        <v>102</v>
      </c>
      <c r="B104" s="388" t="s">
        <v>555</v>
      </c>
      <c r="C104" s="389">
        <v>596293</v>
      </c>
      <c r="D104" s="392" t="s">
        <v>556</v>
      </c>
      <c r="E104" s="388" t="s">
        <v>82</v>
      </c>
      <c r="F104" s="388">
        <v>33</v>
      </c>
      <c r="G104" s="414" t="s">
        <v>354</v>
      </c>
      <c r="H104" s="414">
        <v>169025</v>
      </c>
      <c r="I104" s="181">
        <v>42105</v>
      </c>
      <c r="K104" s="379">
        <f t="shared" si="1"/>
        <v>4210.5</v>
      </c>
      <c r="L104" s="379">
        <v>10</v>
      </c>
      <c r="M104" s="379">
        <v>18477</v>
      </c>
      <c r="AQ104" s="379" t="e">
        <f>#N/A</f>
        <v>#N/A</v>
      </c>
    </row>
    <row r="105" spans="1:43" s="379" customFormat="1">
      <c r="A105" s="387">
        <v>103</v>
      </c>
      <c r="B105" s="388" t="s">
        <v>557</v>
      </c>
      <c r="C105" s="389">
        <v>596294</v>
      </c>
      <c r="D105" s="390" t="s">
        <v>558</v>
      </c>
      <c r="E105" s="388" t="s">
        <v>83</v>
      </c>
      <c r="F105" s="388">
        <v>11</v>
      </c>
      <c r="G105" s="414" t="s">
        <v>354</v>
      </c>
      <c r="H105" s="414">
        <v>228842</v>
      </c>
      <c r="I105" s="181">
        <v>51918</v>
      </c>
      <c r="K105" s="379">
        <f t="shared" si="1"/>
        <v>5191.8</v>
      </c>
      <c r="L105" s="379">
        <v>10</v>
      </c>
      <c r="M105" s="379">
        <v>99213.3</v>
      </c>
      <c r="AQ105" s="379" t="e">
        <f>#N/A</f>
        <v>#N/A</v>
      </c>
    </row>
    <row r="106" spans="1:43" s="379" customFormat="1">
      <c r="A106" s="387">
        <v>104</v>
      </c>
      <c r="B106" s="388" t="s">
        <v>559</v>
      </c>
      <c r="C106" s="389">
        <v>596296</v>
      </c>
      <c r="D106" s="390" t="s">
        <v>560</v>
      </c>
      <c r="E106" s="388" t="s">
        <v>80</v>
      </c>
      <c r="F106" s="388">
        <v>33</v>
      </c>
      <c r="G106" s="414" t="s">
        <v>354</v>
      </c>
      <c r="H106" s="414">
        <v>259470</v>
      </c>
      <c r="I106" s="181">
        <v>30119</v>
      </c>
      <c r="K106" s="379">
        <f t="shared" si="1"/>
        <v>3011.9</v>
      </c>
      <c r="L106" s="379">
        <v>10</v>
      </c>
      <c r="M106" s="379">
        <v>30131</v>
      </c>
      <c r="AQ106" s="379" t="e">
        <f>#N/A</f>
        <v>#N/A</v>
      </c>
    </row>
    <row r="107" spans="1:43" s="379" customFormat="1">
      <c r="A107" s="387">
        <v>105</v>
      </c>
      <c r="B107" s="388" t="s">
        <v>561</v>
      </c>
      <c r="C107" s="389">
        <v>596297</v>
      </c>
      <c r="D107" s="393" t="s">
        <v>562</v>
      </c>
      <c r="E107" s="388" t="s">
        <v>83</v>
      </c>
      <c r="F107" s="388">
        <v>11</v>
      </c>
      <c r="G107" s="414" t="s">
        <v>354</v>
      </c>
      <c r="H107" s="414">
        <v>201642</v>
      </c>
      <c r="I107" s="181">
        <v>0</v>
      </c>
      <c r="K107" s="379">
        <f t="shared" si="1"/>
        <v>0</v>
      </c>
      <c r="L107" s="379">
        <v>10</v>
      </c>
      <c r="M107" s="379">
        <v>0</v>
      </c>
      <c r="AQ107" s="379" t="e">
        <f>#N/A</f>
        <v>#N/A</v>
      </c>
    </row>
    <row r="108" spans="1:43" s="379" customFormat="1">
      <c r="A108" s="387">
        <v>106</v>
      </c>
      <c r="B108" s="388" t="s">
        <v>563</v>
      </c>
      <c r="C108" s="389">
        <v>596299</v>
      </c>
      <c r="D108" s="393" t="s">
        <v>564</v>
      </c>
      <c r="E108" s="388" t="s">
        <v>83</v>
      </c>
      <c r="F108" s="388">
        <v>11</v>
      </c>
      <c r="G108" s="414" t="s">
        <v>354</v>
      </c>
      <c r="H108" s="414">
        <v>462145</v>
      </c>
      <c r="I108" s="181">
        <v>67296</v>
      </c>
      <c r="K108" s="379">
        <f t="shared" si="1"/>
        <v>6729.6</v>
      </c>
      <c r="L108" s="379">
        <v>10</v>
      </c>
      <c r="M108" s="379">
        <v>48562</v>
      </c>
      <c r="AQ108" s="379" t="e">
        <f>#N/A</f>
        <v>#N/A</v>
      </c>
    </row>
    <row r="109" spans="1:43" s="379" customFormat="1">
      <c r="A109" s="387">
        <v>107</v>
      </c>
      <c r="B109" s="388" t="s">
        <v>565</v>
      </c>
      <c r="C109" s="389">
        <v>596300</v>
      </c>
      <c r="D109" s="390" t="s">
        <v>566</v>
      </c>
      <c r="E109" s="388" t="s">
        <v>82</v>
      </c>
      <c r="F109" s="388">
        <v>11</v>
      </c>
      <c r="G109" s="414" t="s">
        <v>354</v>
      </c>
      <c r="H109" s="414">
        <v>653055</v>
      </c>
      <c r="I109" s="181">
        <v>75443</v>
      </c>
      <c r="K109" s="379">
        <f t="shared" si="1"/>
        <v>7544.3</v>
      </c>
      <c r="L109" s="379">
        <v>10</v>
      </c>
      <c r="M109" s="379">
        <v>97862</v>
      </c>
      <c r="AQ109" s="379" t="e">
        <f>#N/A</f>
        <v>#N/A</v>
      </c>
    </row>
    <row r="110" spans="1:43" s="379" customFormat="1">
      <c r="A110" s="387">
        <v>108</v>
      </c>
      <c r="B110" s="388" t="s">
        <v>567</v>
      </c>
      <c r="C110" s="389">
        <v>596301</v>
      </c>
      <c r="D110" s="390" t="s">
        <v>568</v>
      </c>
      <c r="E110" s="388" t="s">
        <v>81</v>
      </c>
      <c r="F110" s="388">
        <v>33</v>
      </c>
      <c r="G110" s="414" t="s">
        <v>354</v>
      </c>
      <c r="H110" s="414">
        <v>1266349</v>
      </c>
      <c r="I110" s="181">
        <v>168657</v>
      </c>
      <c r="K110" s="379">
        <f t="shared" si="1"/>
        <v>16865.7</v>
      </c>
      <c r="L110" s="379">
        <v>10</v>
      </c>
      <c r="M110" s="379">
        <v>135075</v>
      </c>
      <c r="AQ110" s="379" t="e">
        <f>#N/A</f>
        <v>#N/A</v>
      </c>
    </row>
    <row r="111" spans="1:43" s="379" customFormat="1">
      <c r="A111" s="387">
        <v>109</v>
      </c>
      <c r="B111" s="388" t="s">
        <v>569</v>
      </c>
      <c r="C111" s="389">
        <v>596302</v>
      </c>
      <c r="D111" s="390" t="s">
        <v>570</v>
      </c>
      <c r="E111" s="388" t="s">
        <v>82</v>
      </c>
      <c r="F111" s="388">
        <v>11</v>
      </c>
      <c r="G111" s="414" t="s">
        <v>354</v>
      </c>
      <c r="H111" s="414">
        <v>90599</v>
      </c>
      <c r="I111" s="181">
        <v>20055</v>
      </c>
      <c r="K111" s="379">
        <f t="shared" si="1"/>
        <v>2005.5</v>
      </c>
      <c r="L111" s="379">
        <v>10</v>
      </c>
      <c r="M111" s="379">
        <v>16223</v>
      </c>
      <c r="AQ111" s="379" t="e">
        <f>#N/A</f>
        <v>#N/A</v>
      </c>
    </row>
    <row r="112" spans="1:43" s="379" customFormat="1">
      <c r="A112" s="387">
        <v>110</v>
      </c>
      <c r="B112" s="388" t="s">
        <v>571</v>
      </c>
      <c r="C112" s="389">
        <v>596304</v>
      </c>
      <c r="D112" s="390" t="s">
        <v>572</v>
      </c>
      <c r="E112" s="388" t="s">
        <v>80</v>
      </c>
      <c r="F112" s="388">
        <v>11</v>
      </c>
      <c r="G112" s="414" t="s">
        <v>354</v>
      </c>
      <c r="H112" s="414">
        <v>42616</v>
      </c>
      <c r="I112" s="181">
        <v>0</v>
      </c>
      <c r="K112" s="379">
        <f t="shared" si="1"/>
        <v>0</v>
      </c>
      <c r="L112" s="379">
        <v>10</v>
      </c>
      <c r="M112" s="379">
        <v>1397</v>
      </c>
      <c r="AQ112" s="379" t="e">
        <f>#N/A</f>
        <v>#N/A</v>
      </c>
    </row>
    <row r="113" spans="1:43" s="379" customFormat="1">
      <c r="A113" s="387">
        <v>111</v>
      </c>
      <c r="B113" s="388" t="s">
        <v>573</v>
      </c>
      <c r="C113" s="389">
        <v>596306</v>
      </c>
      <c r="D113" s="390" t="s">
        <v>574</v>
      </c>
      <c r="E113" s="388" t="s">
        <v>81</v>
      </c>
      <c r="F113" s="388">
        <v>33</v>
      </c>
      <c r="G113" s="414" t="s">
        <v>354</v>
      </c>
      <c r="H113" s="414">
        <v>170206</v>
      </c>
      <c r="I113" s="181">
        <v>0</v>
      </c>
      <c r="K113" s="379">
        <f t="shared" si="1"/>
        <v>0</v>
      </c>
      <c r="L113" s="379">
        <v>10</v>
      </c>
      <c r="M113" s="379">
        <v>0</v>
      </c>
      <c r="AQ113" s="379" t="e">
        <f>#N/A</f>
        <v>#N/A</v>
      </c>
    </row>
    <row r="114" spans="1:43" s="379" customFormat="1">
      <c r="A114" s="387">
        <v>112</v>
      </c>
      <c r="B114" s="388" t="s">
        <v>575</v>
      </c>
      <c r="C114" s="389">
        <v>596307</v>
      </c>
      <c r="D114" s="390" t="s">
        <v>576</v>
      </c>
      <c r="E114" s="388" t="s">
        <v>83</v>
      </c>
      <c r="F114" s="388">
        <v>33</v>
      </c>
      <c r="G114" s="414" t="s">
        <v>354</v>
      </c>
      <c r="H114" s="414">
        <v>208705</v>
      </c>
      <c r="I114" s="181">
        <v>30765</v>
      </c>
      <c r="K114" s="379">
        <f t="shared" si="1"/>
        <v>3076.5</v>
      </c>
      <c r="L114" s="379">
        <v>10</v>
      </c>
      <c r="M114" s="379">
        <v>22411</v>
      </c>
      <c r="AQ114" s="379" t="e">
        <f>#N/A</f>
        <v>#N/A</v>
      </c>
    </row>
    <row r="115" spans="1:43" s="379" customFormat="1">
      <c r="A115" s="387">
        <v>113</v>
      </c>
      <c r="B115" s="388" t="s">
        <v>577</v>
      </c>
      <c r="C115" s="389">
        <v>596308</v>
      </c>
      <c r="D115" s="392" t="s">
        <v>578</v>
      </c>
      <c r="E115" s="388" t="s">
        <v>80</v>
      </c>
      <c r="F115" s="388">
        <v>33</v>
      </c>
      <c r="G115" s="414" t="s">
        <v>354</v>
      </c>
      <c r="H115" s="414">
        <v>1012098</v>
      </c>
      <c r="I115" s="181">
        <v>164456</v>
      </c>
      <c r="K115" s="379">
        <f t="shared" si="1"/>
        <v>16445.599999999999</v>
      </c>
      <c r="L115" s="379">
        <v>10</v>
      </c>
      <c r="M115" s="379">
        <v>157388</v>
      </c>
      <c r="AQ115" s="379" t="e">
        <f>#N/A</f>
        <v>#N/A</v>
      </c>
    </row>
    <row r="116" spans="1:43" s="379" customFormat="1">
      <c r="A116" s="387">
        <v>114</v>
      </c>
      <c r="B116" s="388" t="s">
        <v>579</v>
      </c>
      <c r="C116" s="389">
        <v>596309</v>
      </c>
      <c r="D116" s="393" t="s">
        <v>580</v>
      </c>
      <c r="E116" s="388" t="s">
        <v>80</v>
      </c>
      <c r="F116" s="388">
        <v>33</v>
      </c>
      <c r="G116" s="414" t="s">
        <v>354</v>
      </c>
      <c r="H116" s="414">
        <v>252089</v>
      </c>
      <c r="I116" s="181">
        <v>25910</v>
      </c>
      <c r="K116" s="379">
        <f t="shared" si="1"/>
        <v>2591</v>
      </c>
      <c r="L116" s="379">
        <v>10</v>
      </c>
      <c r="M116" s="379">
        <v>42957</v>
      </c>
      <c r="AQ116" s="379" t="e">
        <f>#N/A</f>
        <v>#N/A</v>
      </c>
    </row>
    <row r="117" spans="1:43" s="379" customFormat="1">
      <c r="A117" s="387">
        <v>115</v>
      </c>
      <c r="B117" s="388" t="s">
        <v>581</v>
      </c>
      <c r="C117" s="389">
        <v>596311</v>
      </c>
      <c r="D117" s="390" t="s">
        <v>582</v>
      </c>
      <c r="E117" s="388" t="s">
        <v>80</v>
      </c>
      <c r="F117" s="388">
        <v>33</v>
      </c>
      <c r="G117" s="414" t="s">
        <v>354</v>
      </c>
      <c r="H117" s="414">
        <v>104534</v>
      </c>
      <c r="I117" s="181">
        <v>16917</v>
      </c>
      <c r="K117" s="379">
        <f t="shared" si="1"/>
        <v>1691.7</v>
      </c>
      <c r="L117" s="379">
        <v>10</v>
      </c>
      <c r="M117" s="379">
        <v>11722</v>
      </c>
      <c r="AQ117" s="379" t="e">
        <f>#N/A</f>
        <v>#N/A</v>
      </c>
    </row>
    <row r="118" spans="1:43" s="379" customFormat="1">
      <c r="A118" s="387">
        <v>116</v>
      </c>
      <c r="B118" s="388" t="s">
        <v>583</v>
      </c>
      <c r="C118" s="389">
        <v>596312</v>
      </c>
      <c r="D118" s="390" t="s">
        <v>584</v>
      </c>
      <c r="E118" s="388" t="s">
        <v>80</v>
      </c>
      <c r="F118" s="388">
        <v>11</v>
      </c>
      <c r="G118" s="414" t="s">
        <v>354</v>
      </c>
      <c r="H118" s="414">
        <v>159859</v>
      </c>
      <c r="I118" s="181">
        <v>9754</v>
      </c>
      <c r="K118" s="379">
        <f t="shared" si="1"/>
        <v>975.4</v>
      </c>
      <c r="L118" s="379">
        <v>10</v>
      </c>
      <c r="M118" s="379">
        <v>8739</v>
      </c>
      <c r="AQ118" s="379" t="e">
        <f>#N/A</f>
        <v>#N/A</v>
      </c>
    </row>
    <row r="119" spans="1:43" s="379" customFormat="1">
      <c r="A119" s="387">
        <v>117</v>
      </c>
      <c r="B119" s="388" t="s">
        <v>585</v>
      </c>
      <c r="C119" s="389">
        <v>596313</v>
      </c>
      <c r="D119" s="390" t="s">
        <v>586</v>
      </c>
      <c r="E119" s="388" t="s">
        <v>82</v>
      </c>
      <c r="F119" s="388">
        <v>11</v>
      </c>
      <c r="G119" s="414" t="s">
        <v>354</v>
      </c>
      <c r="H119" s="414">
        <v>94353</v>
      </c>
      <c r="I119" s="181">
        <v>6678</v>
      </c>
      <c r="K119" s="379">
        <f t="shared" si="1"/>
        <v>667.8</v>
      </c>
      <c r="L119" s="379">
        <v>10</v>
      </c>
      <c r="M119" s="379">
        <v>9416</v>
      </c>
      <c r="AQ119" s="379" t="e">
        <f>#N/A</f>
        <v>#N/A</v>
      </c>
    </row>
    <row r="120" spans="1:43" s="379" customFormat="1">
      <c r="A120" s="387">
        <v>118</v>
      </c>
      <c r="B120" s="388" t="s">
        <v>587</v>
      </c>
      <c r="C120" s="389">
        <v>596314</v>
      </c>
      <c r="D120" s="390" t="s">
        <v>588</v>
      </c>
      <c r="E120" s="388" t="s">
        <v>82</v>
      </c>
      <c r="F120" s="388">
        <v>11</v>
      </c>
      <c r="G120" s="414" t="s">
        <v>354</v>
      </c>
      <c r="H120" s="414">
        <v>123960</v>
      </c>
      <c r="I120" s="181">
        <v>21656</v>
      </c>
      <c r="K120" s="379">
        <f t="shared" si="1"/>
        <v>2165.6</v>
      </c>
      <c r="L120" s="379">
        <v>10</v>
      </c>
      <c r="M120" s="379">
        <v>25463</v>
      </c>
      <c r="AQ120" s="379" t="e">
        <f>#N/A</f>
        <v>#N/A</v>
      </c>
    </row>
    <row r="121" spans="1:43" s="379" customFormat="1">
      <c r="A121" s="387">
        <v>119</v>
      </c>
      <c r="B121" s="388" t="s">
        <v>589</v>
      </c>
      <c r="C121" s="389">
        <v>596315</v>
      </c>
      <c r="D121" s="390" t="s">
        <v>590</v>
      </c>
      <c r="E121" s="388" t="s">
        <v>82</v>
      </c>
      <c r="F121" s="388">
        <v>33</v>
      </c>
      <c r="G121" s="414" t="s">
        <v>354</v>
      </c>
      <c r="H121" s="414">
        <v>374017</v>
      </c>
      <c r="I121" s="181">
        <v>125796</v>
      </c>
      <c r="K121" s="379">
        <f t="shared" si="1"/>
        <v>12579.6</v>
      </c>
      <c r="L121" s="379">
        <v>10</v>
      </c>
      <c r="M121" s="379">
        <v>148545</v>
      </c>
      <c r="AQ121" s="379" t="e">
        <f>#N/A</f>
        <v>#N/A</v>
      </c>
    </row>
    <row r="122" spans="1:43" s="379" customFormat="1">
      <c r="A122" s="387">
        <v>120</v>
      </c>
      <c r="B122" s="388" t="s">
        <v>591</v>
      </c>
      <c r="C122" s="389">
        <v>596317</v>
      </c>
      <c r="D122" s="390" t="s">
        <v>592</v>
      </c>
      <c r="E122" s="388" t="s">
        <v>83</v>
      </c>
      <c r="F122" s="388">
        <v>33</v>
      </c>
      <c r="G122" s="414" t="s">
        <v>354</v>
      </c>
      <c r="H122" s="414">
        <v>253223</v>
      </c>
      <c r="I122" s="181">
        <v>2260</v>
      </c>
      <c r="K122" s="379">
        <f t="shared" si="1"/>
        <v>226</v>
      </c>
      <c r="L122" s="379">
        <v>10</v>
      </c>
      <c r="M122" s="379">
        <v>25990</v>
      </c>
      <c r="AQ122" s="379" t="e">
        <f>#N/A</f>
        <v>#N/A</v>
      </c>
    </row>
    <row r="123" spans="1:43" s="379" customFormat="1">
      <c r="A123" s="387">
        <v>121</v>
      </c>
      <c r="B123" s="329" t="s">
        <v>593</v>
      </c>
      <c r="C123" s="389">
        <v>596318</v>
      </c>
      <c r="D123" s="390" t="s">
        <v>594</v>
      </c>
      <c r="E123" s="388" t="s">
        <v>82</v>
      </c>
      <c r="F123" s="388">
        <v>11</v>
      </c>
      <c r="G123" s="414" t="s">
        <v>354</v>
      </c>
      <c r="H123" s="414">
        <v>153931</v>
      </c>
      <c r="I123" s="181">
        <v>17092</v>
      </c>
      <c r="K123" s="379">
        <f t="shared" si="1"/>
        <v>1709.2</v>
      </c>
      <c r="L123" s="379">
        <v>10</v>
      </c>
      <c r="M123" s="379">
        <v>16360</v>
      </c>
      <c r="AQ123" s="379" t="e">
        <f>#N/A</f>
        <v>#N/A</v>
      </c>
    </row>
    <row r="124" spans="1:43" s="379" customFormat="1">
      <c r="A124" s="387">
        <v>122</v>
      </c>
      <c r="B124" s="388" t="s">
        <v>595</v>
      </c>
      <c r="C124" s="389">
        <v>596319</v>
      </c>
      <c r="D124" s="392" t="s">
        <v>596</v>
      </c>
      <c r="E124" s="388" t="s">
        <v>83</v>
      </c>
      <c r="F124" s="388">
        <v>11</v>
      </c>
      <c r="G124" s="414" t="s">
        <v>354</v>
      </c>
      <c r="H124" s="414">
        <v>471734</v>
      </c>
      <c r="I124" s="181">
        <v>81768</v>
      </c>
      <c r="K124" s="379">
        <f t="shared" si="1"/>
        <v>8176.8</v>
      </c>
      <c r="L124" s="379">
        <v>10</v>
      </c>
      <c r="M124" s="379">
        <v>80820</v>
      </c>
      <c r="AQ124" s="379" t="e">
        <f>#N/A</f>
        <v>#N/A</v>
      </c>
    </row>
    <row r="125" spans="1:43" s="379" customFormat="1">
      <c r="A125" s="387">
        <v>123</v>
      </c>
      <c r="B125" s="388" t="s">
        <v>597</v>
      </c>
      <c r="C125" s="389">
        <v>596320</v>
      </c>
      <c r="D125" s="390" t="s">
        <v>598</v>
      </c>
      <c r="E125" s="388" t="s">
        <v>80</v>
      </c>
      <c r="F125" s="388">
        <v>11</v>
      </c>
      <c r="G125" s="414" t="s">
        <v>354</v>
      </c>
      <c r="H125" s="414">
        <v>150200</v>
      </c>
      <c r="I125" s="181">
        <v>21698</v>
      </c>
      <c r="K125" s="379">
        <f t="shared" si="1"/>
        <v>2169.8000000000002</v>
      </c>
      <c r="L125" s="379">
        <v>10</v>
      </c>
      <c r="M125" s="379">
        <v>16456</v>
      </c>
      <c r="AQ125" s="379" t="e">
        <f>#N/A</f>
        <v>#N/A</v>
      </c>
    </row>
    <row r="126" spans="1:43" s="379" customFormat="1">
      <c r="A126" s="387">
        <v>124</v>
      </c>
      <c r="B126" s="388" t="s">
        <v>599</v>
      </c>
      <c r="C126" s="389">
        <v>596321</v>
      </c>
      <c r="D126" s="390" t="s">
        <v>600</v>
      </c>
      <c r="E126" s="388" t="s">
        <v>83</v>
      </c>
      <c r="F126" s="388">
        <v>33</v>
      </c>
      <c r="G126" s="414" t="s">
        <v>354</v>
      </c>
      <c r="H126" s="414">
        <v>221691</v>
      </c>
      <c r="I126" s="181">
        <v>32592</v>
      </c>
      <c r="K126" s="379">
        <f t="shared" si="1"/>
        <v>3259.2</v>
      </c>
      <c r="L126" s="379">
        <v>10</v>
      </c>
      <c r="M126" s="379">
        <v>28549</v>
      </c>
      <c r="AQ126" s="379" t="e">
        <f>#N/A</f>
        <v>#N/A</v>
      </c>
    </row>
    <row r="127" spans="1:43" s="379" customFormat="1">
      <c r="A127" s="387">
        <v>125</v>
      </c>
      <c r="B127" s="388" t="s">
        <v>601</v>
      </c>
      <c r="C127" s="389">
        <v>596322</v>
      </c>
      <c r="D127" s="390" t="s">
        <v>602</v>
      </c>
      <c r="E127" s="388" t="s">
        <v>83</v>
      </c>
      <c r="F127" s="388">
        <v>11</v>
      </c>
      <c r="G127" s="414" t="s">
        <v>354</v>
      </c>
      <c r="H127" s="414">
        <v>81125</v>
      </c>
      <c r="I127" s="181">
        <v>4765</v>
      </c>
      <c r="K127" s="379">
        <f t="shared" si="1"/>
        <v>476.5</v>
      </c>
      <c r="L127" s="379">
        <v>10</v>
      </c>
      <c r="M127" s="379">
        <v>9059</v>
      </c>
      <c r="AQ127" s="379" t="e">
        <f>#N/A</f>
        <v>#N/A</v>
      </c>
    </row>
    <row r="128" spans="1:43" s="379" customFormat="1">
      <c r="A128" s="387">
        <v>126</v>
      </c>
      <c r="B128" s="388" t="s">
        <v>603</v>
      </c>
      <c r="C128" s="389">
        <v>596323</v>
      </c>
      <c r="D128" s="390" t="s">
        <v>604</v>
      </c>
      <c r="E128" s="388" t="s">
        <v>80</v>
      </c>
      <c r="F128" s="388">
        <v>11</v>
      </c>
      <c r="G128" s="414" t="s">
        <v>354</v>
      </c>
      <c r="H128" s="414">
        <v>76033</v>
      </c>
      <c r="I128" s="181">
        <v>7564</v>
      </c>
      <c r="K128" s="379">
        <f t="shared" si="1"/>
        <v>756.4</v>
      </c>
      <c r="L128" s="379">
        <v>10</v>
      </c>
      <c r="M128" s="379">
        <v>5328</v>
      </c>
      <c r="AQ128" s="379" t="e">
        <f>#N/A</f>
        <v>#N/A</v>
      </c>
    </row>
    <row r="129" spans="1:43" s="379" customFormat="1">
      <c r="A129" s="387">
        <v>127</v>
      </c>
      <c r="B129" s="329" t="s">
        <v>605</v>
      </c>
      <c r="C129" s="389">
        <v>596324</v>
      </c>
      <c r="D129" s="390" t="s">
        <v>606</v>
      </c>
      <c r="E129" s="388" t="s">
        <v>80</v>
      </c>
      <c r="F129" s="388">
        <v>11</v>
      </c>
      <c r="G129" s="414" t="s">
        <v>354</v>
      </c>
      <c r="H129" s="414">
        <v>128117</v>
      </c>
      <c r="I129" s="181">
        <v>15308</v>
      </c>
      <c r="K129" s="379">
        <f t="shared" si="1"/>
        <v>1530.8</v>
      </c>
      <c r="L129" s="379">
        <v>10</v>
      </c>
      <c r="M129" s="86">
        <v>13747.5</v>
      </c>
      <c r="AQ129" s="379" t="e">
        <f>#N/A</f>
        <v>#N/A</v>
      </c>
    </row>
    <row r="130" spans="1:43" s="379" customFormat="1">
      <c r="A130" s="387">
        <v>128</v>
      </c>
      <c r="B130" s="329" t="s">
        <v>607</v>
      </c>
      <c r="C130" s="389">
        <v>596325</v>
      </c>
      <c r="D130" s="390" t="s">
        <v>608</v>
      </c>
      <c r="E130" s="388" t="s">
        <v>80</v>
      </c>
      <c r="F130" s="388">
        <v>11</v>
      </c>
      <c r="G130" s="414" t="s">
        <v>354</v>
      </c>
      <c r="H130" s="414">
        <v>52013</v>
      </c>
      <c r="I130" s="181">
        <v>4121</v>
      </c>
      <c r="K130" s="379">
        <f t="shared" si="1"/>
        <v>412.1</v>
      </c>
      <c r="L130" s="379">
        <v>10</v>
      </c>
      <c r="M130" s="86">
        <v>3648.6</v>
      </c>
      <c r="AQ130" s="379" t="e">
        <f>#N/A</f>
        <v>#N/A</v>
      </c>
    </row>
    <row r="131" spans="1:43" s="379" customFormat="1">
      <c r="A131" s="387">
        <v>129</v>
      </c>
      <c r="B131" s="388" t="s">
        <v>609</v>
      </c>
      <c r="C131" s="389">
        <v>596326</v>
      </c>
      <c r="D131" s="390" t="s">
        <v>610</v>
      </c>
      <c r="E131" s="388" t="s">
        <v>82</v>
      </c>
      <c r="F131" s="388">
        <v>11</v>
      </c>
      <c r="G131" s="414" t="s">
        <v>354</v>
      </c>
      <c r="H131" s="414">
        <v>163604</v>
      </c>
      <c r="I131" s="181">
        <v>14975</v>
      </c>
      <c r="K131" s="379">
        <f t="shared" ref="K131:K194" si="2">I131/L131</f>
        <v>1497.5</v>
      </c>
      <c r="L131" s="379">
        <v>10</v>
      </c>
      <c r="M131" s="86">
        <v>17061.3</v>
      </c>
      <c r="AQ131" s="379" t="e">
        <f>#N/A</f>
        <v>#N/A</v>
      </c>
    </row>
    <row r="132" spans="1:43" s="379" customFormat="1">
      <c r="A132" s="387">
        <v>130</v>
      </c>
      <c r="B132" s="388" t="s">
        <v>611</v>
      </c>
      <c r="C132" s="389">
        <v>596327</v>
      </c>
      <c r="D132" s="390" t="s">
        <v>612</v>
      </c>
      <c r="E132" s="388" t="s">
        <v>83</v>
      </c>
      <c r="F132" s="388">
        <v>33</v>
      </c>
      <c r="G132" s="414" t="s">
        <v>354</v>
      </c>
      <c r="H132" s="414">
        <v>456405</v>
      </c>
      <c r="I132" s="181">
        <v>94458</v>
      </c>
      <c r="K132" s="379">
        <f t="shared" si="2"/>
        <v>9445.7999999999993</v>
      </c>
      <c r="L132" s="379">
        <v>10</v>
      </c>
      <c r="M132" s="86">
        <v>85773.6</v>
      </c>
      <c r="AQ132" s="379" t="e">
        <f>#N/A</f>
        <v>#N/A</v>
      </c>
    </row>
    <row r="133" spans="1:43" s="379" customFormat="1">
      <c r="A133" s="387">
        <v>131</v>
      </c>
      <c r="B133" s="388" t="s">
        <v>613</v>
      </c>
      <c r="C133" s="389">
        <v>596329</v>
      </c>
      <c r="D133" s="390" t="s">
        <v>612</v>
      </c>
      <c r="E133" s="388" t="s">
        <v>82</v>
      </c>
      <c r="F133" s="388">
        <v>11</v>
      </c>
      <c r="G133" s="414" t="s">
        <v>354</v>
      </c>
      <c r="H133" s="414">
        <v>385033</v>
      </c>
      <c r="I133" s="181">
        <v>17301</v>
      </c>
      <c r="K133" s="379">
        <f t="shared" si="2"/>
        <v>1730.1</v>
      </c>
      <c r="L133" s="379">
        <v>10</v>
      </c>
      <c r="M133" s="86">
        <v>20424.599999999999</v>
      </c>
      <c r="AQ133" s="379" t="e">
        <f>#N/A</f>
        <v>#N/A</v>
      </c>
    </row>
    <row r="134" spans="1:43" s="379" customFormat="1">
      <c r="A134" s="387">
        <v>132</v>
      </c>
      <c r="B134" s="329" t="s">
        <v>614</v>
      </c>
      <c r="C134" s="389">
        <v>596330</v>
      </c>
      <c r="D134" s="390" t="s">
        <v>615</v>
      </c>
      <c r="E134" s="388" t="s">
        <v>82</v>
      </c>
      <c r="F134" s="388">
        <v>11</v>
      </c>
      <c r="G134" s="414" t="s">
        <v>354</v>
      </c>
      <c r="H134" s="414">
        <v>537610</v>
      </c>
      <c r="I134" s="181">
        <v>101066</v>
      </c>
      <c r="K134" s="379">
        <f t="shared" si="2"/>
        <v>10106.6</v>
      </c>
      <c r="L134" s="379">
        <v>10</v>
      </c>
      <c r="M134" s="86">
        <v>84944.7</v>
      </c>
      <c r="AQ134" s="379" t="e">
        <f>#N/A</f>
        <v>#N/A</v>
      </c>
    </row>
    <row r="135" spans="1:43" s="379" customFormat="1">
      <c r="A135" s="387">
        <v>133</v>
      </c>
      <c r="B135" s="388" t="s">
        <v>616</v>
      </c>
      <c r="C135" s="389">
        <v>596331</v>
      </c>
      <c r="D135" s="390" t="s">
        <v>617</v>
      </c>
      <c r="E135" s="388" t="s">
        <v>82</v>
      </c>
      <c r="F135" s="388">
        <v>11</v>
      </c>
      <c r="G135" s="414" t="s">
        <v>354</v>
      </c>
      <c r="H135" s="414">
        <v>96453</v>
      </c>
      <c r="I135" s="181">
        <v>9697</v>
      </c>
      <c r="K135" s="379">
        <f t="shared" si="2"/>
        <v>969.7</v>
      </c>
      <c r="L135" s="379">
        <v>10</v>
      </c>
      <c r="M135" s="86">
        <v>11032.2</v>
      </c>
      <c r="AQ135" s="379" t="e">
        <f>#N/A</f>
        <v>#N/A</v>
      </c>
    </row>
    <row r="136" spans="1:43" s="379" customFormat="1">
      <c r="A136" s="387">
        <v>134</v>
      </c>
      <c r="B136" s="388" t="s">
        <v>618</v>
      </c>
      <c r="C136" s="389">
        <v>596332</v>
      </c>
      <c r="D136" s="392" t="s">
        <v>619</v>
      </c>
      <c r="E136" s="388" t="s">
        <v>82</v>
      </c>
      <c r="F136" s="388">
        <v>33</v>
      </c>
      <c r="G136" s="414" t="s">
        <v>354</v>
      </c>
      <c r="H136" s="414">
        <v>126084</v>
      </c>
      <c r="I136" s="181">
        <v>23044</v>
      </c>
      <c r="K136" s="379">
        <f t="shared" si="2"/>
        <v>2304.4</v>
      </c>
      <c r="L136" s="379">
        <v>10</v>
      </c>
      <c r="M136" s="86">
        <v>18891.900000000001</v>
      </c>
      <c r="AQ136" s="379" t="e">
        <f>#N/A</f>
        <v>#N/A</v>
      </c>
    </row>
    <row r="137" spans="1:43" s="379" customFormat="1">
      <c r="A137" s="387">
        <v>135</v>
      </c>
      <c r="B137" s="388" t="s">
        <v>620</v>
      </c>
      <c r="C137" s="389">
        <v>596333</v>
      </c>
      <c r="D137" s="390" t="s">
        <v>621</v>
      </c>
      <c r="E137" s="388" t="s">
        <v>82</v>
      </c>
      <c r="F137" s="388">
        <v>11</v>
      </c>
      <c r="G137" s="414" t="s">
        <v>354</v>
      </c>
      <c r="H137" s="414">
        <v>170803</v>
      </c>
      <c r="I137" s="181">
        <v>30533</v>
      </c>
      <c r="K137" s="379">
        <f t="shared" si="2"/>
        <v>3053.3</v>
      </c>
      <c r="L137" s="379">
        <v>10</v>
      </c>
      <c r="M137" s="86">
        <v>34643.699999999997</v>
      </c>
      <c r="AQ137" s="379" t="e">
        <f>#N/A</f>
        <v>#N/A</v>
      </c>
    </row>
    <row r="138" spans="1:43" s="379" customFormat="1">
      <c r="A138" s="387">
        <v>136</v>
      </c>
      <c r="B138" s="388" t="s">
        <v>622</v>
      </c>
      <c r="C138" s="389">
        <v>596334</v>
      </c>
      <c r="D138" s="390" t="s">
        <v>623</v>
      </c>
      <c r="E138" s="388" t="s">
        <v>82</v>
      </c>
      <c r="F138" s="388">
        <v>11</v>
      </c>
      <c r="G138" s="414" t="s">
        <v>354</v>
      </c>
      <c r="H138" s="414">
        <v>112597</v>
      </c>
      <c r="I138" s="181">
        <v>27803</v>
      </c>
      <c r="K138" s="379">
        <f t="shared" si="2"/>
        <v>2780.3</v>
      </c>
      <c r="L138" s="379">
        <v>10</v>
      </c>
      <c r="M138" s="86">
        <v>24536.7</v>
      </c>
      <c r="AQ138" s="379" t="e">
        <f>#N/A</f>
        <v>#N/A</v>
      </c>
    </row>
    <row r="139" spans="1:43" s="379" customFormat="1">
      <c r="A139" s="387">
        <v>137</v>
      </c>
      <c r="B139" s="388" t="s">
        <v>624</v>
      </c>
      <c r="C139" s="389">
        <v>596336</v>
      </c>
      <c r="D139" s="393" t="s">
        <v>625</v>
      </c>
      <c r="E139" s="388" t="s">
        <v>82</v>
      </c>
      <c r="F139" s="388">
        <v>11</v>
      </c>
      <c r="G139" s="414" t="s">
        <v>354</v>
      </c>
      <c r="H139" s="414">
        <v>89263</v>
      </c>
      <c r="I139" s="181">
        <v>22401</v>
      </c>
      <c r="K139" s="379">
        <f t="shared" si="2"/>
        <v>2240.1</v>
      </c>
      <c r="L139" s="379">
        <v>10</v>
      </c>
      <c r="M139" s="86">
        <v>28808.1</v>
      </c>
      <c r="AQ139" s="379" t="e">
        <f>#N/A</f>
        <v>#N/A</v>
      </c>
    </row>
    <row r="140" spans="1:43" s="379" customFormat="1">
      <c r="A140" s="387">
        <v>138</v>
      </c>
      <c r="B140" s="388" t="s">
        <v>626</v>
      </c>
      <c r="C140" s="389">
        <v>596337</v>
      </c>
      <c r="D140" s="390" t="s">
        <v>627</v>
      </c>
      <c r="E140" s="388" t="s">
        <v>80</v>
      </c>
      <c r="F140" s="388">
        <v>11</v>
      </c>
      <c r="G140" s="414" t="s">
        <v>354</v>
      </c>
      <c r="H140" s="414">
        <v>203792</v>
      </c>
      <c r="I140" s="181">
        <v>68292</v>
      </c>
      <c r="K140" s="379">
        <f t="shared" si="2"/>
        <v>6829.2</v>
      </c>
      <c r="L140" s="379">
        <v>10</v>
      </c>
      <c r="M140" s="86">
        <v>73545.3</v>
      </c>
      <c r="AQ140" s="379" t="e">
        <f>#N/A</f>
        <v>#N/A</v>
      </c>
    </row>
    <row r="141" spans="1:43" s="379" customFormat="1">
      <c r="A141" s="387">
        <v>139</v>
      </c>
      <c r="B141" s="388" t="s">
        <v>628</v>
      </c>
      <c r="C141" s="389">
        <v>596338</v>
      </c>
      <c r="D141" s="390" t="s">
        <v>629</v>
      </c>
      <c r="E141" s="388" t="s">
        <v>80</v>
      </c>
      <c r="F141" s="388">
        <v>33</v>
      </c>
      <c r="G141" s="414" t="s">
        <v>354</v>
      </c>
      <c r="H141" s="414">
        <v>298548</v>
      </c>
      <c r="I141" s="181">
        <v>29253</v>
      </c>
      <c r="K141" s="379">
        <f t="shared" si="2"/>
        <v>2925.3</v>
      </c>
      <c r="L141" s="379">
        <v>10</v>
      </c>
      <c r="M141" s="86">
        <v>24366.6</v>
      </c>
      <c r="AQ141" s="379" t="e">
        <f>#N/A</f>
        <v>#N/A</v>
      </c>
    </row>
    <row r="142" spans="1:43" s="379" customFormat="1">
      <c r="A142" s="387">
        <v>140</v>
      </c>
      <c r="B142" s="388" t="s">
        <v>630</v>
      </c>
      <c r="C142" s="389">
        <v>596340</v>
      </c>
      <c r="D142" s="390" t="s">
        <v>631</v>
      </c>
      <c r="E142" s="388" t="s">
        <v>82</v>
      </c>
      <c r="F142" s="388">
        <v>33</v>
      </c>
      <c r="G142" s="414" t="s">
        <v>354</v>
      </c>
      <c r="H142" s="414">
        <v>154077</v>
      </c>
      <c r="I142" s="181">
        <v>32907</v>
      </c>
      <c r="K142" s="379">
        <f t="shared" si="2"/>
        <v>3290.7</v>
      </c>
      <c r="L142" s="379">
        <v>10</v>
      </c>
      <c r="M142" s="86">
        <v>28500.3</v>
      </c>
      <c r="AQ142" s="379" t="e">
        <f>#N/A</f>
        <v>#N/A</v>
      </c>
    </row>
    <row r="143" spans="1:43" s="379" customFormat="1">
      <c r="A143" s="387">
        <v>141</v>
      </c>
      <c r="B143" s="388" t="s">
        <v>632</v>
      </c>
      <c r="C143" s="389">
        <v>596342</v>
      </c>
      <c r="D143" s="390" t="s">
        <v>633</v>
      </c>
      <c r="E143" s="388" t="s">
        <v>80</v>
      </c>
      <c r="F143" s="388">
        <v>33</v>
      </c>
      <c r="G143" s="414" t="s">
        <v>354</v>
      </c>
      <c r="H143" s="414">
        <v>71487</v>
      </c>
      <c r="I143" s="181">
        <v>6095</v>
      </c>
      <c r="K143" s="379">
        <f t="shared" si="2"/>
        <v>609.5</v>
      </c>
      <c r="L143" s="379">
        <v>10</v>
      </c>
      <c r="M143" s="86">
        <v>5670</v>
      </c>
      <c r="AQ143" s="379" t="e">
        <f>#N/A</f>
        <v>#N/A</v>
      </c>
    </row>
    <row r="144" spans="1:43" s="379" customFormat="1">
      <c r="A144" s="387">
        <v>142</v>
      </c>
      <c r="B144" s="388" t="s">
        <v>634</v>
      </c>
      <c r="C144" s="389">
        <v>596343</v>
      </c>
      <c r="D144" s="393" t="s">
        <v>635</v>
      </c>
      <c r="E144" s="388" t="s">
        <v>83</v>
      </c>
      <c r="F144" s="388">
        <v>11</v>
      </c>
      <c r="G144" s="414" t="s">
        <v>354</v>
      </c>
      <c r="H144" s="414">
        <v>208524</v>
      </c>
      <c r="I144" s="181">
        <v>31783</v>
      </c>
      <c r="K144" s="379">
        <f t="shared" si="2"/>
        <v>3178.3</v>
      </c>
      <c r="L144" s="379">
        <v>10</v>
      </c>
      <c r="M144" s="86">
        <v>32887.800000000003</v>
      </c>
      <c r="AQ144" s="379" t="e">
        <f>#N/A</f>
        <v>#N/A</v>
      </c>
    </row>
    <row r="145" spans="1:43" s="379" customFormat="1">
      <c r="A145" s="387">
        <v>143</v>
      </c>
      <c r="B145" s="388" t="s">
        <v>636</v>
      </c>
      <c r="C145" s="389">
        <v>596345</v>
      </c>
      <c r="D145" s="390" t="s">
        <v>637</v>
      </c>
      <c r="E145" s="388" t="s">
        <v>82</v>
      </c>
      <c r="F145" s="388">
        <v>33</v>
      </c>
      <c r="G145" s="414" t="s">
        <v>354</v>
      </c>
      <c r="H145" s="414">
        <v>29294</v>
      </c>
      <c r="I145" s="181">
        <v>843</v>
      </c>
      <c r="K145" s="379">
        <f t="shared" si="2"/>
        <v>84.3</v>
      </c>
      <c r="L145" s="379">
        <v>10</v>
      </c>
      <c r="M145" s="86">
        <v>819.9</v>
      </c>
      <c r="AQ145" s="379" t="e">
        <f>#N/A</f>
        <v>#N/A</v>
      </c>
    </row>
    <row r="146" spans="1:43" s="379" customFormat="1">
      <c r="A146" s="387">
        <v>144</v>
      </c>
      <c r="B146" s="388" t="s">
        <v>638</v>
      </c>
      <c r="C146" s="389">
        <v>596346</v>
      </c>
      <c r="D146" s="390" t="s">
        <v>639</v>
      </c>
      <c r="E146" s="388" t="s">
        <v>80</v>
      </c>
      <c r="F146" s="388">
        <v>33</v>
      </c>
      <c r="G146" s="414" t="s">
        <v>354</v>
      </c>
      <c r="H146" s="414">
        <v>108467</v>
      </c>
      <c r="I146" s="181">
        <v>11074</v>
      </c>
      <c r="K146" s="379">
        <f t="shared" si="2"/>
        <v>1107.4000000000001</v>
      </c>
      <c r="L146" s="379">
        <v>10</v>
      </c>
      <c r="M146" s="86">
        <v>11914.2</v>
      </c>
      <c r="AQ146" s="379" t="e">
        <f>#N/A</f>
        <v>#N/A</v>
      </c>
    </row>
    <row r="147" spans="1:43" s="379" customFormat="1">
      <c r="A147" s="387">
        <v>145</v>
      </c>
      <c r="B147" s="388" t="s">
        <v>640</v>
      </c>
      <c r="C147" s="389">
        <v>596364</v>
      </c>
      <c r="D147" s="390" t="s">
        <v>641</v>
      </c>
      <c r="E147" s="388" t="s">
        <v>83</v>
      </c>
      <c r="F147" s="388">
        <v>11</v>
      </c>
      <c r="G147" s="414" t="s">
        <v>354</v>
      </c>
      <c r="H147" s="414">
        <v>105335</v>
      </c>
      <c r="I147" s="181">
        <v>5969</v>
      </c>
      <c r="K147" s="379">
        <f t="shared" si="2"/>
        <v>596.9</v>
      </c>
      <c r="L147" s="379">
        <v>10</v>
      </c>
      <c r="M147" s="86">
        <v>3792.6</v>
      </c>
      <c r="AQ147" s="379" t="e">
        <f>#N/A</f>
        <v>#N/A</v>
      </c>
    </row>
    <row r="148" spans="1:43" s="379" customFormat="1">
      <c r="A148" s="387">
        <v>146</v>
      </c>
      <c r="B148" s="388" t="s">
        <v>642</v>
      </c>
      <c r="C148" s="389">
        <v>596365</v>
      </c>
      <c r="D148" s="393" t="s">
        <v>643</v>
      </c>
      <c r="E148" s="388" t="s">
        <v>82</v>
      </c>
      <c r="F148" s="388">
        <v>11</v>
      </c>
      <c r="G148" s="414" t="s">
        <v>354</v>
      </c>
      <c r="H148" s="414">
        <v>209311</v>
      </c>
      <c r="I148" s="181">
        <v>20843</v>
      </c>
      <c r="K148" s="379">
        <f t="shared" si="2"/>
        <v>2084.3000000000002</v>
      </c>
      <c r="L148" s="379">
        <v>10</v>
      </c>
      <c r="M148" s="86">
        <v>21869.1</v>
      </c>
      <c r="AQ148" s="379" t="e">
        <f>#N/A</f>
        <v>#N/A</v>
      </c>
    </row>
    <row r="149" spans="1:43" s="379" customFormat="1">
      <c r="A149" s="387">
        <v>147</v>
      </c>
      <c r="B149" s="388" t="s">
        <v>644</v>
      </c>
      <c r="C149" s="389">
        <v>596367</v>
      </c>
      <c r="D149" s="390" t="s">
        <v>645</v>
      </c>
      <c r="E149" s="388" t="s">
        <v>82</v>
      </c>
      <c r="F149" s="388">
        <v>33</v>
      </c>
      <c r="G149" s="414" t="s">
        <v>354</v>
      </c>
      <c r="H149" s="414">
        <v>197257</v>
      </c>
      <c r="I149" s="181">
        <v>59036</v>
      </c>
      <c r="K149" s="379">
        <f t="shared" si="2"/>
        <v>5903.6</v>
      </c>
      <c r="L149" s="379">
        <v>10</v>
      </c>
      <c r="M149" s="86">
        <v>34508.699999999997</v>
      </c>
      <c r="AQ149" s="379" t="e">
        <f>#N/A</f>
        <v>#N/A</v>
      </c>
    </row>
    <row r="150" spans="1:43" s="379" customFormat="1">
      <c r="A150" s="387">
        <v>148</v>
      </c>
      <c r="B150" s="388" t="s">
        <v>646</v>
      </c>
      <c r="C150" s="389">
        <v>596368</v>
      </c>
      <c r="D150" s="390" t="s">
        <v>647</v>
      </c>
      <c r="E150" s="388" t="s">
        <v>82</v>
      </c>
      <c r="F150" s="388">
        <v>33</v>
      </c>
      <c r="G150" s="414" t="s">
        <v>354</v>
      </c>
      <c r="H150" s="414">
        <v>186273</v>
      </c>
      <c r="I150" s="181">
        <v>9123</v>
      </c>
      <c r="K150" s="379">
        <f t="shared" si="2"/>
        <v>912.3</v>
      </c>
      <c r="L150" s="379">
        <v>10</v>
      </c>
      <c r="M150" s="86">
        <v>6728.4</v>
      </c>
      <c r="AQ150" s="379" t="e">
        <f>#N/A</f>
        <v>#N/A</v>
      </c>
    </row>
    <row r="151" spans="1:43" s="379" customFormat="1">
      <c r="A151" s="387">
        <v>149</v>
      </c>
      <c r="B151" s="388" t="s">
        <v>648</v>
      </c>
      <c r="C151" s="389">
        <v>596369</v>
      </c>
      <c r="D151" s="390" t="s">
        <v>649</v>
      </c>
      <c r="E151" s="388" t="s">
        <v>80</v>
      </c>
      <c r="F151" s="388">
        <v>11</v>
      </c>
      <c r="G151" s="414" t="s">
        <v>354</v>
      </c>
      <c r="H151" s="414">
        <v>276337</v>
      </c>
      <c r="I151" s="181">
        <v>33795</v>
      </c>
      <c r="K151" s="379">
        <f t="shared" si="2"/>
        <v>3379.5</v>
      </c>
      <c r="L151" s="379">
        <v>10</v>
      </c>
      <c r="M151" s="86">
        <v>27344.7</v>
      </c>
      <c r="AQ151" s="379" t="e">
        <f>#N/A</f>
        <v>#N/A</v>
      </c>
    </row>
    <row r="152" spans="1:43" s="379" customFormat="1">
      <c r="A152" s="387">
        <v>150</v>
      </c>
      <c r="B152" s="388" t="s">
        <v>650</v>
      </c>
      <c r="C152" s="389">
        <v>596370</v>
      </c>
      <c r="D152" s="415" t="s">
        <v>651</v>
      </c>
      <c r="E152" s="388" t="s">
        <v>82</v>
      </c>
      <c r="F152" s="388">
        <v>33</v>
      </c>
      <c r="G152" s="414" t="s">
        <v>354</v>
      </c>
      <c r="H152" s="414">
        <v>64583</v>
      </c>
      <c r="I152" s="181">
        <v>17354</v>
      </c>
      <c r="K152" s="379">
        <f t="shared" si="2"/>
        <v>1735.4</v>
      </c>
      <c r="L152" s="379">
        <v>10</v>
      </c>
      <c r="M152" s="86">
        <v>17757</v>
      </c>
      <c r="AQ152" s="379" t="e">
        <f>#N/A</f>
        <v>#N/A</v>
      </c>
    </row>
    <row r="153" spans="1:43" s="379" customFormat="1">
      <c r="A153" s="387">
        <v>151</v>
      </c>
      <c r="B153" s="388" t="s">
        <v>652</v>
      </c>
      <c r="C153" s="389">
        <v>596371</v>
      </c>
      <c r="D153" s="416" t="s">
        <v>653</v>
      </c>
      <c r="E153" s="417" t="s">
        <v>82</v>
      </c>
      <c r="F153" s="388">
        <v>33</v>
      </c>
      <c r="G153" s="414"/>
      <c r="H153" s="414"/>
      <c r="I153" s="181">
        <v>34943</v>
      </c>
      <c r="K153" s="379">
        <f t="shared" si="2"/>
        <v>3494.3</v>
      </c>
      <c r="L153" s="379">
        <v>10</v>
      </c>
      <c r="M153" s="86">
        <v>43053.3</v>
      </c>
      <c r="AQ153" s="379" t="e">
        <f>#N/A</f>
        <v>#N/A</v>
      </c>
    </row>
    <row r="154" spans="1:43" s="379" customFormat="1">
      <c r="A154" s="387">
        <v>152</v>
      </c>
      <c r="B154" s="388" t="s">
        <v>654</v>
      </c>
      <c r="C154" s="389">
        <v>596372</v>
      </c>
      <c r="D154" s="393" t="s">
        <v>655</v>
      </c>
      <c r="E154" s="417" t="s">
        <v>82</v>
      </c>
      <c r="F154" s="388">
        <v>33</v>
      </c>
      <c r="G154" s="414"/>
      <c r="H154" s="414"/>
      <c r="I154" s="181">
        <v>34835</v>
      </c>
      <c r="K154" s="379">
        <f t="shared" si="2"/>
        <v>3483.5</v>
      </c>
      <c r="L154" s="379">
        <v>10</v>
      </c>
      <c r="M154" s="86">
        <v>39996.9</v>
      </c>
      <c r="AQ154" s="379" t="e">
        <f>#N/A</f>
        <v>#N/A</v>
      </c>
    </row>
    <row r="155" spans="1:43" s="379" customFormat="1">
      <c r="A155" s="387">
        <v>153</v>
      </c>
      <c r="B155" s="329" t="s">
        <v>656</v>
      </c>
      <c r="C155" s="389">
        <v>596373</v>
      </c>
      <c r="D155" s="393" t="s">
        <v>657</v>
      </c>
      <c r="E155" s="417" t="s">
        <v>83</v>
      </c>
      <c r="F155" s="388">
        <v>11</v>
      </c>
      <c r="G155" s="414"/>
      <c r="H155" s="414"/>
      <c r="I155" s="181">
        <v>0</v>
      </c>
      <c r="K155" s="379">
        <f t="shared" si="2"/>
        <v>0</v>
      </c>
      <c r="L155" s="379">
        <v>10</v>
      </c>
      <c r="M155" s="86">
        <v>0</v>
      </c>
      <c r="AQ155" s="379" t="e">
        <f>#N/A</f>
        <v>#N/A</v>
      </c>
    </row>
    <row r="156" spans="1:43" s="379" customFormat="1">
      <c r="A156" s="387">
        <v>154</v>
      </c>
      <c r="B156" s="388" t="s">
        <v>658</v>
      </c>
      <c r="C156" s="389">
        <v>596375</v>
      </c>
      <c r="D156" s="418" t="s">
        <v>659</v>
      </c>
      <c r="E156" s="417" t="s">
        <v>82</v>
      </c>
      <c r="F156" s="388">
        <v>33</v>
      </c>
      <c r="G156" s="414"/>
      <c r="H156" s="414"/>
      <c r="I156" s="181">
        <v>48879</v>
      </c>
      <c r="K156" s="379">
        <f t="shared" si="2"/>
        <v>4887.8999999999996</v>
      </c>
      <c r="L156" s="379">
        <v>10</v>
      </c>
      <c r="M156" s="86">
        <v>56648.7</v>
      </c>
      <c r="AQ156" s="379" t="e">
        <f>#N/A</f>
        <v>#N/A</v>
      </c>
    </row>
    <row r="157" spans="1:43" s="379" customFormat="1">
      <c r="A157" s="387">
        <v>155</v>
      </c>
      <c r="B157" s="388" t="s">
        <v>660</v>
      </c>
      <c r="C157" s="389">
        <v>596376</v>
      </c>
      <c r="D157" s="390" t="s">
        <v>661</v>
      </c>
      <c r="E157" s="417" t="s">
        <v>83</v>
      </c>
      <c r="F157" s="388">
        <v>33</v>
      </c>
      <c r="G157" s="414"/>
      <c r="H157" s="414"/>
      <c r="I157" s="181">
        <v>13860</v>
      </c>
      <c r="K157" s="379">
        <f t="shared" si="2"/>
        <v>1386</v>
      </c>
      <c r="L157" s="379">
        <v>10</v>
      </c>
      <c r="M157" s="86">
        <v>15610.5</v>
      </c>
      <c r="AQ157" s="379" t="e">
        <f>#N/A</f>
        <v>#N/A</v>
      </c>
    </row>
    <row r="158" spans="1:43" s="379" customFormat="1">
      <c r="A158" s="387">
        <v>156</v>
      </c>
      <c r="B158" s="388" t="s">
        <v>662</v>
      </c>
      <c r="C158" s="389">
        <v>596377</v>
      </c>
      <c r="D158" s="390" t="s">
        <v>663</v>
      </c>
      <c r="E158" s="417" t="s">
        <v>83</v>
      </c>
      <c r="F158" s="388">
        <v>11</v>
      </c>
      <c r="G158" s="414"/>
      <c r="H158" s="414"/>
      <c r="I158" s="181">
        <v>0</v>
      </c>
      <c r="K158" s="379">
        <f t="shared" si="2"/>
        <v>0</v>
      </c>
      <c r="L158" s="379">
        <v>10</v>
      </c>
      <c r="M158" s="86">
        <v>0</v>
      </c>
      <c r="AQ158" s="379" t="e">
        <f>#N/A</f>
        <v>#N/A</v>
      </c>
    </row>
    <row r="159" spans="1:43" s="379" customFormat="1">
      <c r="A159" s="387">
        <v>157</v>
      </c>
      <c r="B159" s="388" t="s">
        <v>664</v>
      </c>
      <c r="C159" s="389">
        <v>596378</v>
      </c>
      <c r="D159" s="390" t="s">
        <v>665</v>
      </c>
      <c r="E159" s="387" t="s">
        <v>82</v>
      </c>
      <c r="F159" s="388">
        <v>33</v>
      </c>
      <c r="G159" s="414"/>
      <c r="H159" s="414"/>
      <c r="I159" s="181">
        <v>75749</v>
      </c>
      <c r="K159" s="379">
        <f t="shared" si="2"/>
        <v>7574.9</v>
      </c>
      <c r="L159" s="379">
        <v>10</v>
      </c>
      <c r="M159" s="86">
        <v>90419.4</v>
      </c>
      <c r="AQ159" s="379" t="e">
        <f>#N/A</f>
        <v>#N/A</v>
      </c>
    </row>
    <row r="160" spans="1:43" s="379" customFormat="1">
      <c r="A160" s="387">
        <v>158</v>
      </c>
      <c r="B160" s="388" t="s">
        <v>666</v>
      </c>
      <c r="C160" s="149">
        <v>596379</v>
      </c>
      <c r="D160" s="390" t="s">
        <v>667</v>
      </c>
      <c r="E160" s="387" t="s">
        <v>82</v>
      </c>
      <c r="F160" s="388">
        <v>33</v>
      </c>
      <c r="G160" s="414"/>
      <c r="H160" s="414"/>
      <c r="I160" s="181">
        <v>153891</v>
      </c>
      <c r="K160" s="379">
        <f t="shared" si="2"/>
        <v>15389.1</v>
      </c>
      <c r="L160" s="379">
        <v>10</v>
      </c>
      <c r="M160" s="86">
        <v>161575.20000000001</v>
      </c>
      <c r="AQ160" s="379" t="e">
        <f>#N/A</f>
        <v>#N/A</v>
      </c>
    </row>
    <row r="161" spans="1:43" s="379" customFormat="1">
      <c r="A161" s="387">
        <v>159</v>
      </c>
      <c r="B161" s="388" t="s">
        <v>668</v>
      </c>
      <c r="C161" s="149">
        <v>596380</v>
      </c>
      <c r="D161" s="390" t="s">
        <v>669</v>
      </c>
      <c r="E161" s="387" t="s">
        <v>82</v>
      </c>
      <c r="F161" s="388">
        <v>11</v>
      </c>
      <c r="G161" s="414"/>
      <c r="H161" s="414"/>
      <c r="I161" s="181">
        <v>20999</v>
      </c>
      <c r="K161" s="379">
        <f t="shared" si="2"/>
        <v>2099.9</v>
      </c>
      <c r="L161" s="379">
        <v>10</v>
      </c>
      <c r="M161" s="86">
        <v>17783.099999999999</v>
      </c>
      <c r="AQ161" s="379" t="e">
        <f>#N/A</f>
        <v>#N/A</v>
      </c>
    </row>
    <row r="162" spans="1:43" s="379" customFormat="1">
      <c r="A162" s="387">
        <v>160</v>
      </c>
      <c r="B162" s="388" t="s">
        <v>670</v>
      </c>
      <c r="C162" s="149">
        <v>596381</v>
      </c>
      <c r="D162" s="390" t="s">
        <v>671</v>
      </c>
      <c r="E162" s="387" t="s">
        <v>81</v>
      </c>
      <c r="F162" s="388">
        <v>11</v>
      </c>
      <c r="G162" s="414"/>
      <c r="H162" s="414"/>
      <c r="I162" s="181">
        <v>18052</v>
      </c>
      <c r="K162" s="379">
        <f t="shared" si="2"/>
        <v>1805.2</v>
      </c>
      <c r="L162" s="379">
        <v>10</v>
      </c>
      <c r="M162" s="86">
        <v>17892.900000000001</v>
      </c>
      <c r="AQ162" s="379" t="e">
        <f>#N/A</f>
        <v>#N/A</v>
      </c>
    </row>
    <row r="163" spans="1:43" s="379" customFormat="1">
      <c r="A163" s="387">
        <v>161</v>
      </c>
      <c r="B163" s="329" t="s">
        <v>672</v>
      </c>
      <c r="C163" s="149">
        <v>596382</v>
      </c>
      <c r="D163" s="390" t="s">
        <v>673</v>
      </c>
      <c r="E163" s="388" t="s">
        <v>80</v>
      </c>
      <c r="F163" s="388">
        <v>11</v>
      </c>
      <c r="G163" s="414"/>
      <c r="H163" s="414"/>
      <c r="I163" s="181">
        <v>35467</v>
      </c>
      <c r="K163" s="379">
        <f t="shared" si="2"/>
        <v>3546.7</v>
      </c>
      <c r="L163" s="379">
        <v>10</v>
      </c>
      <c r="M163" s="86">
        <v>39209.4</v>
      </c>
      <c r="AQ163" s="379" t="e">
        <f>#N/A</f>
        <v>#N/A</v>
      </c>
    </row>
    <row r="164" spans="1:43" s="379" customFormat="1">
      <c r="A164" s="387">
        <v>162</v>
      </c>
      <c r="B164" s="388" t="s">
        <v>674</v>
      </c>
      <c r="C164" s="149">
        <v>596383</v>
      </c>
      <c r="D164" s="390" t="s">
        <v>675</v>
      </c>
      <c r="E164" s="388" t="s">
        <v>81</v>
      </c>
      <c r="F164" s="388">
        <v>11</v>
      </c>
      <c r="G164" s="414"/>
      <c r="H164" s="414"/>
      <c r="I164" s="181">
        <v>105079</v>
      </c>
      <c r="K164" s="379">
        <f t="shared" si="2"/>
        <v>10507.9</v>
      </c>
      <c r="L164" s="379">
        <v>10</v>
      </c>
      <c r="M164" s="86">
        <v>74907</v>
      </c>
      <c r="AQ164" s="379" t="e">
        <f>#N/A</f>
        <v>#N/A</v>
      </c>
    </row>
    <row r="165" spans="1:43" s="379" customFormat="1">
      <c r="A165" s="387">
        <v>163</v>
      </c>
      <c r="B165" s="388" t="s">
        <v>676</v>
      </c>
      <c r="C165" s="149">
        <v>596385</v>
      </c>
      <c r="D165" s="393" t="s">
        <v>677</v>
      </c>
      <c r="E165" s="387" t="s">
        <v>82</v>
      </c>
      <c r="F165" s="419">
        <v>33</v>
      </c>
      <c r="G165" s="414"/>
      <c r="H165" s="414"/>
      <c r="I165" s="181">
        <v>466065</v>
      </c>
      <c r="K165" s="379">
        <f t="shared" si="2"/>
        <v>46606.5</v>
      </c>
      <c r="L165" s="379">
        <v>10</v>
      </c>
      <c r="M165" s="86">
        <v>441587.7</v>
      </c>
      <c r="AQ165" s="379" t="e">
        <f>#N/A</f>
        <v>#N/A</v>
      </c>
    </row>
    <row r="166" spans="1:43" s="379" customFormat="1">
      <c r="A166" s="387">
        <v>164</v>
      </c>
      <c r="B166" s="388" t="s">
        <v>678</v>
      </c>
      <c r="C166" s="149">
        <v>596386</v>
      </c>
      <c r="D166" s="393" t="s">
        <v>679</v>
      </c>
      <c r="E166" s="387" t="s">
        <v>82</v>
      </c>
      <c r="F166" s="419">
        <v>33</v>
      </c>
      <c r="G166" s="414"/>
      <c r="H166" s="414"/>
      <c r="I166" s="181">
        <v>233418</v>
      </c>
      <c r="K166" s="379">
        <f t="shared" si="2"/>
        <v>23341.8</v>
      </c>
      <c r="L166" s="379">
        <v>10</v>
      </c>
      <c r="M166" s="86">
        <v>254244.6</v>
      </c>
      <c r="AQ166" s="379" t="e">
        <f>#N/A</f>
        <v>#N/A</v>
      </c>
    </row>
    <row r="167" spans="1:43" s="379" customFormat="1">
      <c r="A167" s="387">
        <v>165</v>
      </c>
      <c r="B167" s="388" t="s">
        <v>680</v>
      </c>
      <c r="C167" s="133">
        <v>596387</v>
      </c>
      <c r="D167" s="390" t="s">
        <v>681</v>
      </c>
      <c r="E167" s="388" t="s">
        <v>81</v>
      </c>
      <c r="F167" s="419">
        <v>11</v>
      </c>
      <c r="G167" s="414"/>
      <c r="H167" s="414"/>
      <c r="I167" s="181">
        <v>37264</v>
      </c>
      <c r="K167" s="379">
        <f t="shared" si="2"/>
        <v>3726.4</v>
      </c>
      <c r="L167" s="379">
        <v>10</v>
      </c>
      <c r="M167" s="86">
        <v>33190.199999999997</v>
      </c>
      <c r="AQ167" s="379" t="e">
        <f>#N/A</f>
        <v>#N/A</v>
      </c>
    </row>
    <row r="168" spans="1:43" s="379" customFormat="1">
      <c r="A168" s="387">
        <v>166</v>
      </c>
      <c r="B168" s="388" t="s">
        <v>682</v>
      </c>
      <c r="C168" s="133">
        <v>596388</v>
      </c>
      <c r="D168" s="390" t="s">
        <v>683</v>
      </c>
      <c r="E168" s="387" t="s">
        <v>80</v>
      </c>
      <c r="F168" s="419">
        <v>33</v>
      </c>
      <c r="G168" s="414"/>
      <c r="H168" s="414"/>
      <c r="I168" s="181">
        <v>16971</v>
      </c>
      <c r="K168" s="379">
        <f t="shared" si="2"/>
        <v>1697.1</v>
      </c>
      <c r="L168" s="379">
        <v>10</v>
      </c>
      <c r="M168" s="86">
        <v>19194.3</v>
      </c>
      <c r="AQ168" s="379" t="e">
        <f>#N/A</f>
        <v>#N/A</v>
      </c>
    </row>
    <row r="169" spans="1:43" s="379" customFormat="1">
      <c r="A169" s="387">
        <v>167</v>
      </c>
      <c r="B169" s="388" t="s">
        <v>684</v>
      </c>
      <c r="C169" s="133">
        <v>596389</v>
      </c>
      <c r="D169" s="390" t="s">
        <v>685</v>
      </c>
      <c r="E169" s="387" t="s">
        <v>80</v>
      </c>
      <c r="F169" s="419">
        <v>11</v>
      </c>
      <c r="G169" s="414"/>
      <c r="H169" s="414"/>
      <c r="I169" s="181">
        <v>22139</v>
      </c>
      <c r="K169" s="379">
        <f t="shared" si="2"/>
        <v>2213.9</v>
      </c>
      <c r="L169" s="379">
        <v>10</v>
      </c>
      <c r="M169" s="86">
        <v>22633.200000000001</v>
      </c>
      <c r="AQ169" s="379" t="e">
        <f>#N/A</f>
        <v>#N/A</v>
      </c>
    </row>
    <row r="170" spans="1:43" s="379" customFormat="1">
      <c r="A170" s="387">
        <v>168</v>
      </c>
      <c r="B170" s="388" t="s">
        <v>686</v>
      </c>
      <c r="C170" s="133">
        <v>596390</v>
      </c>
      <c r="D170" s="390" t="s">
        <v>687</v>
      </c>
      <c r="E170" s="387" t="s">
        <v>82</v>
      </c>
      <c r="F170" s="419">
        <v>11</v>
      </c>
      <c r="G170" s="414"/>
      <c r="H170" s="414"/>
      <c r="I170" s="181">
        <v>14549</v>
      </c>
      <c r="K170" s="379">
        <f t="shared" si="2"/>
        <v>1454.9</v>
      </c>
      <c r="L170" s="379">
        <v>10</v>
      </c>
      <c r="M170" s="86">
        <v>13632.3</v>
      </c>
      <c r="AQ170" s="379" t="e">
        <f>#N/A</f>
        <v>#N/A</v>
      </c>
    </row>
    <row r="171" spans="1:43" s="379" customFormat="1">
      <c r="A171" s="387">
        <v>169</v>
      </c>
      <c r="B171" s="388" t="s">
        <v>688</v>
      </c>
      <c r="C171" s="133">
        <v>596391</v>
      </c>
      <c r="D171" s="393" t="s">
        <v>689</v>
      </c>
      <c r="E171" s="387" t="s">
        <v>83</v>
      </c>
      <c r="F171" s="419">
        <v>33</v>
      </c>
      <c r="G171" s="414"/>
      <c r="H171" s="414"/>
      <c r="I171" s="181">
        <v>58436</v>
      </c>
      <c r="K171" s="379">
        <f t="shared" si="2"/>
        <v>5843.6</v>
      </c>
      <c r="L171" s="379">
        <v>10</v>
      </c>
      <c r="M171" s="86">
        <v>54620.1</v>
      </c>
      <c r="AQ171" s="379" t="e">
        <f>#N/A</f>
        <v>#N/A</v>
      </c>
    </row>
    <row r="172" spans="1:43" s="379" customFormat="1">
      <c r="A172" s="387">
        <v>170</v>
      </c>
      <c r="B172" s="388" t="s">
        <v>690</v>
      </c>
      <c r="C172" s="133">
        <v>596392</v>
      </c>
      <c r="D172" s="390" t="s">
        <v>691</v>
      </c>
      <c r="E172" s="387" t="s">
        <v>82</v>
      </c>
      <c r="F172" s="419">
        <v>11</v>
      </c>
      <c r="G172" s="414"/>
      <c r="H172" s="414"/>
      <c r="I172" s="181">
        <v>0</v>
      </c>
      <c r="K172" s="379">
        <f t="shared" si="2"/>
        <v>0</v>
      </c>
      <c r="L172" s="379">
        <v>10</v>
      </c>
      <c r="M172" s="86">
        <v>0</v>
      </c>
      <c r="AQ172" s="379" t="e">
        <f>#N/A</f>
        <v>#N/A</v>
      </c>
    </row>
    <row r="173" spans="1:43" s="379" customFormat="1">
      <c r="A173" s="387">
        <v>171</v>
      </c>
      <c r="B173" s="388" t="s">
        <v>692</v>
      </c>
      <c r="C173" s="133">
        <v>596393</v>
      </c>
      <c r="D173" s="415" t="s">
        <v>693</v>
      </c>
      <c r="E173" s="387" t="s">
        <v>82</v>
      </c>
      <c r="F173" s="419">
        <v>33</v>
      </c>
      <c r="G173" s="414"/>
      <c r="H173" s="414"/>
      <c r="I173" s="181">
        <v>4742</v>
      </c>
      <c r="K173" s="379">
        <f t="shared" si="2"/>
        <v>474.2</v>
      </c>
      <c r="L173" s="379">
        <v>10</v>
      </c>
      <c r="M173" s="86">
        <v>5475.6</v>
      </c>
      <c r="AQ173" s="379" t="e">
        <f>#N/A</f>
        <v>#N/A</v>
      </c>
    </row>
    <row r="174" spans="1:43" s="412" customFormat="1">
      <c r="A174" s="407">
        <v>172</v>
      </c>
      <c r="B174" s="420" t="s">
        <v>694</v>
      </c>
      <c r="C174" s="421">
        <v>596394</v>
      </c>
      <c r="D174" s="422" t="s">
        <v>695</v>
      </c>
      <c r="E174" s="407" t="s">
        <v>83</v>
      </c>
      <c r="F174" s="423">
        <v>33</v>
      </c>
      <c r="G174" s="411"/>
      <c r="H174" s="411"/>
      <c r="I174" s="181">
        <v>42341</v>
      </c>
      <c r="K174" s="412">
        <f t="shared" si="2"/>
        <v>4234.1000000000004</v>
      </c>
      <c r="L174" s="412">
        <v>10</v>
      </c>
      <c r="M174" s="86">
        <v>25570.799999999999</v>
      </c>
      <c r="AQ174" s="412" t="e">
        <f>#N/A</f>
        <v>#N/A</v>
      </c>
    </row>
    <row r="175" spans="1:43" s="379" customFormat="1">
      <c r="A175" s="387">
        <v>173</v>
      </c>
      <c r="B175" s="388" t="s">
        <v>696</v>
      </c>
      <c r="C175" s="133">
        <v>596395</v>
      </c>
      <c r="D175" s="390" t="s">
        <v>697</v>
      </c>
      <c r="E175" s="387" t="s">
        <v>82</v>
      </c>
      <c r="F175" s="419">
        <v>33</v>
      </c>
      <c r="G175" s="414"/>
      <c r="H175" s="414"/>
      <c r="I175" s="181">
        <v>34686</v>
      </c>
      <c r="K175" s="379">
        <f t="shared" si="2"/>
        <v>3468.6</v>
      </c>
      <c r="L175" s="379">
        <v>10</v>
      </c>
      <c r="M175" s="86">
        <v>32262.3</v>
      </c>
      <c r="AQ175" s="379" t="e">
        <f>#N/A</f>
        <v>#N/A</v>
      </c>
    </row>
    <row r="176" spans="1:43" s="379" customFormat="1">
      <c r="A176" s="387">
        <v>174</v>
      </c>
      <c r="B176" s="388" t="s">
        <v>698</v>
      </c>
      <c r="C176" s="133">
        <v>596396</v>
      </c>
      <c r="D176" s="390" t="s">
        <v>699</v>
      </c>
      <c r="E176" s="387" t="s">
        <v>82</v>
      </c>
      <c r="F176" s="419">
        <v>33</v>
      </c>
      <c r="G176" s="414"/>
      <c r="H176" s="414"/>
      <c r="I176" s="181">
        <v>29318</v>
      </c>
      <c r="K176" s="379">
        <f t="shared" si="2"/>
        <v>2931.8</v>
      </c>
      <c r="L176" s="379">
        <v>10</v>
      </c>
      <c r="M176" s="86">
        <v>20146.5</v>
      </c>
      <c r="AQ176" s="379" t="e">
        <f>#N/A</f>
        <v>#N/A</v>
      </c>
    </row>
    <row r="177" spans="1:43" s="379" customFormat="1">
      <c r="A177" s="387">
        <v>175</v>
      </c>
      <c r="B177" s="388" t="s">
        <v>700</v>
      </c>
      <c r="C177" s="133">
        <v>596397</v>
      </c>
      <c r="D177" s="424" t="s">
        <v>701</v>
      </c>
      <c r="E177" s="387" t="s">
        <v>82</v>
      </c>
      <c r="F177" s="419">
        <v>33</v>
      </c>
      <c r="G177" s="414"/>
      <c r="H177" s="414"/>
      <c r="I177" s="181">
        <v>0</v>
      </c>
      <c r="K177" s="379">
        <f t="shared" si="2"/>
        <v>0</v>
      </c>
      <c r="L177" s="379">
        <v>10</v>
      </c>
      <c r="M177" s="86">
        <v>7281</v>
      </c>
      <c r="AQ177" s="379" t="e">
        <f>#N/A</f>
        <v>#N/A</v>
      </c>
    </row>
    <row r="178" spans="1:43" s="379" customFormat="1">
      <c r="A178" s="387">
        <v>176</v>
      </c>
      <c r="B178" s="388" t="s">
        <v>702</v>
      </c>
      <c r="C178" s="133">
        <v>596398</v>
      </c>
      <c r="D178" s="393" t="s">
        <v>703</v>
      </c>
      <c r="E178" s="387" t="s">
        <v>83</v>
      </c>
      <c r="F178" s="419">
        <v>33</v>
      </c>
      <c r="G178" s="414"/>
      <c r="H178" s="414"/>
      <c r="I178" s="181">
        <v>2289</v>
      </c>
      <c r="K178" s="379">
        <f t="shared" si="2"/>
        <v>228.9</v>
      </c>
      <c r="L178" s="379">
        <v>10</v>
      </c>
      <c r="M178" s="86">
        <v>2829.6</v>
      </c>
      <c r="AQ178" s="379" t="e">
        <f>#N/A</f>
        <v>#N/A</v>
      </c>
    </row>
    <row r="179" spans="1:43" s="379" customFormat="1">
      <c r="A179" s="387">
        <v>177</v>
      </c>
      <c r="B179" s="388" t="s">
        <v>704</v>
      </c>
      <c r="C179" s="133">
        <v>596399</v>
      </c>
      <c r="D179" s="415" t="s">
        <v>705</v>
      </c>
      <c r="E179" s="387" t="s">
        <v>82</v>
      </c>
      <c r="F179" s="419">
        <v>33</v>
      </c>
      <c r="G179" s="414"/>
      <c r="H179" s="414"/>
      <c r="I179" s="181">
        <v>13488</v>
      </c>
      <c r="K179" s="379">
        <f t="shared" si="2"/>
        <v>1348.8</v>
      </c>
      <c r="L179" s="379">
        <v>10</v>
      </c>
      <c r="M179" s="86">
        <v>17469</v>
      </c>
      <c r="AQ179" s="379" t="e">
        <f>#N/A</f>
        <v>#N/A</v>
      </c>
    </row>
    <row r="180" spans="1:43" s="379" customFormat="1">
      <c r="A180" s="387">
        <v>178</v>
      </c>
      <c r="B180" s="388" t="s">
        <v>706</v>
      </c>
      <c r="C180" s="133">
        <v>596400</v>
      </c>
      <c r="D180" s="390" t="s">
        <v>707</v>
      </c>
      <c r="E180" s="387" t="s">
        <v>82</v>
      </c>
      <c r="F180" s="419">
        <v>11</v>
      </c>
      <c r="G180" s="414"/>
      <c r="H180" s="414"/>
      <c r="I180" s="181">
        <v>22698</v>
      </c>
      <c r="K180" s="379">
        <f t="shared" si="2"/>
        <v>2269.8000000000002</v>
      </c>
      <c r="L180" s="379">
        <v>10</v>
      </c>
      <c r="M180" s="86">
        <v>25752.6</v>
      </c>
      <c r="AQ180" s="379" t="e">
        <f>#N/A</f>
        <v>#N/A</v>
      </c>
    </row>
    <row r="181" spans="1:43" s="379" customFormat="1">
      <c r="A181" s="387">
        <v>179</v>
      </c>
      <c r="B181" s="388" t="s">
        <v>708</v>
      </c>
      <c r="C181" s="133">
        <v>596401</v>
      </c>
      <c r="D181" s="390" t="s">
        <v>709</v>
      </c>
      <c r="E181" s="387" t="s">
        <v>80</v>
      </c>
      <c r="F181" s="419">
        <v>11</v>
      </c>
      <c r="G181" s="414"/>
      <c r="H181" s="414"/>
      <c r="I181" s="181">
        <v>20969</v>
      </c>
      <c r="K181" s="379">
        <f t="shared" si="2"/>
        <v>2096.9</v>
      </c>
      <c r="L181" s="379">
        <v>10</v>
      </c>
      <c r="M181" s="86">
        <v>19206</v>
      </c>
      <c r="AQ181" s="379" t="e">
        <f>#N/A</f>
        <v>#N/A</v>
      </c>
    </row>
    <row r="182" spans="1:43" s="379" customFormat="1">
      <c r="A182" s="387">
        <v>180</v>
      </c>
      <c r="B182" s="388" t="s">
        <v>710</v>
      </c>
      <c r="C182" s="133">
        <v>596402</v>
      </c>
      <c r="D182" s="425" t="s">
        <v>711</v>
      </c>
      <c r="E182" s="387" t="s">
        <v>83</v>
      </c>
      <c r="F182" s="419">
        <v>11</v>
      </c>
      <c r="G182" s="414"/>
      <c r="H182" s="414"/>
      <c r="I182" s="181">
        <v>23748</v>
      </c>
      <c r="K182" s="379">
        <f t="shared" si="2"/>
        <v>2374.8000000000002</v>
      </c>
      <c r="L182" s="379">
        <v>10</v>
      </c>
      <c r="M182" s="86">
        <v>35131.5</v>
      </c>
      <c r="AQ182" s="379" t="e">
        <f>#N/A</f>
        <v>#N/A</v>
      </c>
    </row>
    <row r="183" spans="1:43" s="379" customFormat="1">
      <c r="A183" s="387">
        <v>181</v>
      </c>
      <c r="B183" s="388" t="s">
        <v>712</v>
      </c>
      <c r="C183" s="133">
        <v>596403</v>
      </c>
      <c r="D183" s="425" t="s">
        <v>713</v>
      </c>
      <c r="E183" s="387" t="s">
        <v>83</v>
      </c>
      <c r="F183" s="419">
        <v>11</v>
      </c>
      <c r="G183" s="414"/>
      <c r="H183" s="414"/>
      <c r="I183" s="181">
        <v>49206</v>
      </c>
      <c r="K183" s="379">
        <f t="shared" si="2"/>
        <v>4920.6000000000004</v>
      </c>
      <c r="L183" s="379">
        <v>10</v>
      </c>
      <c r="M183" s="86">
        <v>51939.9</v>
      </c>
      <c r="AQ183" s="379" t="e">
        <f>#N/A</f>
        <v>#N/A</v>
      </c>
    </row>
    <row r="184" spans="1:43" s="379" customFormat="1">
      <c r="A184" s="387">
        <v>182</v>
      </c>
      <c r="B184" s="388" t="s">
        <v>714</v>
      </c>
      <c r="C184" s="133">
        <v>596404</v>
      </c>
      <c r="D184" s="390" t="s">
        <v>715</v>
      </c>
      <c r="E184" s="387" t="s">
        <v>80</v>
      </c>
      <c r="F184" s="419">
        <v>33</v>
      </c>
      <c r="G184" s="414"/>
      <c r="H184" s="414"/>
      <c r="I184" s="181">
        <v>113298</v>
      </c>
      <c r="K184" s="379">
        <f t="shared" si="2"/>
        <v>11329.8</v>
      </c>
      <c r="L184" s="379">
        <v>10</v>
      </c>
      <c r="M184" s="86">
        <v>120468.6</v>
      </c>
      <c r="AQ184" s="379" t="e">
        <f>#N/A</f>
        <v>#N/A</v>
      </c>
    </row>
    <row r="185" spans="1:43" s="379" customFormat="1">
      <c r="A185" s="387">
        <v>183</v>
      </c>
      <c r="B185" s="388" t="s">
        <v>716</v>
      </c>
      <c r="C185" s="133">
        <v>596405</v>
      </c>
      <c r="D185" s="426" t="s">
        <v>717</v>
      </c>
      <c r="E185" s="387" t="s">
        <v>83</v>
      </c>
      <c r="F185" s="419">
        <v>33</v>
      </c>
      <c r="G185" s="414"/>
      <c r="H185" s="414"/>
      <c r="I185" s="181">
        <v>101757</v>
      </c>
      <c r="K185" s="379">
        <f t="shared" si="2"/>
        <v>10175.700000000001</v>
      </c>
      <c r="L185" s="379">
        <v>10</v>
      </c>
      <c r="M185" s="86">
        <v>73375.199999999997</v>
      </c>
      <c r="AQ185" s="379" t="e">
        <f>#N/A</f>
        <v>#N/A</v>
      </c>
    </row>
    <row r="186" spans="1:43" s="379" customFormat="1">
      <c r="A186" s="387">
        <v>184</v>
      </c>
      <c r="B186" s="329" t="s">
        <v>718</v>
      </c>
      <c r="C186" s="133">
        <v>596406</v>
      </c>
      <c r="D186" s="390" t="s">
        <v>719</v>
      </c>
      <c r="E186" s="387" t="s">
        <v>80</v>
      </c>
      <c r="F186" s="419">
        <v>33</v>
      </c>
      <c r="G186" s="414"/>
      <c r="H186" s="414"/>
      <c r="I186" s="181">
        <v>73263</v>
      </c>
      <c r="K186" s="379">
        <f t="shared" si="2"/>
        <v>7326.3</v>
      </c>
      <c r="L186" s="379">
        <v>10</v>
      </c>
      <c r="M186" s="86">
        <v>60246</v>
      </c>
      <c r="AQ186" s="379" t="e">
        <f>#N/A</f>
        <v>#N/A</v>
      </c>
    </row>
    <row r="187" spans="1:43" s="379" customFormat="1">
      <c r="A187" s="387">
        <v>185</v>
      </c>
      <c r="B187" s="388" t="s">
        <v>720</v>
      </c>
      <c r="C187" s="202">
        <v>596407</v>
      </c>
      <c r="D187" s="390" t="s">
        <v>721</v>
      </c>
      <c r="E187" s="295" t="s">
        <v>80</v>
      </c>
      <c r="F187" s="419">
        <v>11</v>
      </c>
      <c r="G187" s="414"/>
      <c r="H187" s="414"/>
      <c r="I187" s="181">
        <v>4443</v>
      </c>
      <c r="K187" s="379">
        <f t="shared" si="2"/>
        <v>444.3</v>
      </c>
      <c r="L187" s="379">
        <v>10</v>
      </c>
      <c r="M187" s="86">
        <v>5543.1</v>
      </c>
      <c r="AQ187" s="379" t="e">
        <f>#N/A</f>
        <v>#N/A</v>
      </c>
    </row>
    <row r="188" spans="1:43" s="379" customFormat="1">
      <c r="A188" s="387">
        <v>186</v>
      </c>
      <c r="B188" s="388" t="s">
        <v>722</v>
      </c>
      <c r="C188" s="389">
        <v>596357</v>
      </c>
      <c r="D188" s="390" t="s">
        <v>723</v>
      </c>
      <c r="E188" s="387" t="s">
        <v>82</v>
      </c>
      <c r="F188" s="388">
        <v>33</v>
      </c>
      <c r="G188" s="414" t="s">
        <v>354</v>
      </c>
      <c r="H188" s="414">
        <v>140381</v>
      </c>
      <c r="I188" s="181">
        <v>7343</v>
      </c>
      <c r="K188" s="379">
        <f t="shared" si="2"/>
        <v>734.3</v>
      </c>
      <c r="L188" s="379">
        <v>10</v>
      </c>
      <c r="M188" s="86">
        <v>11359.8</v>
      </c>
      <c r="AQ188" s="379" t="e">
        <f>#N/A</f>
        <v>#N/A</v>
      </c>
    </row>
    <row r="189" spans="1:43" s="379" customFormat="1">
      <c r="A189" s="387">
        <v>187</v>
      </c>
      <c r="B189" s="388" t="s">
        <v>724</v>
      </c>
      <c r="C189" s="389">
        <v>596350</v>
      </c>
      <c r="D189" s="393" t="s">
        <v>725</v>
      </c>
      <c r="E189" s="388" t="s">
        <v>82</v>
      </c>
      <c r="F189" s="388">
        <v>11</v>
      </c>
      <c r="G189" s="414" t="s">
        <v>354</v>
      </c>
      <c r="H189" s="414">
        <v>338136</v>
      </c>
      <c r="I189" s="181">
        <v>36588</v>
      </c>
      <c r="K189" s="379">
        <f t="shared" si="2"/>
        <v>3658.8</v>
      </c>
      <c r="L189" s="379">
        <v>10</v>
      </c>
      <c r="M189" s="86">
        <v>43002.9</v>
      </c>
      <c r="AQ189" s="379" t="e">
        <f>#N/A</f>
        <v>#N/A</v>
      </c>
    </row>
    <row r="190" spans="1:43" s="379" customFormat="1">
      <c r="A190" s="387">
        <v>188</v>
      </c>
      <c r="B190" s="388" t="s">
        <v>726</v>
      </c>
      <c r="C190" s="389">
        <v>596353</v>
      </c>
      <c r="D190" s="390" t="s">
        <v>723</v>
      </c>
      <c r="E190" s="388" t="s">
        <v>82</v>
      </c>
      <c r="F190" s="388">
        <v>33</v>
      </c>
      <c r="G190" s="414" t="s">
        <v>354</v>
      </c>
      <c r="H190" s="414">
        <v>337057</v>
      </c>
      <c r="I190" s="181">
        <v>63816</v>
      </c>
      <c r="K190" s="379">
        <f t="shared" si="2"/>
        <v>6381.6</v>
      </c>
      <c r="L190" s="379">
        <v>10</v>
      </c>
      <c r="M190" s="86">
        <v>78507</v>
      </c>
      <c r="AQ190" s="379" t="e">
        <f>#N/A</f>
        <v>#N/A</v>
      </c>
    </row>
    <row r="191" spans="1:43" s="379" customFormat="1">
      <c r="A191" s="387">
        <v>189</v>
      </c>
      <c r="B191" s="388" t="s">
        <v>727</v>
      </c>
      <c r="C191" s="389">
        <v>596356</v>
      </c>
      <c r="D191" s="390" t="s">
        <v>728</v>
      </c>
      <c r="E191" s="388" t="s">
        <v>82</v>
      </c>
      <c r="F191" s="388">
        <v>33</v>
      </c>
      <c r="G191" s="414" t="s">
        <v>354</v>
      </c>
      <c r="H191" s="414">
        <v>423682</v>
      </c>
      <c r="I191" s="181">
        <v>72437</v>
      </c>
      <c r="K191" s="379">
        <f t="shared" si="2"/>
        <v>7243.7</v>
      </c>
      <c r="L191" s="379">
        <v>10</v>
      </c>
      <c r="M191" s="86">
        <v>87080.4</v>
      </c>
      <c r="AQ191" s="379" t="e">
        <f>#N/A</f>
        <v>#N/A</v>
      </c>
    </row>
    <row r="192" spans="1:43" s="379" customFormat="1">
      <c r="A192" s="387">
        <v>190</v>
      </c>
      <c r="B192" s="388" t="s">
        <v>729</v>
      </c>
      <c r="C192" s="389">
        <v>596363</v>
      </c>
      <c r="D192" s="390" t="s">
        <v>730</v>
      </c>
      <c r="E192" s="388" t="s">
        <v>80</v>
      </c>
      <c r="F192" s="388">
        <v>11</v>
      </c>
      <c r="G192" s="414" t="s">
        <v>354</v>
      </c>
      <c r="H192" s="414">
        <v>185454</v>
      </c>
      <c r="I192" s="181">
        <v>121458</v>
      </c>
      <c r="K192" s="379">
        <f t="shared" si="2"/>
        <v>12145.8</v>
      </c>
      <c r="L192" s="379">
        <v>10</v>
      </c>
      <c r="M192" s="86">
        <v>102245.4</v>
      </c>
      <c r="AQ192" s="379" t="e">
        <f>#N/A</f>
        <v>#N/A</v>
      </c>
    </row>
    <row r="193" spans="1:43" s="379" customFormat="1">
      <c r="A193" s="387">
        <v>191</v>
      </c>
      <c r="B193" s="388" t="s">
        <v>731</v>
      </c>
      <c r="C193" s="389">
        <v>596351</v>
      </c>
      <c r="D193" s="390" t="s">
        <v>732</v>
      </c>
      <c r="E193" s="388" t="s">
        <v>80</v>
      </c>
      <c r="F193" s="388">
        <v>33</v>
      </c>
      <c r="G193" s="414" t="s">
        <v>354</v>
      </c>
      <c r="H193" s="414">
        <v>101572</v>
      </c>
      <c r="I193" s="181">
        <v>0</v>
      </c>
      <c r="K193" s="379">
        <f t="shared" si="2"/>
        <v>0</v>
      </c>
      <c r="L193" s="379">
        <v>10</v>
      </c>
      <c r="M193" s="86">
        <v>0</v>
      </c>
      <c r="AQ193" s="379" t="e">
        <f>#N/A</f>
        <v>#N/A</v>
      </c>
    </row>
    <row r="194" spans="1:43" s="379" customFormat="1">
      <c r="A194" s="387">
        <v>192</v>
      </c>
      <c r="B194" s="388" t="s">
        <v>733</v>
      </c>
      <c r="C194" s="389">
        <v>596360</v>
      </c>
      <c r="D194" s="390" t="s">
        <v>734</v>
      </c>
      <c r="E194" s="388" t="s">
        <v>81</v>
      </c>
      <c r="F194" s="388">
        <v>33</v>
      </c>
      <c r="G194" s="414" t="s">
        <v>354</v>
      </c>
      <c r="H194" s="414">
        <v>371622</v>
      </c>
      <c r="I194" s="181">
        <v>53085</v>
      </c>
      <c r="K194" s="379">
        <f t="shared" si="2"/>
        <v>5308.5</v>
      </c>
      <c r="L194" s="379">
        <v>10</v>
      </c>
      <c r="M194" s="86">
        <v>40972.5</v>
      </c>
      <c r="AQ194" s="379" t="e">
        <f>#N/A</f>
        <v>#N/A</v>
      </c>
    </row>
    <row r="195" spans="1:43" s="379" customFormat="1">
      <c r="A195" s="387">
        <v>193</v>
      </c>
      <c r="B195" s="388" t="s">
        <v>735</v>
      </c>
      <c r="C195" s="389">
        <v>596362</v>
      </c>
      <c r="D195" s="390" t="s">
        <v>736</v>
      </c>
      <c r="E195" s="388" t="s">
        <v>80</v>
      </c>
      <c r="F195" s="388">
        <v>33</v>
      </c>
      <c r="G195" s="414" t="s">
        <v>354</v>
      </c>
      <c r="H195" s="414">
        <v>263433</v>
      </c>
      <c r="I195" s="181">
        <v>41425</v>
      </c>
      <c r="K195" s="379">
        <f t="shared" ref="K195:K251" si="3">I195/L195</f>
        <v>4142.5</v>
      </c>
      <c r="L195" s="379">
        <v>10</v>
      </c>
      <c r="M195" s="86">
        <v>30529.8</v>
      </c>
      <c r="AQ195" s="379" t="e">
        <f>#N/A</f>
        <v>#N/A</v>
      </c>
    </row>
    <row r="196" spans="1:43" s="379" customFormat="1">
      <c r="A196" s="387">
        <v>194</v>
      </c>
      <c r="B196" s="388" t="s">
        <v>737</v>
      </c>
      <c r="C196" s="427">
        <v>596355</v>
      </c>
      <c r="D196" s="390" t="s">
        <v>738</v>
      </c>
      <c r="E196" s="388" t="s">
        <v>80</v>
      </c>
      <c r="F196" s="388">
        <v>33</v>
      </c>
      <c r="G196" s="414" t="s">
        <v>354</v>
      </c>
      <c r="H196" s="414">
        <v>181933</v>
      </c>
      <c r="I196" s="181">
        <v>91563</v>
      </c>
      <c r="K196" s="379">
        <f t="shared" si="3"/>
        <v>9156.2999999999993</v>
      </c>
      <c r="L196" s="379">
        <v>10</v>
      </c>
      <c r="M196" s="86">
        <v>86078.7</v>
      </c>
      <c r="AQ196" s="379" t="e">
        <f>#N/A</f>
        <v>#N/A</v>
      </c>
    </row>
    <row r="197" spans="1:43" s="379" customFormat="1">
      <c r="A197" s="387">
        <v>195</v>
      </c>
      <c r="B197" s="388" t="s">
        <v>739</v>
      </c>
      <c r="C197" s="389">
        <v>596359</v>
      </c>
      <c r="D197" s="390" t="s">
        <v>740</v>
      </c>
      <c r="E197" s="388" t="s">
        <v>80</v>
      </c>
      <c r="F197" s="388">
        <v>11</v>
      </c>
      <c r="G197" s="414" t="s">
        <v>354</v>
      </c>
      <c r="H197" s="414">
        <v>225225</v>
      </c>
      <c r="I197" s="181">
        <v>6117</v>
      </c>
      <c r="K197" s="379">
        <f t="shared" si="3"/>
        <v>611.70000000000005</v>
      </c>
      <c r="L197" s="379">
        <v>10</v>
      </c>
      <c r="M197" s="86">
        <v>12645.9</v>
      </c>
      <c r="AQ197" s="379" t="e">
        <f>#N/A</f>
        <v>#N/A</v>
      </c>
    </row>
    <row r="198" spans="1:43" s="379" customFormat="1">
      <c r="A198" s="387">
        <v>196</v>
      </c>
      <c r="B198" s="388" t="s">
        <v>741</v>
      </c>
      <c r="C198" s="389">
        <v>596348</v>
      </c>
      <c r="D198" s="390" t="s">
        <v>742</v>
      </c>
      <c r="E198" s="388" t="s">
        <v>80</v>
      </c>
      <c r="F198" s="388">
        <v>11</v>
      </c>
      <c r="G198" s="414" t="s">
        <v>354</v>
      </c>
      <c r="H198" s="414">
        <v>185455</v>
      </c>
      <c r="I198" s="181">
        <v>21366</v>
      </c>
      <c r="K198" s="379">
        <f t="shared" si="3"/>
        <v>2136.6</v>
      </c>
      <c r="L198" s="379">
        <v>10</v>
      </c>
      <c r="M198" s="86">
        <v>10341.9</v>
      </c>
      <c r="AQ198" s="379" t="e">
        <f>#N/A</f>
        <v>#N/A</v>
      </c>
    </row>
    <row r="199" spans="1:43" s="379" customFormat="1">
      <c r="A199" s="387">
        <v>197</v>
      </c>
      <c r="B199" s="388" t="s">
        <v>743</v>
      </c>
      <c r="C199" s="389">
        <v>596349</v>
      </c>
      <c r="D199" s="393" t="s">
        <v>744</v>
      </c>
      <c r="E199" s="388" t="s">
        <v>80</v>
      </c>
      <c r="F199" s="388">
        <v>33</v>
      </c>
      <c r="G199" s="414" t="s">
        <v>354</v>
      </c>
      <c r="H199" s="414">
        <v>88781</v>
      </c>
      <c r="I199" s="181">
        <v>16158</v>
      </c>
      <c r="K199" s="379">
        <f t="shared" si="3"/>
        <v>1615.8</v>
      </c>
      <c r="L199" s="379">
        <v>10</v>
      </c>
      <c r="M199" s="86">
        <v>14695.2</v>
      </c>
      <c r="AQ199" s="379" t="e">
        <f>#N/A</f>
        <v>#N/A</v>
      </c>
    </row>
    <row r="200" spans="1:43" s="379" customFormat="1">
      <c r="A200" s="387">
        <v>198</v>
      </c>
      <c r="B200" s="388" t="s">
        <v>745</v>
      </c>
      <c r="C200" s="428">
        <v>596352</v>
      </c>
      <c r="D200" s="429" t="s">
        <v>746</v>
      </c>
      <c r="E200" s="417" t="s">
        <v>80</v>
      </c>
      <c r="F200" s="417">
        <v>33</v>
      </c>
      <c r="G200" s="430" t="s">
        <v>354</v>
      </c>
      <c r="H200" s="430">
        <v>70026</v>
      </c>
      <c r="I200" s="181">
        <v>5665</v>
      </c>
      <c r="K200" s="379">
        <f t="shared" si="3"/>
        <v>566.5</v>
      </c>
      <c r="L200" s="379">
        <v>10</v>
      </c>
      <c r="M200" s="86">
        <v>5533.2</v>
      </c>
      <c r="AQ200" s="379" t="e">
        <f>#N/A</f>
        <v>#N/A</v>
      </c>
    </row>
    <row r="201" spans="1:43" s="379" customFormat="1">
      <c r="A201" s="387">
        <v>199</v>
      </c>
      <c r="B201" s="388" t="s">
        <v>747</v>
      </c>
      <c r="C201" s="428">
        <v>596354</v>
      </c>
      <c r="D201" s="390" t="s">
        <v>748</v>
      </c>
      <c r="E201" s="388" t="s">
        <v>80</v>
      </c>
      <c r="F201" s="388">
        <v>33</v>
      </c>
      <c r="G201" s="414" t="s">
        <v>354</v>
      </c>
      <c r="H201" s="414">
        <v>653140</v>
      </c>
      <c r="I201" s="181">
        <v>96022</v>
      </c>
      <c r="K201" s="379">
        <f t="shared" si="3"/>
        <v>9602.2000000000007</v>
      </c>
      <c r="L201" s="379">
        <v>10</v>
      </c>
      <c r="M201" s="86">
        <v>95511.6</v>
      </c>
      <c r="AQ201" s="379" t="e">
        <f>#N/A</f>
        <v>#N/A</v>
      </c>
    </row>
    <row r="202" spans="1:43" s="379" customFormat="1">
      <c r="A202" s="387">
        <v>200</v>
      </c>
      <c r="B202" s="388" t="s">
        <v>749</v>
      </c>
      <c r="C202" s="389">
        <v>596358</v>
      </c>
      <c r="D202" s="390" t="s">
        <v>750</v>
      </c>
      <c r="E202" s="388" t="s">
        <v>80</v>
      </c>
      <c r="F202" s="388">
        <v>11</v>
      </c>
      <c r="G202" s="414" t="s">
        <v>354</v>
      </c>
      <c r="H202" s="414">
        <v>227694</v>
      </c>
      <c r="I202" s="181">
        <v>53270</v>
      </c>
      <c r="K202" s="379">
        <f t="shared" si="3"/>
        <v>5327</v>
      </c>
      <c r="L202" s="379">
        <v>10</v>
      </c>
      <c r="M202" s="86">
        <v>47210.400000000001</v>
      </c>
      <c r="AQ202" s="379" t="e">
        <f>#N/A</f>
        <v>#N/A</v>
      </c>
    </row>
    <row r="203" spans="1:43" s="379" customFormat="1">
      <c r="A203" s="387">
        <v>201</v>
      </c>
      <c r="B203" s="388" t="s">
        <v>751</v>
      </c>
      <c r="C203" s="389" t="s">
        <v>752</v>
      </c>
      <c r="D203" s="390" t="s">
        <v>753</v>
      </c>
      <c r="E203" s="388" t="s">
        <v>82</v>
      </c>
      <c r="F203" s="388">
        <v>11</v>
      </c>
      <c r="G203" s="414"/>
      <c r="H203" s="414"/>
      <c r="I203" s="181">
        <v>32172</v>
      </c>
      <c r="K203" s="379">
        <f t="shared" si="3"/>
        <v>3217.2</v>
      </c>
      <c r="L203" s="379">
        <v>10</v>
      </c>
      <c r="M203" s="86">
        <v>31028.400000000001</v>
      </c>
      <c r="AQ203" s="379" t="e">
        <f>#N/A</f>
        <v>#N/A</v>
      </c>
    </row>
    <row r="204" spans="1:43" s="379" customFormat="1">
      <c r="A204" s="387">
        <v>202</v>
      </c>
      <c r="B204" s="388" t="s">
        <v>754</v>
      </c>
      <c r="C204" s="389" t="s">
        <v>752</v>
      </c>
      <c r="D204" s="390" t="s">
        <v>755</v>
      </c>
      <c r="E204" s="388" t="s">
        <v>80</v>
      </c>
      <c r="F204" s="388">
        <v>33</v>
      </c>
      <c r="G204" s="414"/>
      <c r="H204" s="414"/>
      <c r="I204" s="181">
        <v>207170</v>
      </c>
      <c r="K204" s="379">
        <f t="shared" si="3"/>
        <v>20717</v>
      </c>
      <c r="L204" s="379">
        <v>10</v>
      </c>
      <c r="M204" s="86">
        <v>170251.2</v>
      </c>
      <c r="AQ204" s="379" t="e">
        <f>#N/A</f>
        <v>#N/A</v>
      </c>
    </row>
    <row r="205" spans="1:43" s="379" customFormat="1">
      <c r="A205" s="387">
        <v>203</v>
      </c>
      <c r="B205" s="388" t="s">
        <v>756</v>
      </c>
      <c r="C205" s="389" t="s">
        <v>752</v>
      </c>
      <c r="D205" s="390" t="s">
        <v>757</v>
      </c>
      <c r="E205" s="388" t="s">
        <v>81</v>
      </c>
      <c r="F205" s="388">
        <v>11</v>
      </c>
      <c r="G205" s="414"/>
      <c r="H205" s="414"/>
      <c r="I205" s="181">
        <v>0</v>
      </c>
      <c r="K205" s="379">
        <f t="shared" si="3"/>
        <v>0</v>
      </c>
      <c r="L205" s="379">
        <v>10</v>
      </c>
      <c r="M205" s="86">
        <v>0</v>
      </c>
      <c r="AQ205" s="379" t="e">
        <f>#N/A</f>
        <v>#N/A</v>
      </c>
    </row>
    <row r="206" spans="1:43" s="379" customFormat="1">
      <c r="A206" s="387">
        <v>204</v>
      </c>
      <c r="B206" s="388" t="s">
        <v>758</v>
      </c>
      <c r="C206" s="389" t="s">
        <v>752</v>
      </c>
      <c r="D206" s="390" t="s">
        <v>759</v>
      </c>
      <c r="E206" s="388" t="s">
        <v>81</v>
      </c>
      <c r="F206" s="388">
        <v>33</v>
      </c>
      <c r="G206" s="414"/>
      <c r="H206" s="414"/>
      <c r="I206" s="181">
        <v>58302</v>
      </c>
      <c r="K206" s="379">
        <f t="shared" si="3"/>
        <v>5830.2</v>
      </c>
      <c r="L206" s="379">
        <v>10</v>
      </c>
      <c r="M206" s="86">
        <v>24231.599999999999</v>
      </c>
      <c r="AQ206" s="379" t="e">
        <f>#N/A</f>
        <v>#N/A</v>
      </c>
    </row>
    <row r="207" spans="1:43" s="379" customFormat="1">
      <c r="A207" s="387">
        <v>205</v>
      </c>
      <c r="B207" s="388" t="s">
        <v>760</v>
      </c>
      <c r="C207" s="389" t="s">
        <v>752</v>
      </c>
      <c r="D207" s="390" t="s">
        <v>761</v>
      </c>
      <c r="E207" s="388" t="s">
        <v>83</v>
      </c>
      <c r="F207" s="388">
        <v>11</v>
      </c>
      <c r="G207" s="414"/>
      <c r="H207" s="414"/>
      <c r="I207" s="181">
        <v>27117</v>
      </c>
      <c r="K207" s="379">
        <f t="shared" si="3"/>
        <v>2711.7</v>
      </c>
      <c r="L207" s="379">
        <v>10</v>
      </c>
      <c r="M207" s="86">
        <v>20130.3</v>
      </c>
      <c r="AQ207" s="379" t="e">
        <f>#N/A</f>
        <v>#N/A</v>
      </c>
    </row>
    <row r="208" spans="1:43" s="379" customFormat="1">
      <c r="A208" s="387">
        <v>206</v>
      </c>
      <c r="B208" s="388" t="s">
        <v>762</v>
      </c>
      <c r="C208" s="389" t="s">
        <v>752</v>
      </c>
      <c r="D208" s="393" t="s">
        <v>763</v>
      </c>
      <c r="E208" s="388" t="s">
        <v>82</v>
      </c>
      <c r="F208" s="388">
        <v>33</v>
      </c>
      <c r="G208" s="414"/>
      <c r="H208" s="414"/>
      <c r="I208" s="181">
        <v>55550</v>
      </c>
      <c r="K208" s="379">
        <f t="shared" si="3"/>
        <v>5555</v>
      </c>
      <c r="L208" s="379">
        <v>10</v>
      </c>
      <c r="M208" s="86">
        <v>43215.3</v>
      </c>
      <c r="AQ208" s="379" t="e">
        <f>#N/A</f>
        <v>#N/A</v>
      </c>
    </row>
    <row r="209" spans="1:43" s="379" customFormat="1">
      <c r="A209" s="387">
        <v>207</v>
      </c>
      <c r="B209" s="388" t="s">
        <v>764</v>
      </c>
      <c r="C209" s="431" t="s">
        <v>752</v>
      </c>
      <c r="D209" s="390" t="s">
        <v>765</v>
      </c>
      <c r="E209" s="388" t="s">
        <v>80</v>
      </c>
      <c r="F209" s="388">
        <v>33</v>
      </c>
      <c r="G209" s="414"/>
      <c r="H209" s="414"/>
      <c r="I209" s="181">
        <v>55164</v>
      </c>
      <c r="K209" s="379">
        <f t="shared" si="3"/>
        <v>5516.4</v>
      </c>
      <c r="L209" s="379">
        <v>10</v>
      </c>
      <c r="M209" s="86">
        <v>49439.7</v>
      </c>
      <c r="AQ209" s="379" t="e">
        <f>#N/A</f>
        <v>#N/A</v>
      </c>
    </row>
    <row r="210" spans="1:43" s="379" customFormat="1" ht="15" customHeight="1">
      <c r="A210" s="387">
        <v>208</v>
      </c>
      <c r="B210" s="388" t="s">
        <v>766</v>
      </c>
      <c r="C210" s="431"/>
      <c r="D210" s="390" t="s">
        <v>767</v>
      </c>
      <c r="E210" s="388" t="s">
        <v>80</v>
      </c>
      <c r="F210" s="388">
        <v>11</v>
      </c>
      <c r="G210" s="414"/>
      <c r="H210" s="414"/>
      <c r="I210" s="181">
        <v>46494</v>
      </c>
      <c r="K210" s="379">
        <f t="shared" si="3"/>
        <v>4649.3999999999996</v>
      </c>
      <c r="L210" s="379">
        <v>10</v>
      </c>
      <c r="M210" s="86">
        <v>45561.599999999999</v>
      </c>
      <c r="AQ210" s="379" t="e">
        <f>#N/A</f>
        <v>#N/A</v>
      </c>
    </row>
    <row r="211" spans="1:43" s="379" customFormat="1">
      <c r="A211" s="387">
        <v>209</v>
      </c>
      <c r="B211" s="388" t="s">
        <v>768</v>
      </c>
      <c r="C211" s="431"/>
      <c r="D211" s="390" t="s">
        <v>769</v>
      </c>
      <c r="E211" s="388" t="s">
        <v>83</v>
      </c>
      <c r="F211" s="388">
        <v>33</v>
      </c>
      <c r="G211" s="414"/>
      <c r="H211" s="414"/>
      <c r="I211" s="181">
        <v>42825</v>
      </c>
      <c r="K211" s="379">
        <f t="shared" si="3"/>
        <v>4282.5</v>
      </c>
      <c r="L211" s="379">
        <v>10</v>
      </c>
      <c r="M211" s="86">
        <v>10999.8</v>
      </c>
      <c r="AQ211" s="379" t="e">
        <f>#N/A</f>
        <v>#N/A</v>
      </c>
    </row>
    <row r="212" spans="1:43" s="379" customFormat="1">
      <c r="A212" s="387">
        <v>210</v>
      </c>
      <c r="B212" s="388" t="s">
        <v>770</v>
      </c>
      <c r="C212" s="431"/>
      <c r="D212" s="390" t="s">
        <v>771</v>
      </c>
      <c r="E212" s="388" t="s">
        <v>80</v>
      </c>
      <c r="F212" s="388">
        <v>33</v>
      </c>
      <c r="G212" s="414"/>
      <c r="H212" s="414"/>
      <c r="I212" s="181">
        <v>3105</v>
      </c>
      <c r="K212" s="379">
        <f t="shared" si="3"/>
        <v>310.5</v>
      </c>
      <c r="L212" s="379">
        <v>10</v>
      </c>
      <c r="M212" s="86">
        <v>5594.4</v>
      </c>
      <c r="AQ212" s="379" t="e">
        <f>#N/A</f>
        <v>#N/A</v>
      </c>
    </row>
    <row r="213" spans="1:43" s="379" customFormat="1">
      <c r="A213" s="387">
        <v>211</v>
      </c>
      <c r="B213" s="388" t="s">
        <v>772</v>
      </c>
      <c r="C213" s="431"/>
      <c r="D213" s="390" t="s">
        <v>773</v>
      </c>
      <c r="E213" s="388" t="s">
        <v>83</v>
      </c>
      <c r="F213" s="388">
        <v>33</v>
      </c>
      <c r="G213" s="414"/>
      <c r="H213" s="414"/>
      <c r="I213" s="181">
        <v>366780</v>
      </c>
      <c r="K213" s="379">
        <f t="shared" si="3"/>
        <v>36678</v>
      </c>
      <c r="L213" s="379">
        <v>10</v>
      </c>
      <c r="M213" s="86">
        <v>294138</v>
      </c>
      <c r="AQ213" s="379" t="e">
        <f>#N/A</f>
        <v>#N/A</v>
      </c>
    </row>
    <row r="214" spans="1:43" s="379" customFormat="1">
      <c r="A214" s="387">
        <v>212</v>
      </c>
      <c r="B214" s="388" t="s">
        <v>774</v>
      </c>
      <c r="C214" s="431"/>
      <c r="D214" s="390" t="s">
        <v>775</v>
      </c>
      <c r="E214" s="388" t="s">
        <v>82</v>
      </c>
      <c r="F214" s="388">
        <v>33</v>
      </c>
      <c r="G214" s="414"/>
      <c r="H214" s="414"/>
      <c r="I214" s="181">
        <v>134604</v>
      </c>
      <c r="K214" s="379">
        <f t="shared" si="3"/>
        <v>13460.4</v>
      </c>
      <c r="L214" s="379">
        <v>10</v>
      </c>
      <c r="M214" s="86">
        <v>98925.3</v>
      </c>
      <c r="AQ214" s="379" t="e">
        <f>#N/A</f>
        <v>#N/A</v>
      </c>
    </row>
    <row r="215" spans="1:43" s="379" customFormat="1">
      <c r="A215" s="387">
        <v>213</v>
      </c>
      <c r="B215" s="329" t="s">
        <v>776</v>
      </c>
      <c r="C215" s="431"/>
      <c r="D215" s="390" t="s">
        <v>777</v>
      </c>
      <c r="E215" s="388" t="s">
        <v>82</v>
      </c>
      <c r="F215" s="388">
        <v>33</v>
      </c>
      <c r="G215" s="414"/>
      <c r="H215" s="414"/>
      <c r="I215" s="181">
        <v>34962</v>
      </c>
      <c r="K215" s="379">
        <f t="shared" si="3"/>
        <v>3496.2</v>
      </c>
      <c r="L215" s="379">
        <v>10</v>
      </c>
      <c r="M215" s="86">
        <v>36072</v>
      </c>
      <c r="AQ215" s="379" t="e">
        <f>#N/A</f>
        <v>#N/A</v>
      </c>
    </row>
    <row r="216" spans="1:43" s="379" customFormat="1">
      <c r="A216" s="387">
        <v>214</v>
      </c>
      <c r="B216" s="388" t="s">
        <v>778</v>
      </c>
      <c r="C216" s="202"/>
      <c r="D216" s="426" t="s">
        <v>779</v>
      </c>
      <c r="E216" s="295" t="s">
        <v>83</v>
      </c>
      <c r="F216" s="419">
        <v>33</v>
      </c>
      <c r="G216" s="414"/>
      <c r="H216" s="414"/>
      <c r="I216" s="181">
        <v>52386</v>
      </c>
      <c r="K216" s="379">
        <f t="shared" si="3"/>
        <v>5238.6000000000004</v>
      </c>
      <c r="L216" s="379">
        <v>10</v>
      </c>
      <c r="M216" s="86">
        <v>69284.7</v>
      </c>
      <c r="AQ216" s="379" t="e">
        <f>#N/A</f>
        <v>#N/A</v>
      </c>
    </row>
    <row r="217" spans="1:43" s="379" customFormat="1">
      <c r="A217" s="387">
        <v>215</v>
      </c>
      <c r="B217" s="432" t="s">
        <v>780</v>
      </c>
      <c r="C217" s="202"/>
      <c r="D217" s="399" t="s">
        <v>781</v>
      </c>
      <c r="E217" s="388" t="s">
        <v>82</v>
      </c>
      <c r="F217" s="419">
        <v>33</v>
      </c>
      <c r="G217" s="414"/>
      <c r="H217" s="414"/>
      <c r="I217" s="181">
        <v>27849</v>
      </c>
      <c r="K217" s="379">
        <f t="shared" si="3"/>
        <v>2784.9</v>
      </c>
      <c r="L217" s="379">
        <v>10</v>
      </c>
      <c r="M217" s="86">
        <v>51966</v>
      </c>
      <c r="AQ217" s="379" t="e">
        <f>#N/A</f>
        <v>#N/A</v>
      </c>
    </row>
    <row r="218" spans="1:43" s="379" customFormat="1">
      <c r="A218" s="387">
        <v>216</v>
      </c>
      <c r="B218" s="433" t="s">
        <v>782</v>
      </c>
      <c r="C218" s="434"/>
      <c r="D218" s="435" t="s">
        <v>783</v>
      </c>
      <c r="E218" s="432" t="s">
        <v>82</v>
      </c>
      <c r="F218" s="432">
        <v>33</v>
      </c>
      <c r="G218" s="432"/>
      <c r="H218" s="436">
        <v>323</v>
      </c>
      <c r="I218" s="181">
        <v>6425</v>
      </c>
      <c r="K218" s="379">
        <f t="shared" si="3"/>
        <v>642.5</v>
      </c>
      <c r="L218" s="379">
        <v>10</v>
      </c>
      <c r="M218" s="86">
        <v>6339.6</v>
      </c>
      <c r="AQ218" s="379" t="e">
        <f>#N/A</f>
        <v>#N/A</v>
      </c>
    </row>
    <row r="219" spans="1:43" s="379" customFormat="1" ht="15.75" customHeight="1">
      <c r="A219" s="387">
        <v>217</v>
      </c>
      <c r="B219" s="329" t="s">
        <v>784</v>
      </c>
      <c r="C219" s="181"/>
      <c r="D219" s="133" t="s">
        <v>785</v>
      </c>
      <c r="E219" s="437" t="s">
        <v>82</v>
      </c>
      <c r="F219" s="432">
        <v>33</v>
      </c>
      <c r="G219" s="432"/>
      <c r="H219" s="436"/>
      <c r="I219" s="181">
        <v>53129</v>
      </c>
      <c r="K219" s="379">
        <f t="shared" si="3"/>
        <v>5312.9</v>
      </c>
      <c r="L219" s="379">
        <v>10</v>
      </c>
      <c r="M219" s="86">
        <v>48015.9</v>
      </c>
    </row>
    <row r="220" spans="1:43" s="379" customFormat="1">
      <c r="A220" s="387">
        <v>218</v>
      </c>
      <c r="B220" s="329" t="s">
        <v>786</v>
      </c>
      <c r="C220" s="181"/>
      <c r="D220" s="133" t="s">
        <v>787</v>
      </c>
      <c r="E220" s="437" t="s">
        <v>83</v>
      </c>
      <c r="F220" s="432">
        <v>11</v>
      </c>
      <c r="G220" s="432"/>
      <c r="H220" s="436"/>
      <c r="I220" s="181">
        <v>24003</v>
      </c>
      <c r="K220" s="379">
        <f t="shared" si="3"/>
        <v>2400.3000000000002</v>
      </c>
      <c r="L220" s="379">
        <v>10</v>
      </c>
      <c r="M220" s="86">
        <v>35402.400000000001</v>
      </c>
    </row>
    <row r="221" spans="1:43" s="379" customFormat="1">
      <c r="A221" s="387">
        <v>219</v>
      </c>
      <c r="B221" s="329" t="s">
        <v>788</v>
      </c>
      <c r="C221" s="184"/>
      <c r="D221" s="438" t="s">
        <v>789</v>
      </c>
      <c r="E221" s="184" t="s">
        <v>83</v>
      </c>
      <c r="F221" s="432">
        <v>33</v>
      </c>
      <c r="G221" s="432"/>
      <c r="H221" s="436"/>
      <c r="I221" s="184">
        <v>1393290</v>
      </c>
      <c r="K221" s="379">
        <f t="shared" si="3"/>
        <v>139329</v>
      </c>
      <c r="L221" s="379">
        <v>10</v>
      </c>
      <c r="M221" s="86">
        <v>1115599.5</v>
      </c>
    </row>
    <row r="222" spans="1:43" s="379" customFormat="1">
      <c r="A222" s="387">
        <v>220</v>
      </c>
      <c r="B222" s="329" t="s">
        <v>790</v>
      </c>
      <c r="C222" s="184"/>
      <c r="D222" s="439" t="s">
        <v>791</v>
      </c>
      <c r="E222" s="184" t="s">
        <v>83</v>
      </c>
      <c r="F222" s="432">
        <v>11</v>
      </c>
      <c r="G222" s="432"/>
      <c r="H222" s="436"/>
      <c r="I222" s="184">
        <v>27814</v>
      </c>
      <c r="K222" s="379">
        <f t="shared" si="3"/>
        <v>2781.4</v>
      </c>
      <c r="L222" s="379">
        <v>10</v>
      </c>
      <c r="M222" s="86">
        <v>22849.200000000001</v>
      </c>
    </row>
    <row r="223" spans="1:43" s="379" customFormat="1">
      <c r="A223" s="387">
        <v>221</v>
      </c>
      <c r="B223" s="329" t="s">
        <v>792</v>
      </c>
      <c r="C223" s="329"/>
      <c r="D223" s="439" t="s">
        <v>793</v>
      </c>
      <c r="E223" s="181" t="s">
        <v>82</v>
      </c>
      <c r="F223" s="432">
        <v>33</v>
      </c>
      <c r="G223" s="432"/>
      <c r="H223" s="436"/>
      <c r="I223" s="184">
        <v>27732</v>
      </c>
      <c r="K223" s="379">
        <f t="shared" si="3"/>
        <v>2773.2</v>
      </c>
      <c r="L223" s="379">
        <v>10</v>
      </c>
      <c r="M223" s="86">
        <v>24696.9</v>
      </c>
    </row>
    <row r="224" spans="1:43" s="379" customFormat="1">
      <c r="A224" s="387">
        <v>222</v>
      </c>
      <c r="B224" s="440" t="s">
        <v>794</v>
      </c>
      <c r="C224" s="440"/>
      <c r="D224" s="441" t="s">
        <v>789</v>
      </c>
      <c r="E224" s="181" t="s">
        <v>80</v>
      </c>
      <c r="F224" s="432">
        <v>33</v>
      </c>
      <c r="G224" s="432"/>
      <c r="H224" s="436"/>
      <c r="I224" s="184">
        <v>6621</v>
      </c>
      <c r="J224" s="379" t="s">
        <v>795</v>
      </c>
      <c r="K224" s="379">
        <f t="shared" si="3"/>
        <v>662.1</v>
      </c>
      <c r="L224" s="379">
        <v>10</v>
      </c>
      <c r="M224" s="86">
        <v>3744.9</v>
      </c>
    </row>
    <row r="225" spans="1:13" s="379" customFormat="1">
      <c r="A225" s="387">
        <v>223</v>
      </c>
      <c r="B225" s="440" t="s">
        <v>796</v>
      </c>
      <c r="C225" s="440"/>
      <c r="D225" s="442" t="s">
        <v>797</v>
      </c>
      <c r="E225" s="181" t="s">
        <v>80</v>
      </c>
      <c r="F225" s="432">
        <v>33</v>
      </c>
      <c r="G225" s="432"/>
      <c r="H225" s="436"/>
      <c r="I225" s="184">
        <v>72111</v>
      </c>
      <c r="J225" s="379" t="s">
        <v>798</v>
      </c>
      <c r="K225" s="379">
        <f t="shared" si="3"/>
        <v>7211.1</v>
      </c>
      <c r="L225" s="379">
        <v>10</v>
      </c>
      <c r="M225" s="86">
        <v>78129.899999999994</v>
      </c>
    </row>
    <row r="226" spans="1:13" s="379" customFormat="1">
      <c r="A226" s="387">
        <v>224</v>
      </c>
      <c r="B226" s="440" t="s">
        <v>799</v>
      </c>
      <c r="C226" s="440"/>
      <c r="D226" s="441" t="s">
        <v>800</v>
      </c>
      <c r="E226" s="181" t="s">
        <v>82</v>
      </c>
      <c r="F226" s="432">
        <v>33</v>
      </c>
      <c r="G226" s="432"/>
      <c r="H226" s="436"/>
      <c r="I226" s="184">
        <v>217668</v>
      </c>
      <c r="K226" s="379">
        <f t="shared" si="3"/>
        <v>21766.799999999999</v>
      </c>
      <c r="L226" s="379">
        <v>10</v>
      </c>
      <c r="M226" s="86">
        <v>151853.4</v>
      </c>
    </row>
    <row r="227" spans="1:13" s="379" customFormat="1">
      <c r="A227" s="387">
        <v>225</v>
      </c>
      <c r="B227" s="440" t="s">
        <v>801</v>
      </c>
      <c r="C227" s="440"/>
      <c r="D227" s="441" t="s">
        <v>802</v>
      </c>
      <c r="E227" s="181" t="s">
        <v>80</v>
      </c>
      <c r="F227" s="432">
        <v>33</v>
      </c>
      <c r="G227" s="432"/>
      <c r="H227" s="436"/>
      <c r="I227" s="184">
        <v>28323</v>
      </c>
      <c r="K227" s="379">
        <f t="shared" si="3"/>
        <v>2832.3</v>
      </c>
      <c r="L227" s="379">
        <v>10</v>
      </c>
      <c r="M227" s="86">
        <v>29446.2</v>
      </c>
    </row>
    <row r="228" spans="1:13" s="379" customFormat="1">
      <c r="A228" s="387">
        <v>226</v>
      </c>
      <c r="B228" s="440" t="s">
        <v>803</v>
      </c>
      <c r="C228" s="440"/>
      <c r="D228" s="441" t="s">
        <v>804</v>
      </c>
      <c r="E228" s="181" t="s">
        <v>80</v>
      </c>
      <c r="F228" s="432">
        <v>33</v>
      </c>
      <c r="G228" s="432"/>
      <c r="H228" s="436"/>
      <c r="I228" s="184">
        <v>11523</v>
      </c>
      <c r="K228" s="379">
        <f t="shared" si="3"/>
        <v>1152.3</v>
      </c>
      <c r="L228" s="379">
        <v>10</v>
      </c>
      <c r="M228" s="86">
        <v>8629.2000000000007</v>
      </c>
    </row>
    <row r="229" spans="1:13" s="379" customFormat="1">
      <c r="A229" s="387">
        <v>227</v>
      </c>
      <c r="B229" s="440" t="s">
        <v>805</v>
      </c>
      <c r="C229" s="440"/>
      <c r="D229" s="441" t="s">
        <v>806</v>
      </c>
      <c r="E229" s="181" t="s">
        <v>80</v>
      </c>
      <c r="F229" s="432">
        <v>33</v>
      </c>
      <c r="G229" s="432"/>
      <c r="H229" s="436"/>
      <c r="I229" s="184">
        <v>16446</v>
      </c>
      <c r="K229" s="379">
        <f t="shared" si="3"/>
        <v>1644.6</v>
      </c>
      <c r="L229" s="379">
        <v>10</v>
      </c>
      <c r="M229" s="86">
        <v>18122.400000000001</v>
      </c>
    </row>
    <row r="230" spans="1:13" s="379" customFormat="1">
      <c r="A230" s="387">
        <v>228</v>
      </c>
      <c r="B230" s="440" t="s">
        <v>807</v>
      </c>
      <c r="C230" s="440"/>
      <c r="D230" s="441" t="s">
        <v>808</v>
      </c>
      <c r="E230" s="295" t="s">
        <v>83</v>
      </c>
      <c r="F230" s="432">
        <v>11</v>
      </c>
      <c r="G230" s="432"/>
      <c r="H230" s="436"/>
      <c r="I230" s="184">
        <v>68025</v>
      </c>
      <c r="K230" s="379">
        <f t="shared" si="3"/>
        <v>6802.5</v>
      </c>
      <c r="L230" s="379">
        <v>10</v>
      </c>
      <c r="M230" s="86">
        <v>65836.800000000003</v>
      </c>
    </row>
    <row r="231" spans="1:13" s="379" customFormat="1">
      <c r="A231" s="387">
        <v>229</v>
      </c>
      <c r="B231" s="440" t="s">
        <v>809</v>
      </c>
      <c r="C231" s="440"/>
      <c r="D231" s="441" t="s">
        <v>810</v>
      </c>
      <c r="E231" s="295" t="s">
        <v>83</v>
      </c>
      <c r="F231" s="432">
        <v>11</v>
      </c>
      <c r="G231" s="432"/>
      <c r="H231" s="436"/>
      <c r="I231" s="184">
        <v>42401</v>
      </c>
      <c r="K231" s="379">
        <f t="shared" si="3"/>
        <v>4240.1000000000004</v>
      </c>
      <c r="L231" s="379">
        <v>10</v>
      </c>
      <c r="M231" s="86">
        <v>37704.6</v>
      </c>
    </row>
    <row r="232" spans="1:13" s="379" customFormat="1">
      <c r="A232" s="387">
        <v>230</v>
      </c>
      <c r="B232" s="440" t="s">
        <v>811</v>
      </c>
      <c r="C232" s="440"/>
      <c r="D232" s="441" t="s">
        <v>812</v>
      </c>
      <c r="E232" s="295" t="s">
        <v>80</v>
      </c>
      <c r="F232" s="432">
        <v>33</v>
      </c>
      <c r="G232" s="432"/>
      <c r="H232" s="436"/>
      <c r="I232" s="184">
        <v>0</v>
      </c>
      <c r="K232" s="379">
        <f t="shared" si="3"/>
        <v>0</v>
      </c>
      <c r="L232" s="379">
        <v>10</v>
      </c>
      <c r="M232" s="86">
        <v>348264</v>
      </c>
    </row>
    <row r="233" spans="1:13" s="379" customFormat="1">
      <c r="A233" s="387">
        <v>231</v>
      </c>
      <c r="B233" s="440" t="s">
        <v>813</v>
      </c>
      <c r="C233" s="440"/>
      <c r="D233" s="441" t="s">
        <v>814</v>
      </c>
      <c r="E233" s="295" t="s">
        <v>82</v>
      </c>
      <c r="F233" s="432">
        <v>33</v>
      </c>
      <c r="G233" s="432"/>
      <c r="H233" s="436"/>
      <c r="I233" s="184">
        <v>0</v>
      </c>
      <c r="K233" s="379">
        <f t="shared" si="3"/>
        <v>0</v>
      </c>
      <c r="L233" s="379">
        <v>10</v>
      </c>
      <c r="M233" s="86">
        <v>26727.3</v>
      </c>
    </row>
    <row r="234" spans="1:13" s="379" customFormat="1">
      <c r="A234" s="387">
        <v>232</v>
      </c>
      <c r="B234" s="440" t="s">
        <v>815</v>
      </c>
      <c r="C234" s="440"/>
      <c r="D234" s="441" t="s">
        <v>816</v>
      </c>
      <c r="E234" s="295" t="s">
        <v>82</v>
      </c>
      <c r="F234" s="432">
        <v>33</v>
      </c>
      <c r="G234" s="432"/>
      <c r="H234" s="436"/>
      <c r="I234" s="184">
        <v>71847</v>
      </c>
      <c r="K234" s="379">
        <f t="shared" si="3"/>
        <v>7184.7</v>
      </c>
      <c r="L234" s="379">
        <v>10</v>
      </c>
      <c r="M234" s="86">
        <v>58182.3</v>
      </c>
    </row>
    <row r="235" spans="1:13" s="379" customFormat="1">
      <c r="A235" s="387">
        <v>233</v>
      </c>
      <c r="B235" s="440" t="s">
        <v>817</v>
      </c>
      <c r="C235" s="133"/>
      <c r="D235" s="248" t="s">
        <v>818</v>
      </c>
      <c r="E235" s="295" t="s">
        <v>83</v>
      </c>
      <c r="F235" s="432">
        <v>11</v>
      </c>
      <c r="G235" s="432"/>
      <c r="H235" s="436"/>
      <c r="I235" s="184">
        <v>19025</v>
      </c>
      <c r="K235" s="379">
        <f t="shared" si="3"/>
        <v>1902.5</v>
      </c>
      <c r="L235" s="379">
        <v>10</v>
      </c>
      <c r="M235" s="86">
        <v>18319.5</v>
      </c>
    </row>
    <row r="236" spans="1:13" s="379" customFormat="1">
      <c r="A236" s="387">
        <v>234</v>
      </c>
      <c r="B236" s="440" t="s">
        <v>819</v>
      </c>
      <c r="C236" s="133"/>
      <c r="D236" s="248" t="s">
        <v>820</v>
      </c>
      <c r="E236" s="295" t="s">
        <v>81</v>
      </c>
      <c r="F236" s="432">
        <v>11</v>
      </c>
      <c r="G236" s="432"/>
      <c r="H236" s="436"/>
      <c r="I236" s="184">
        <v>0</v>
      </c>
      <c r="K236" s="379">
        <f t="shared" si="3"/>
        <v>0</v>
      </c>
      <c r="L236" s="379">
        <v>10</v>
      </c>
      <c r="M236" s="86">
        <v>1290.5999999999999</v>
      </c>
    </row>
    <row r="237" spans="1:13" s="379" customFormat="1">
      <c r="A237" s="387">
        <v>235</v>
      </c>
      <c r="B237" s="440" t="s">
        <v>821</v>
      </c>
      <c r="C237" s="133"/>
      <c r="D237" s="133" t="s">
        <v>822</v>
      </c>
      <c r="E237" s="295" t="s">
        <v>82</v>
      </c>
      <c r="F237" s="432">
        <v>11</v>
      </c>
      <c r="G237" s="432"/>
      <c r="H237" s="436"/>
      <c r="I237" s="184">
        <v>27311</v>
      </c>
      <c r="K237" s="379">
        <f t="shared" si="3"/>
        <v>2731.1</v>
      </c>
      <c r="L237" s="379">
        <v>10</v>
      </c>
      <c r="M237" s="86">
        <v>28127.7</v>
      </c>
    </row>
    <row r="238" spans="1:13" s="379" customFormat="1">
      <c r="A238" s="387">
        <v>236</v>
      </c>
      <c r="B238" s="440" t="s">
        <v>823</v>
      </c>
      <c r="C238" s="133"/>
      <c r="D238" s="133" t="s">
        <v>824</v>
      </c>
      <c r="E238" s="295" t="s">
        <v>81</v>
      </c>
      <c r="F238" s="432">
        <v>33</v>
      </c>
      <c r="G238" s="432"/>
      <c r="H238" s="436"/>
      <c r="I238" s="184">
        <v>99261</v>
      </c>
      <c r="K238" s="379">
        <f t="shared" si="3"/>
        <v>9926.1</v>
      </c>
      <c r="L238" s="379">
        <v>10</v>
      </c>
      <c r="M238" s="86">
        <v>160817.4</v>
      </c>
    </row>
    <row r="239" spans="1:13" s="379" customFormat="1">
      <c r="A239" s="387">
        <v>237</v>
      </c>
      <c r="B239" s="440" t="s">
        <v>825</v>
      </c>
      <c r="C239" s="133"/>
      <c r="D239" s="133" t="s">
        <v>826</v>
      </c>
      <c r="E239" s="295" t="s">
        <v>82</v>
      </c>
      <c r="F239" s="432">
        <v>11</v>
      </c>
      <c r="G239" s="432"/>
      <c r="H239" s="436"/>
      <c r="I239" s="184">
        <v>19613</v>
      </c>
      <c r="K239" s="379">
        <f t="shared" si="3"/>
        <v>1961.3</v>
      </c>
      <c r="L239" s="379">
        <v>10</v>
      </c>
      <c r="M239" s="86">
        <v>16150.5</v>
      </c>
    </row>
    <row r="240" spans="1:13" s="379" customFormat="1">
      <c r="A240" s="387">
        <v>238</v>
      </c>
      <c r="B240" s="440" t="s">
        <v>827</v>
      </c>
      <c r="C240" s="133"/>
      <c r="D240" s="133" t="s">
        <v>828</v>
      </c>
      <c r="E240" s="295" t="s">
        <v>82</v>
      </c>
      <c r="F240" s="432">
        <v>11</v>
      </c>
      <c r="G240" s="432"/>
      <c r="H240" s="436"/>
      <c r="I240" s="184">
        <v>19084</v>
      </c>
      <c r="K240" s="379">
        <f t="shared" si="3"/>
        <v>1908.4</v>
      </c>
      <c r="L240" s="379">
        <v>10</v>
      </c>
      <c r="M240" s="86">
        <v>16336.8</v>
      </c>
    </row>
    <row r="241" spans="1:13" s="379" customFormat="1">
      <c r="A241" s="387">
        <v>239</v>
      </c>
      <c r="B241" s="440" t="s">
        <v>829</v>
      </c>
      <c r="C241" s="133"/>
      <c r="D241" s="133" t="s">
        <v>830</v>
      </c>
      <c r="E241" s="295" t="s">
        <v>80</v>
      </c>
      <c r="F241" s="432">
        <v>11</v>
      </c>
      <c r="G241" s="432"/>
      <c r="H241" s="436"/>
      <c r="I241" s="184">
        <v>19172</v>
      </c>
      <c r="K241" s="379">
        <f t="shared" si="3"/>
        <v>1917.2</v>
      </c>
      <c r="L241" s="379">
        <v>10</v>
      </c>
      <c r="M241" s="86">
        <v>21232.799999999999</v>
      </c>
    </row>
    <row r="242" spans="1:13" s="379" customFormat="1">
      <c r="A242" s="387">
        <v>240</v>
      </c>
      <c r="B242" s="440" t="s">
        <v>831</v>
      </c>
      <c r="C242" s="133"/>
      <c r="D242" s="133" t="s">
        <v>832</v>
      </c>
      <c r="E242" s="295" t="s">
        <v>82</v>
      </c>
      <c r="F242" s="432">
        <v>33</v>
      </c>
      <c r="G242" s="432"/>
      <c r="H242" s="436"/>
      <c r="I242" s="184">
        <v>30380</v>
      </c>
      <c r="K242" s="379">
        <f t="shared" si="3"/>
        <v>3038</v>
      </c>
      <c r="L242" s="379">
        <v>10</v>
      </c>
      <c r="M242" s="86">
        <v>35709.300000000003</v>
      </c>
    </row>
    <row r="243" spans="1:13" s="379" customFormat="1">
      <c r="A243" s="387">
        <v>241</v>
      </c>
      <c r="B243" s="440" t="s">
        <v>833</v>
      </c>
      <c r="C243" s="133"/>
      <c r="D243" s="133" t="s">
        <v>834</v>
      </c>
      <c r="E243" s="295" t="s">
        <v>83</v>
      </c>
      <c r="F243" s="432">
        <v>33</v>
      </c>
      <c r="G243" s="432"/>
      <c r="H243" s="436"/>
      <c r="I243" s="184">
        <v>45572</v>
      </c>
      <c r="K243" s="379">
        <f t="shared" si="3"/>
        <v>4557.2</v>
      </c>
      <c r="L243" s="379">
        <v>10</v>
      </c>
      <c r="M243" s="86">
        <v>50370.3</v>
      </c>
    </row>
    <row r="244" spans="1:13" s="379" customFormat="1">
      <c r="A244" s="387">
        <v>242</v>
      </c>
      <c r="B244" s="440" t="s">
        <v>835</v>
      </c>
      <c r="C244" s="133"/>
      <c r="D244" s="133" t="s">
        <v>836</v>
      </c>
      <c r="E244" s="295" t="s">
        <v>80</v>
      </c>
      <c r="F244" s="432">
        <v>11</v>
      </c>
      <c r="G244" s="432"/>
      <c r="H244" s="436"/>
      <c r="I244" s="184">
        <v>9356</v>
      </c>
      <c r="K244" s="379">
        <f t="shared" si="3"/>
        <v>935.6</v>
      </c>
      <c r="L244" s="379">
        <v>10</v>
      </c>
      <c r="M244" s="86">
        <v>3222.9</v>
      </c>
    </row>
    <row r="245" spans="1:13" s="379" customFormat="1">
      <c r="A245" s="387">
        <v>243</v>
      </c>
      <c r="B245" s="440" t="s">
        <v>837</v>
      </c>
      <c r="C245" s="133"/>
      <c r="D245" s="133" t="s">
        <v>838</v>
      </c>
      <c r="E245" s="295" t="s">
        <v>81</v>
      </c>
      <c r="F245" s="432">
        <v>11</v>
      </c>
      <c r="G245" s="432"/>
      <c r="H245" s="436"/>
      <c r="I245" s="184">
        <v>30635</v>
      </c>
      <c r="K245" s="379">
        <f t="shared" si="3"/>
        <v>3063.5</v>
      </c>
      <c r="L245" s="379">
        <v>10</v>
      </c>
      <c r="M245" s="86">
        <v>18578.7</v>
      </c>
    </row>
    <row r="246" spans="1:13" s="379" customFormat="1">
      <c r="A246" s="387">
        <v>244</v>
      </c>
      <c r="B246" s="440" t="s">
        <v>839</v>
      </c>
      <c r="C246" s="133"/>
      <c r="D246" s="133" t="s">
        <v>840</v>
      </c>
      <c r="E246" s="295" t="s">
        <v>82</v>
      </c>
      <c r="F246" s="432">
        <v>33</v>
      </c>
      <c r="G246" s="432"/>
      <c r="H246" s="436"/>
      <c r="I246" s="184">
        <v>11630</v>
      </c>
      <c r="K246" s="379">
        <f t="shared" si="3"/>
        <v>1163</v>
      </c>
      <c r="L246" s="379">
        <v>10</v>
      </c>
      <c r="M246" s="86">
        <v>11128.5</v>
      </c>
    </row>
    <row r="247" spans="1:13" s="379" customFormat="1" ht="30">
      <c r="A247" s="382">
        <v>245</v>
      </c>
      <c r="B247" s="443" t="s">
        <v>841</v>
      </c>
      <c r="C247" s="133"/>
      <c r="D247" s="425" t="s">
        <v>842</v>
      </c>
      <c r="E247" s="295" t="s">
        <v>82</v>
      </c>
      <c r="F247" s="432">
        <v>11</v>
      </c>
      <c r="G247" s="432"/>
      <c r="H247" s="436"/>
      <c r="I247" s="184">
        <v>4320</v>
      </c>
      <c r="K247" s="379">
        <f t="shared" si="3"/>
        <v>432</v>
      </c>
      <c r="L247" s="379">
        <v>10</v>
      </c>
      <c r="M247" s="86">
        <v>3996</v>
      </c>
    </row>
    <row r="248" spans="1:13" s="379" customFormat="1">
      <c r="A248" s="387">
        <v>246</v>
      </c>
      <c r="B248" s="440" t="s">
        <v>843</v>
      </c>
      <c r="C248" s="133"/>
      <c r="D248" s="133" t="s">
        <v>844</v>
      </c>
      <c r="E248" s="295" t="s">
        <v>83</v>
      </c>
      <c r="F248" s="432">
        <v>33</v>
      </c>
      <c r="G248" s="432"/>
      <c r="H248" s="436"/>
      <c r="I248" s="184">
        <v>117315</v>
      </c>
      <c r="K248" s="379">
        <f t="shared" si="3"/>
        <v>11731.5</v>
      </c>
      <c r="L248" s="379">
        <v>10</v>
      </c>
      <c r="M248" s="86">
        <v>59694.3</v>
      </c>
    </row>
    <row r="249" spans="1:13" s="379" customFormat="1">
      <c r="A249" s="387">
        <v>247</v>
      </c>
      <c r="B249" s="440" t="s">
        <v>845</v>
      </c>
      <c r="C249" s="133"/>
      <c r="D249" s="133" t="s">
        <v>846</v>
      </c>
      <c r="E249" s="295" t="s">
        <v>83</v>
      </c>
      <c r="F249" s="432">
        <v>11</v>
      </c>
      <c r="G249" s="432"/>
      <c r="H249" s="436"/>
      <c r="I249" s="184">
        <v>54515</v>
      </c>
      <c r="K249" s="379">
        <f t="shared" si="3"/>
        <v>5451.5</v>
      </c>
      <c r="L249" s="379">
        <v>10</v>
      </c>
      <c r="M249" s="86">
        <v>48130.2</v>
      </c>
    </row>
    <row r="250" spans="1:13" s="379" customFormat="1">
      <c r="A250" s="387">
        <v>248</v>
      </c>
      <c r="B250" s="440" t="s">
        <v>847</v>
      </c>
      <c r="C250" s="133"/>
      <c r="D250" s="133" t="s">
        <v>848</v>
      </c>
      <c r="E250" s="295" t="s">
        <v>83</v>
      </c>
      <c r="F250" s="432">
        <v>33</v>
      </c>
      <c r="G250" s="432"/>
      <c r="H250" s="436"/>
      <c r="I250" s="184">
        <v>64410</v>
      </c>
      <c r="K250" s="379">
        <f t="shared" si="3"/>
        <v>6441</v>
      </c>
      <c r="L250" s="379">
        <v>10</v>
      </c>
      <c r="M250" s="86">
        <v>54244.800000000003</v>
      </c>
    </row>
    <row r="251" spans="1:13" s="379" customFormat="1">
      <c r="A251" s="387">
        <v>249</v>
      </c>
      <c r="B251" s="440" t="s">
        <v>849</v>
      </c>
      <c r="C251" s="133"/>
      <c r="D251" s="133" t="s">
        <v>850</v>
      </c>
      <c r="E251" s="295" t="s">
        <v>80</v>
      </c>
      <c r="F251" s="432">
        <v>33</v>
      </c>
      <c r="G251" s="432"/>
      <c r="H251" s="436"/>
      <c r="I251" s="184">
        <v>7224</v>
      </c>
      <c r="K251" s="379">
        <f t="shared" si="3"/>
        <v>722.4</v>
      </c>
      <c r="L251" s="379">
        <v>10</v>
      </c>
      <c r="M251" s="86">
        <v>9343.7999999999993</v>
      </c>
    </row>
    <row r="252" spans="1:13" s="379" customFormat="1">
      <c r="A252" s="387">
        <v>250</v>
      </c>
      <c r="B252" s="440" t="s">
        <v>851</v>
      </c>
      <c r="C252" s="133"/>
      <c r="D252" s="133" t="s">
        <v>852</v>
      </c>
      <c r="E252" s="295" t="s">
        <v>81</v>
      </c>
      <c r="F252" s="432">
        <v>33</v>
      </c>
      <c r="G252" s="432"/>
      <c r="H252" s="436"/>
      <c r="I252" s="184">
        <v>25352</v>
      </c>
      <c r="M252" s="86"/>
    </row>
    <row r="253" spans="1:13" s="379" customFormat="1">
      <c r="A253" s="387">
        <v>251</v>
      </c>
      <c r="B253" s="440" t="s">
        <v>853</v>
      </c>
      <c r="C253" s="133"/>
      <c r="D253" s="133" t="s">
        <v>854</v>
      </c>
      <c r="E253" s="295" t="s">
        <v>82</v>
      </c>
      <c r="F253" s="432">
        <v>11</v>
      </c>
      <c r="G253" s="432"/>
      <c r="H253" s="436"/>
      <c r="I253" s="184">
        <v>9196</v>
      </c>
      <c r="M253" s="86"/>
    </row>
    <row r="254" spans="1:13" s="379" customFormat="1">
      <c r="A254" s="387">
        <v>252</v>
      </c>
      <c r="B254" s="440" t="s">
        <v>855</v>
      </c>
      <c r="C254" s="133"/>
      <c r="D254" s="133" t="s">
        <v>856</v>
      </c>
      <c r="E254" s="295" t="s">
        <v>83</v>
      </c>
      <c r="F254" s="432">
        <v>33</v>
      </c>
      <c r="G254" s="432"/>
      <c r="H254" s="436"/>
      <c r="I254" s="184">
        <v>11618</v>
      </c>
      <c r="M254" s="86"/>
    </row>
    <row r="255" spans="1:13" s="379" customFormat="1">
      <c r="A255" s="387">
        <v>253</v>
      </c>
      <c r="B255" s="440" t="s">
        <v>857</v>
      </c>
      <c r="C255" s="133"/>
      <c r="D255" s="133" t="s">
        <v>858</v>
      </c>
      <c r="E255" s="295" t="s">
        <v>80</v>
      </c>
      <c r="F255" s="432">
        <v>11</v>
      </c>
      <c r="G255" s="432"/>
      <c r="H255" s="436"/>
      <c r="I255" s="184">
        <v>8290</v>
      </c>
      <c r="M255" s="86"/>
    </row>
    <row r="256" spans="1:13" s="379" customFormat="1">
      <c r="A256" s="387">
        <v>254</v>
      </c>
      <c r="B256" s="440" t="s">
        <v>859</v>
      </c>
      <c r="C256" s="133"/>
      <c r="D256" s="133" t="s">
        <v>860</v>
      </c>
      <c r="E256" s="295" t="s">
        <v>83</v>
      </c>
      <c r="F256" s="432">
        <v>33</v>
      </c>
      <c r="G256" s="432"/>
      <c r="H256" s="436"/>
      <c r="I256" s="184">
        <v>72156</v>
      </c>
      <c r="M256" s="86"/>
    </row>
    <row r="257" spans="1:13" s="379" customFormat="1">
      <c r="A257" s="387">
        <v>255</v>
      </c>
      <c r="B257" s="440" t="s">
        <v>861</v>
      </c>
      <c r="C257" s="133"/>
      <c r="D257" s="133" t="s">
        <v>862</v>
      </c>
      <c r="E257" s="295" t="s">
        <v>82</v>
      </c>
      <c r="F257" s="432">
        <v>11</v>
      </c>
      <c r="G257" s="432"/>
      <c r="H257" s="436"/>
      <c r="I257" s="184">
        <v>21510</v>
      </c>
      <c r="M257" s="86"/>
    </row>
    <row r="258" spans="1:13" s="379" customFormat="1">
      <c r="A258" s="387">
        <v>256</v>
      </c>
      <c r="B258" s="440" t="s">
        <v>863</v>
      </c>
      <c r="C258" s="133"/>
      <c r="D258" s="133" t="s">
        <v>864</v>
      </c>
      <c r="E258" s="295" t="s">
        <v>82</v>
      </c>
      <c r="F258" s="432">
        <v>11</v>
      </c>
      <c r="G258" s="432"/>
      <c r="H258" s="436"/>
      <c r="I258" s="184">
        <v>19250</v>
      </c>
      <c r="M258" s="86"/>
    </row>
    <row r="259" spans="1:13" s="379" customFormat="1">
      <c r="A259" s="387">
        <v>257</v>
      </c>
      <c r="B259" s="440" t="s">
        <v>865</v>
      </c>
      <c r="C259" s="133"/>
      <c r="D259" s="133" t="s">
        <v>866</v>
      </c>
      <c r="E259" s="295" t="s">
        <v>81</v>
      </c>
      <c r="F259" s="432">
        <v>11</v>
      </c>
      <c r="G259" s="432"/>
      <c r="H259" s="436"/>
      <c r="I259" s="184">
        <v>13877</v>
      </c>
      <c r="M259" s="86"/>
    </row>
    <row r="260" spans="1:13" s="379" customFormat="1">
      <c r="A260" s="387">
        <v>258</v>
      </c>
      <c r="B260" s="440" t="s">
        <v>867</v>
      </c>
      <c r="C260" s="133"/>
      <c r="D260" s="133" t="s">
        <v>868</v>
      </c>
      <c r="E260" s="295" t="s">
        <v>81</v>
      </c>
      <c r="F260" s="432">
        <v>33</v>
      </c>
      <c r="G260" s="432"/>
      <c r="H260" s="436"/>
      <c r="I260" s="184">
        <v>306120</v>
      </c>
      <c r="M260" s="86"/>
    </row>
    <row r="261" spans="1:13" s="379" customFormat="1">
      <c r="A261" s="387">
        <v>259</v>
      </c>
      <c r="B261" s="440" t="s">
        <v>869</v>
      </c>
      <c r="C261" s="133"/>
      <c r="D261" s="133" t="s">
        <v>870</v>
      </c>
      <c r="E261" s="295" t="s">
        <v>82</v>
      </c>
      <c r="F261" s="432">
        <v>33</v>
      </c>
      <c r="G261" s="432"/>
      <c r="H261" s="436"/>
      <c r="I261" s="184">
        <v>72350</v>
      </c>
      <c r="M261" s="86"/>
    </row>
    <row r="262" spans="1:13" s="379" customFormat="1">
      <c r="A262" s="387">
        <v>260</v>
      </c>
      <c r="B262" s="440" t="s">
        <v>871</v>
      </c>
      <c r="C262" s="133"/>
      <c r="D262" s="133" t="s">
        <v>872</v>
      </c>
      <c r="E262" s="295" t="s">
        <v>83</v>
      </c>
      <c r="F262" s="432">
        <v>33</v>
      </c>
      <c r="G262" s="432"/>
      <c r="H262" s="436"/>
      <c r="I262" s="184">
        <v>23534</v>
      </c>
      <c r="M262" s="86"/>
    </row>
    <row r="263" spans="1:13" s="379" customFormat="1">
      <c r="A263" s="387">
        <v>261</v>
      </c>
      <c r="B263" s="440" t="s">
        <v>873</v>
      </c>
      <c r="C263" s="133"/>
      <c r="D263" s="133" t="s">
        <v>874</v>
      </c>
      <c r="E263" s="295"/>
      <c r="F263" s="432">
        <v>33</v>
      </c>
      <c r="G263" s="432"/>
      <c r="H263" s="436"/>
      <c r="I263" s="184">
        <v>11723</v>
      </c>
      <c r="M263" s="86"/>
    </row>
    <row r="264" spans="1:13" s="379" customFormat="1">
      <c r="A264" s="387">
        <v>262</v>
      </c>
      <c r="B264" s="440" t="s">
        <v>875</v>
      </c>
      <c r="C264" s="133"/>
      <c r="D264" s="133" t="s">
        <v>876</v>
      </c>
      <c r="E264" s="295" t="s">
        <v>80</v>
      </c>
      <c r="F264" s="432">
        <v>11</v>
      </c>
      <c r="G264" s="432"/>
      <c r="H264" s="436"/>
      <c r="I264" s="184">
        <v>11279</v>
      </c>
      <c r="M264" s="86"/>
    </row>
    <row r="265" spans="1:13" s="379" customFormat="1">
      <c r="A265" s="387">
        <v>263</v>
      </c>
      <c r="B265" s="440" t="s">
        <v>877</v>
      </c>
      <c r="C265" s="133"/>
      <c r="D265" s="133" t="s">
        <v>878</v>
      </c>
      <c r="E265" s="295" t="s">
        <v>80</v>
      </c>
      <c r="F265" s="432">
        <v>33</v>
      </c>
      <c r="G265" s="432"/>
      <c r="H265" s="436"/>
      <c r="I265" s="184">
        <v>17420</v>
      </c>
      <c r="M265" s="86"/>
    </row>
    <row r="266" spans="1:13" s="379" customFormat="1">
      <c r="A266" s="387">
        <v>264</v>
      </c>
      <c r="B266" s="440" t="s">
        <v>879</v>
      </c>
      <c r="C266" s="133"/>
      <c r="D266" s="133" t="s">
        <v>880</v>
      </c>
      <c r="E266" s="295" t="s">
        <v>82</v>
      </c>
      <c r="F266" s="432">
        <v>11</v>
      </c>
      <c r="G266" s="432"/>
      <c r="H266" s="436"/>
      <c r="I266" s="184">
        <v>7182</v>
      </c>
      <c r="M266" s="86"/>
    </row>
    <row r="267" spans="1:13" s="379" customFormat="1">
      <c r="A267" s="387">
        <v>265</v>
      </c>
      <c r="B267" s="440" t="s">
        <v>881</v>
      </c>
      <c r="C267" s="133"/>
      <c r="D267" s="133" t="s">
        <v>882</v>
      </c>
      <c r="E267" s="295" t="s">
        <v>82</v>
      </c>
      <c r="F267" s="432">
        <v>11</v>
      </c>
      <c r="G267" s="432"/>
      <c r="H267" s="436"/>
      <c r="I267" s="184">
        <v>4749</v>
      </c>
      <c r="M267" s="86"/>
    </row>
    <row r="268" spans="1:13" s="379" customFormat="1">
      <c r="A268" s="387"/>
      <c r="B268" s="440" t="s">
        <v>883</v>
      </c>
      <c r="C268" s="133"/>
      <c r="D268" s="133" t="s">
        <v>884</v>
      </c>
      <c r="E268" s="295" t="s">
        <v>82</v>
      </c>
      <c r="F268" s="432">
        <v>33</v>
      </c>
      <c r="G268" s="432"/>
      <c r="H268" s="436"/>
      <c r="I268" s="184">
        <v>27</v>
      </c>
      <c r="M268" s="86"/>
    </row>
    <row r="269" spans="1:13" s="386" customFormat="1">
      <c r="A269" s="387"/>
      <c r="B269" s="440" t="s">
        <v>3132</v>
      </c>
      <c r="C269" s="315"/>
      <c r="D269" s="315" t="s">
        <v>3134</v>
      </c>
      <c r="E269" s="295" t="s">
        <v>82</v>
      </c>
      <c r="F269" s="432">
        <v>11</v>
      </c>
      <c r="G269" s="432"/>
      <c r="H269" s="436"/>
      <c r="I269" s="184">
        <v>4568</v>
      </c>
      <c r="M269" s="86"/>
    </row>
    <row r="270" spans="1:13" s="386" customFormat="1">
      <c r="A270" s="387"/>
      <c r="B270" s="440" t="s">
        <v>3133</v>
      </c>
      <c r="C270" s="315"/>
      <c r="D270" s="315" t="s">
        <v>3135</v>
      </c>
      <c r="E270" s="295" t="s">
        <v>82</v>
      </c>
      <c r="F270" s="432">
        <v>33</v>
      </c>
      <c r="G270" s="432"/>
      <c r="H270" s="436"/>
      <c r="I270" s="184">
        <v>42948</v>
      </c>
      <c r="M270" s="86"/>
    </row>
    <row r="271" spans="1:13" s="379" customFormat="1">
      <c r="A271" s="387"/>
      <c r="B271" s="444"/>
      <c r="C271" s="445" t="s">
        <v>885</v>
      </c>
      <c r="D271" s="446"/>
      <c r="E271" s="444"/>
      <c r="F271" s="444"/>
      <c r="G271" s="447"/>
      <c r="H271" s="447">
        <v>94934120</v>
      </c>
      <c r="I271" s="365">
        <f>SUM(I3:I270)</f>
        <v>19822892</v>
      </c>
    </row>
    <row r="272" spans="1:13" s="379" customFormat="1">
      <c r="A272" s="376"/>
      <c r="B272" s="376"/>
      <c r="C272" s="377"/>
      <c r="D272" s="378"/>
      <c r="E272" s="376"/>
      <c r="F272" s="376"/>
      <c r="G272" s="376"/>
      <c r="H272" s="376"/>
      <c r="I272" s="86">
        <f>I271-'33 KV HT'!R141</f>
        <v>0</v>
      </c>
      <c r="K272" s="379">
        <v>101431</v>
      </c>
    </row>
    <row r="273" spans="1:11" s="379" customFormat="1">
      <c r="A273" s="376"/>
      <c r="B273" s="376"/>
      <c r="C273" s="377"/>
      <c r="D273" s="378"/>
      <c r="E273" s="376"/>
      <c r="F273" s="376"/>
      <c r="G273" s="376"/>
      <c r="H273" s="376"/>
    </row>
    <row r="274" spans="1:11" s="379" customFormat="1">
      <c r="A274" s="376"/>
      <c r="B274" s="376"/>
      <c r="C274" s="377"/>
      <c r="D274" s="378"/>
      <c r="E274" s="376"/>
      <c r="F274" s="376"/>
      <c r="G274" s="376"/>
      <c r="H274" s="376"/>
      <c r="I274" s="379">
        <v>19944889</v>
      </c>
      <c r="K274" s="379">
        <v>16714178</v>
      </c>
    </row>
    <row r="275" spans="1:11" s="379" customFormat="1">
      <c r="A275" s="376"/>
      <c r="B275" s="376"/>
      <c r="C275" s="377"/>
      <c r="D275" s="378"/>
      <c r="E275" s="376">
        <f>I271/100000</f>
        <v>198.22891999999999</v>
      </c>
      <c r="F275" s="376"/>
      <c r="G275" s="376"/>
      <c r="H275" s="376"/>
      <c r="I275" s="86">
        <f>I274-I271</f>
        <v>121997</v>
      </c>
      <c r="K275" s="86">
        <f>I271-K274</f>
        <v>3108714</v>
      </c>
    </row>
    <row r="276" spans="1:11" s="379" customFormat="1">
      <c r="A276" s="376"/>
      <c r="B276" s="376"/>
      <c r="C276" s="377"/>
      <c r="D276" s="378"/>
      <c r="E276" s="1242">
        <f>E275*1.015</f>
        <v>201.20235379999997</v>
      </c>
      <c r="F276" s="376"/>
      <c r="G276" s="376"/>
      <c r="H276" s="376"/>
    </row>
    <row r="277" spans="1:11" s="379" customFormat="1">
      <c r="A277" s="376"/>
      <c r="B277" s="376"/>
      <c r="C277" s="377"/>
      <c r="D277" s="378"/>
      <c r="E277" s="376"/>
      <c r="F277" s="376"/>
      <c r="G277" s="376"/>
      <c r="H277" s="376"/>
    </row>
    <row r="278" spans="1:11" s="379" customFormat="1">
      <c r="A278" s="376"/>
      <c r="B278" s="376"/>
      <c r="C278" s="377"/>
      <c r="D278" s="378"/>
      <c r="E278" s="376"/>
      <c r="F278" s="376"/>
      <c r="G278" s="376"/>
      <c r="H278" s="376"/>
    </row>
    <row r="279" spans="1:11" s="379" customFormat="1">
      <c r="A279" s="376"/>
      <c r="B279" s="376"/>
      <c r="C279" s="377"/>
      <c r="D279" s="378"/>
      <c r="E279" s="376"/>
      <c r="F279" s="376"/>
      <c r="G279" s="376"/>
      <c r="H279" s="376"/>
      <c r="I279" s="379">
        <v>17360293</v>
      </c>
    </row>
    <row r="280" spans="1:11" s="379" customFormat="1">
      <c r="A280" s="376"/>
      <c r="B280" s="376"/>
      <c r="C280" s="377"/>
      <c r="D280" s="378"/>
      <c r="E280" s="376"/>
      <c r="F280" s="376"/>
      <c r="G280" s="376"/>
      <c r="H280" s="376"/>
    </row>
    <row r="281" spans="1:11" s="379" customFormat="1">
      <c r="A281" s="376"/>
      <c r="B281" s="376"/>
      <c r="C281" s="377"/>
      <c r="D281" s="378"/>
      <c r="E281" s="376"/>
      <c r="F281" s="376"/>
      <c r="G281" s="376"/>
      <c r="H281" s="376"/>
    </row>
    <row r="282" spans="1:11" s="379" customFormat="1">
      <c r="A282" s="376"/>
      <c r="B282" s="376"/>
      <c r="C282" s="377"/>
      <c r="D282" s="378"/>
      <c r="E282" s="376"/>
      <c r="F282" s="376"/>
      <c r="G282" s="376"/>
      <c r="H282" s="376"/>
    </row>
    <row r="283" spans="1:11" s="379" customFormat="1">
      <c r="A283" s="376"/>
      <c r="B283" s="376"/>
      <c r="C283" s="377"/>
      <c r="D283" s="378"/>
      <c r="E283" s="376"/>
      <c r="F283" s="376"/>
      <c r="G283" s="376"/>
      <c r="H283" s="376"/>
    </row>
    <row r="284" spans="1:11" s="379" customFormat="1">
      <c r="A284" s="376"/>
      <c r="B284" s="376"/>
      <c r="C284" s="377"/>
      <c r="D284" s="378"/>
      <c r="E284" s="376"/>
      <c r="F284" s="376"/>
      <c r="G284" s="376"/>
      <c r="H284" s="376"/>
    </row>
    <row r="285" spans="1:11" s="379" customFormat="1">
      <c r="A285" s="376"/>
      <c r="B285" s="376"/>
      <c r="C285" s="377"/>
      <c r="D285" s="378"/>
      <c r="E285" s="376"/>
      <c r="F285" s="376"/>
      <c r="G285" s="376"/>
      <c r="H285" s="376"/>
    </row>
    <row r="286" spans="1:11" s="379" customFormat="1">
      <c r="A286" s="376"/>
      <c r="B286" s="376"/>
      <c r="C286" s="377"/>
      <c r="D286" s="378"/>
      <c r="E286" s="376"/>
      <c r="F286" s="376"/>
      <c r="G286" s="376"/>
      <c r="H286" s="376"/>
    </row>
    <row r="287" spans="1:11" s="379" customFormat="1">
      <c r="A287" s="376"/>
      <c r="B287" s="376"/>
      <c r="C287" s="377"/>
      <c r="D287" s="378"/>
      <c r="E287" s="376"/>
      <c r="F287" s="376"/>
      <c r="G287" s="376"/>
      <c r="H287" s="376"/>
    </row>
    <row r="288" spans="1:11" s="379" customFormat="1">
      <c r="A288" s="376"/>
      <c r="B288" s="376"/>
      <c r="C288" s="377"/>
      <c r="D288" s="378"/>
      <c r="E288" s="376"/>
      <c r="F288" s="376"/>
      <c r="G288" s="376"/>
      <c r="H288" s="376"/>
    </row>
    <row r="289" spans="1:8" s="379" customFormat="1">
      <c r="A289" s="376"/>
      <c r="B289" s="376"/>
      <c r="C289" s="377"/>
      <c r="D289" s="378"/>
      <c r="E289" s="376"/>
      <c r="F289" s="376"/>
      <c r="G289" s="376"/>
      <c r="H289" s="376"/>
    </row>
    <row r="290" spans="1:8" s="379" customFormat="1">
      <c r="A290" s="376"/>
      <c r="B290" s="376"/>
      <c r="C290" s="377"/>
      <c r="D290" s="378"/>
      <c r="E290" s="376"/>
      <c r="F290" s="376"/>
      <c r="G290" s="376"/>
      <c r="H290" s="376"/>
    </row>
    <row r="291" spans="1:8" s="379" customFormat="1">
      <c r="A291" s="376"/>
      <c r="B291" s="376"/>
      <c r="C291" s="377"/>
      <c r="D291" s="378"/>
      <c r="E291" s="376"/>
      <c r="F291" s="376"/>
      <c r="G291" s="376"/>
      <c r="H291" s="376"/>
    </row>
    <row r="292" spans="1:8" s="379" customFormat="1">
      <c r="A292" s="376"/>
      <c r="B292" s="376"/>
      <c r="C292" s="377"/>
      <c r="D292" s="378"/>
      <c r="E292" s="376"/>
      <c r="F292" s="376"/>
      <c r="G292" s="376"/>
      <c r="H292" s="376"/>
    </row>
    <row r="293" spans="1:8" s="379" customFormat="1">
      <c r="A293" s="376"/>
      <c r="B293" s="376"/>
      <c r="C293" s="377"/>
      <c r="D293" s="378"/>
      <c r="E293" s="376"/>
      <c r="F293" s="376"/>
      <c r="G293" s="376"/>
      <c r="H293" s="376"/>
    </row>
    <row r="294" spans="1:8" s="379" customFormat="1">
      <c r="A294" s="376"/>
      <c r="B294" s="376"/>
      <c r="C294" s="377"/>
      <c r="D294" s="378"/>
      <c r="E294" s="376"/>
      <c r="F294" s="376"/>
      <c r="G294" s="376"/>
      <c r="H294" s="376"/>
    </row>
    <row r="295" spans="1:8" s="379" customFormat="1">
      <c r="A295" s="376"/>
      <c r="B295" s="376"/>
      <c r="C295" s="377"/>
      <c r="D295" s="378"/>
      <c r="E295" s="376"/>
      <c r="F295" s="376"/>
      <c r="G295" s="376"/>
      <c r="H295" s="376"/>
    </row>
    <row r="296" spans="1:8" s="379" customFormat="1">
      <c r="A296" s="376"/>
      <c r="B296" s="376"/>
      <c r="C296" s="377"/>
      <c r="D296" s="378"/>
      <c r="E296" s="376"/>
      <c r="F296" s="376"/>
      <c r="G296" s="376"/>
      <c r="H296" s="376"/>
    </row>
    <row r="297" spans="1:8" s="379" customFormat="1">
      <c r="A297" s="376"/>
      <c r="B297" s="376"/>
      <c r="C297" s="377"/>
      <c r="D297" s="378"/>
      <c r="E297" s="376"/>
      <c r="F297" s="376"/>
      <c r="G297" s="376"/>
      <c r="H297" s="376"/>
    </row>
    <row r="298" spans="1:8" s="379" customFormat="1">
      <c r="A298" s="376"/>
      <c r="B298" s="376"/>
      <c r="C298" s="377"/>
      <c r="D298" s="378"/>
      <c r="E298" s="376"/>
      <c r="F298" s="376"/>
      <c r="G298" s="376"/>
      <c r="H298" s="376"/>
    </row>
    <row r="299" spans="1:8" s="379" customFormat="1">
      <c r="A299" s="376"/>
      <c r="B299" s="376"/>
      <c r="C299" s="377"/>
      <c r="D299" s="378"/>
      <c r="E299" s="376"/>
      <c r="F299" s="376"/>
      <c r="G299" s="376"/>
      <c r="H299" s="376"/>
    </row>
    <row r="300" spans="1:8" s="379" customFormat="1">
      <c r="A300" s="376"/>
      <c r="B300" s="376"/>
      <c r="C300" s="377"/>
      <c r="D300" s="378"/>
      <c r="E300" s="376"/>
      <c r="F300" s="376"/>
      <c r="G300" s="376"/>
      <c r="H300" s="376"/>
    </row>
    <row r="301" spans="1:8" s="379" customFormat="1">
      <c r="A301" s="376"/>
      <c r="B301" s="376"/>
      <c r="C301" s="377"/>
      <c r="D301" s="378"/>
      <c r="E301" s="376"/>
      <c r="F301" s="376"/>
      <c r="G301" s="376"/>
      <c r="H301" s="376"/>
    </row>
    <row r="302" spans="1:8" s="379" customFormat="1">
      <c r="A302" s="376"/>
      <c r="B302" s="376"/>
      <c r="C302" s="377"/>
      <c r="D302" s="378"/>
      <c r="E302" s="376"/>
      <c r="F302" s="376"/>
      <c r="G302" s="376"/>
      <c r="H302" s="376"/>
    </row>
    <row r="303" spans="1:8" s="379" customFormat="1">
      <c r="A303" s="376"/>
      <c r="B303" s="376"/>
      <c r="C303" s="377"/>
      <c r="D303" s="378"/>
      <c r="E303" s="376"/>
      <c r="F303" s="376"/>
      <c r="G303" s="376"/>
      <c r="H303" s="376"/>
    </row>
    <row r="304" spans="1:8" s="379" customFormat="1">
      <c r="A304" s="376"/>
      <c r="B304" s="376"/>
      <c r="C304" s="377"/>
      <c r="D304" s="378"/>
      <c r="E304" s="376"/>
      <c r="F304" s="376"/>
      <c r="G304" s="376"/>
      <c r="H304" s="376"/>
    </row>
    <row r="305" spans="1:8" s="379" customFormat="1">
      <c r="A305" s="376"/>
      <c r="B305" s="376"/>
      <c r="C305" s="377"/>
      <c r="D305" s="378"/>
      <c r="E305" s="376"/>
      <c r="F305" s="376"/>
      <c r="G305" s="376"/>
      <c r="H305" s="376"/>
    </row>
    <row r="306" spans="1:8" s="379" customFormat="1">
      <c r="A306" s="376"/>
      <c r="B306" s="376"/>
      <c r="C306" s="377"/>
      <c r="D306" s="378"/>
      <c r="E306" s="376"/>
      <c r="F306" s="376"/>
      <c r="G306" s="376"/>
      <c r="H306" s="376"/>
    </row>
    <row r="307" spans="1:8" s="379" customFormat="1">
      <c r="A307" s="376"/>
      <c r="B307" s="376"/>
      <c r="C307" s="377"/>
      <c r="D307" s="378"/>
      <c r="E307" s="376"/>
      <c r="F307" s="376"/>
      <c r="G307" s="376"/>
      <c r="H307" s="376"/>
    </row>
    <row r="308" spans="1:8" s="379" customFormat="1">
      <c r="A308" s="376"/>
      <c r="B308" s="376"/>
      <c r="C308" s="377"/>
      <c r="D308" s="378"/>
      <c r="E308" s="376"/>
      <c r="F308" s="376"/>
      <c r="G308" s="376"/>
      <c r="H308" s="376"/>
    </row>
    <row r="309" spans="1:8" s="379" customFormat="1">
      <c r="A309" s="376"/>
      <c r="B309" s="376"/>
      <c r="C309" s="377"/>
      <c r="D309" s="378"/>
      <c r="E309" s="376"/>
      <c r="F309" s="376"/>
      <c r="G309" s="376"/>
      <c r="H309" s="376"/>
    </row>
    <row r="310" spans="1:8" s="379" customFormat="1">
      <c r="A310" s="376"/>
      <c r="B310" s="376"/>
      <c r="C310" s="377"/>
      <c r="D310" s="378"/>
      <c r="E310" s="376"/>
      <c r="F310" s="376"/>
      <c r="G310" s="376"/>
      <c r="H310" s="376"/>
    </row>
    <row r="311" spans="1:8" s="379" customFormat="1">
      <c r="A311" s="376"/>
      <c r="B311" s="376"/>
      <c r="C311" s="377"/>
      <c r="D311" s="378"/>
      <c r="E311" s="376"/>
      <c r="F311" s="376"/>
      <c r="G311" s="376"/>
      <c r="H311" s="376"/>
    </row>
    <row r="312" spans="1:8" s="379" customFormat="1">
      <c r="A312" s="376"/>
      <c r="B312" s="376"/>
      <c r="C312" s="377"/>
      <c r="D312" s="378"/>
      <c r="E312" s="376"/>
      <c r="F312" s="376"/>
      <c r="G312" s="376"/>
      <c r="H312" s="376"/>
    </row>
    <row r="313" spans="1:8" s="379" customFormat="1">
      <c r="A313" s="376"/>
      <c r="B313" s="376"/>
      <c r="C313" s="377"/>
      <c r="D313" s="378"/>
      <c r="E313" s="376"/>
      <c r="F313" s="376"/>
      <c r="G313" s="376"/>
      <c r="H313" s="376"/>
    </row>
    <row r="314" spans="1:8" s="379" customFormat="1">
      <c r="A314" s="376"/>
      <c r="B314" s="376"/>
      <c r="C314" s="377"/>
      <c r="D314" s="378"/>
      <c r="E314" s="376"/>
      <c r="F314" s="376"/>
      <c r="G314" s="376"/>
      <c r="H314" s="376"/>
    </row>
    <row r="315" spans="1:8" s="379" customFormat="1">
      <c r="A315" s="376"/>
      <c r="B315" s="376"/>
      <c r="C315" s="377"/>
      <c r="D315" s="378"/>
      <c r="E315" s="376"/>
      <c r="F315" s="376"/>
      <c r="G315" s="376"/>
      <c r="H315" s="376"/>
    </row>
    <row r="316" spans="1:8" s="379" customFormat="1">
      <c r="A316" s="376"/>
      <c r="B316" s="376"/>
      <c r="C316" s="377"/>
      <c r="D316" s="378"/>
      <c r="E316" s="376"/>
      <c r="F316" s="376"/>
      <c r="G316" s="376"/>
      <c r="H316" s="376"/>
    </row>
    <row r="317" spans="1:8" s="379" customFormat="1">
      <c r="A317" s="376"/>
      <c r="B317" s="376"/>
      <c r="C317" s="377"/>
      <c r="D317" s="378"/>
      <c r="E317" s="376"/>
      <c r="F317" s="376"/>
      <c r="G317" s="376"/>
      <c r="H317" s="376"/>
    </row>
    <row r="318" spans="1:8" s="379" customFormat="1">
      <c r="A318" s="376"/>
      <c r="B318" s="376"/>
      <c r="C318" s="377"/>
      <c r="D318" s="378"/>
      <c r="E318" s="376"/>
      <c r="F318" s="376"/>
      <c r="G318" s="376"/>
      <c r="H318" s="376"/>
    </row>
    <row r="319" spans="1:8" s="379" customFormat="1">
      <c r="A319" s="376"/>
      <c r="B319" s="376"/>
      <c r="C319" s="377"/>
      <c r="D319" s="378"/>
      <c r="E319" s="376"/>
      <c r="F319" s="376"/>
      <c r="G319" s="376"/>
      <c r="H319" s="376"/>
    </row>
    <row r="320" spans="1:8" s="379" customFormat="1">
      <c r="A320" s="376"/>
      <c r="B320" s="376"/>
      <c r="C320" s="377"/>
      <c r="D320" s="378"/>
      <c r="E320" s="376"/>
      <c r="F320" s="376"/>
      <c r="G320" s="376"/>
      <c r="H320" s="376"/>
    </row>
    <row r="321" spans="1:8" s="379" customFormat="1">
      <c r="A321" s="376"/>
      <c r="B321" s="376"/>
      <c r="C321" s="377"/>
      <c r="D321" s="378"/>
      <c r="E321" s="376"/>
      <c r="F321" s="376"/>
      <c r="G321" s="376"/>
      <c r="H321" s="376"/>
    </row>
    <row r="322" spans="1:8" s="379" customFormat="1">
      <c r="A322" s="376"/>
      <c r="B322" s="376"/>
      <c r="C322" s="377"/>
      <c r="D322" s="378"/>
      <c r="E322" s="376"/>
      <c r="F322" s="376"/>
      <c r="G322" s="376"/>
      <c r="H322" s="376"/>
    </row>
    <row r="323" spans="1:8" s="379" customFormat="1">
      <c r="A323" s="376"/>
      <c r="B323" s="376"/>
      <c r="C323" s="377"/>
      <c r="D323" s="378"/>
      <c r="E323" s="376"/>
      <c r="F323" s="376"/>
      <c r="G323" s="376"/>
      <c r="H323" s="376"/>
    </row>
    <row r="324" spans="1:8" s="379" customFormat="1">
      <c r="A324" s="376"/>
      <c r="B324" s="376"/>
      <c r="C324" s="377"/>
      <c r="D324" s="378"/>
      <c r="E324" s="376"/>
      <c r="F324" s="376"/>
      <c r="G324" s="376"/>
      <c r="H324" s="376"/>
    </row>
    <row r="325" spans="1:8" s="379" customFormat="1">
      <c r="A325" s="376"/>
      <c r="B325" s="376"/>
      <c r="C325" s="377"/>
      <c r="D325" s="378"/>
      <c r="E325" s="376"/>
      <c r="F325" s="376"/>
      <c r="G325" s="376"/>
      <c r="H325" s="376"/>
    </row>
    <row r="326" spans="1:8" s="379" customFormat="1">
      <c r="A326" s="376"/>
      <c r="B326" s="376"/>
      <c r="C326" s="377"/>
      <c r="D326" s="378"/>
      <c r="E326" s="376"/>
      <c r="F326" s="376"/>
      <c r="G326" s="376"/>
      <c r="H326" s="376"/>
    </row>
    <row r="327" spans="1:8" s="379" customFormat="1">
      <c r="A327" s="376"/>
      <c r="B327" s="376"/>
      <c r="C327" s="377"/>
      <c r="D327" s="378"/>
      <c r="E327" s="376"/>
      <c r="F327" s="376"/>
      <c r="G327" s="376"/>
      <c r="H327" s="376"/>
    </row>
    <row r="328" spans="1:8" s="379" customFormat="1">
      <c r="A328" s="376"/>
      <c r="B328" s="376"/>
      <c r="C328" s="377"/>
      <c r="D328" s="378"/>
      <c r="E328" s="376"/>
      <c r="F328" s="376"/>
      <c r="G328" s="376"/>
      <c r="H328" s="376"/>
    </row>
    <row r="329" spans="1:8" s="379" customFormat="1">
      <c r="A329" s="376"/>
      <c r="B329" s="376"/>
      <c r="C329" s="377"/>
      <c r="D329" s="378"/>
      <c r="E329" s="376"/>
      <c r="F329" s="376"/>
      <c r="G329" s="376"/>
      <c r="H329" s="376"/>
    </row>
    <row r="330" spans="1:8" s="379" customFormat="1">
      <c r="A330" s="376"/>
      <c r="B330" s="376"/>
      <c r="C330" s="377"/>
      <c r="D330" s="378"/>
      <c r="E330" s="376"/>
      <c r="F330" s="376"/>
      <c r="G330" s="376"/>
      <c r="H330" s="376"/>
    </row>
    <row r="331" spans="1:8" s="379" customFormat="1">
      <c r="A331" s="376"/>
      <c r="B331" s="376"/>
      <c r="C331" s="377"/>
      <c r="D331" s="378"/>
      <c r="E331" s="376"/>
      <c r="F331" s="376"/>
      <c r="G331" s="376"/>
      <c r="H331" s="376"/>
    </row>
    <row r="332" spans="1:8" s="379" customFormat="1">
      <c r="A332" s="376"/>
      <c r="B332" s="376"/>
      <c r="C332" s="377"/>
      <c r="D332" s="378"/>
      <c r="E332" s="376"/>
      <c r="F332" s="376"/>
      <c r="G332" s="376"/>
      <c r="H332" s="376"/>
    </row>
    <row r="333" spans="1:8" s="379" customFormat="1">
      <c r="A333" s="376"/>
      <c r="B333" s="376"/>
      <c r="C333" s="377"/>
      <c r="D333" s="378"/>
      <c r="E333" s="376"/>
      <c r="F333" s="376"/>
      <c r="G333" s="376"/>
      <c r="H333" s="376"/>
    </row>
    <row r="334" spans="1:8" s="379" customFormat="1">
      <c r="A334" s="376"/>
      <c r="B334" s="376"/>
      <c r="C334" s="377"/>
      <c r="D334" s="378"/>
      <c r="E334" s="376"/>
      <c r="F334" s="376"/>
      <c r="G334" s="376"/>
      <c r="H334" s="376"/>
    </row>
    <row r="335" spans="1:8" s="379" customFormat="1">
      <c r="A335" s="376"/>
      <c r="B335" s="376"/>
      <c r="C335" s="377"/>
      <c r="D335" s="378"/>
      <c r="E335" s="376"/>
      <c r="F335" s="376"/>
      <c r="G335" s="376"/>
      <c r="H335" s="376"/>
    </row>
    <row r="336" spans="1:8" s="379" customFormat="1">
      <c r="A336" s="376"/>
      <c r="B336" s="376"/>
      <c r="C336" s="377"/>
      <c r="D336" s="378"/>
      <c r="E336" s="376"/>
      <c r="F336" s="376"/>
      <c r="G336" s="376"/>
      <c r="H336" s="376"/>
    </row>
    <row r="337" spans="1:8" s="379" customFormat="1">
      <c r="A337" s="376"/>
      <c r="B337" s="376"/>
      <c r="C337" s="377"/>
      <c r="D337" s="378"/>
      <c r="E337" s="376"/>
      <c r="F337" s="376"/>
      <c r="G337" s="376"/>
      <c r="H337" s="376"/>
    </row>
    <row r="338" spans="1:8" s="379" customFormat="1">
      <c r="A338" s="376"/>
      <c r="B338" s="376"/>
      <c r="C338" s="377"/>
      <c r="D338" s="378"/>
      <c r="E338" s="376"/>
      <c r="F338" s="376"/>
      <c r="G338" s="376"/>
      <c r="H338" s="376"/>
    </row>
    <row r="339" spans="1:8" s="379" customFormat="1">
      <c r="A339" s="376"/>
      <c r="B339" s="376"/>
      <c r="C339" s="377"/>
      <c r="D339" s="378"/>
      <c r="E339" s="376"/>
      <c r="F339" s="376"/>
      <c r="G339" s="376"/>
      <c r="H339" s="376"/>
    </row>
    <row r="340" spans="1:8" s="379" customFormat="1">
      <c r="A340" s="376"/>
      <c r="B340" s="376"/>
      <c r="C340" s="377"/>
      <c r="D340" s="378"/>
      <c r="E340" s="376"/>
      <c r="F340" s="376"/>
      <c r="G340" s="376"/>
      <c r="H340" s="376"/>
    </row>
    <row r="341" spans="1:8" s="379" customFormat="1">
      <c r="A341" s="376"/>
      <c r="B341" s="376"/>
      <c r="C341" s="377"/>
      <c r="D341" s="378"/>
      <c r="E341" s="376"/>
      <c r="F341" s="376"/>
      <c r="G341" s="376"/>
      <c r="H341" s="376"/>
    </row>
    <row r="342" spans="1:8" s="379" customFormat="1">
      <c r="A342" s="376"/>
      <c r="B342" s="376"/>
      <c r="C342" s="377"/>
      <c r="D342" s="378"/>
      <c r="E342" s="376"/>
      <c r="F342" s="376"/>
      <c r="G342" s="376"/>
      <c r="H342" s="376"/>
    </row>
    <row r="343" spans="1:8" s="379" customFormat="1">
      <c r="A343" s="376"/>
      <c r="B343" s="376"/>
      <c r="C343" s="377"/>
      <c r="D343" s="378"/>
      <c r="E343" s="376"/>
      <c r="F343" s="376"/>
      <c r="G343" s="376"/>
      <c r="H343" s="376"/>
    </row>
    <row r="344" spans="1:8" s="379" customFormat="1">
      <c r="A344" s="376"/>
      <c r="B344" s="376"/>
      <c r="C344" s="377"/>
      <c r="D344" s="378"/>
      <c r="E344" s="376"/>
      <c r="F344" s="376"/>
      <c r="G344" s="376"/>
      <c r="H344" s="376"/>
    </row>
    <row r="345" spans="1:8" s="379" customFormat="1">
      <c r="A345" s="376"/>
      <c r="B345" s="376"/>
      <c r="C345" s="377"/>
      <c r="D345" s="378"/>
      <c r="E345" s="376"/>
      <c r="F345" s="376"/>
      <c r="G345" s="376"/>
      <c r="H345" s="376"/>
    </row>
    <row r="346" spans="1:8" s="379" customFormat="1">
      <c r="A346" s="376"/>
      <c r="B346" s="376"/>
      <c r="C346" s="377"/>
      <c r="D346" s="378"/>
      <c r="E346" s="376"/>
      <c r="F346" s="376"/>
      <c r="G346" s="376"/>
      <c r="H346" s="376"/>
    </row>
    <row r="347" spans="1:8" s="379" customFormat="1">
      <c r="A347" s="376"/>
      <c r="B347" s="376"/>
      <c r="C347" s="377"/>
      <c r="D347" s="378"/>
      <c r="E347" s="376"/>
      <c r="F347" s="376"/>
      <c r="G347" s="376"/>
      <c r="H347" s="376"/>
    </row>
    <row r="348" spans="1:8" s="379" customFormat="1">
      <c r="A348" s="376"/>
      <c r="B348" s="376"/>
      <c r="C348" s="377"/>
      <c r="D348" s="378"/>
      <c r="E348" s="376"/>
      <c r="F348" s="376"/>
      <c r="G348" s="376"/>
      <c r="H348" s="376"/>
    </row>
    <row r="349" spans="1:8" s="379" customFormat="1">
      <c r="A349" s="376"/>
      <c r="B349" s="376"/>
      <c r="C349" s="377"/>
      <c r="D349" s="378"/>
      <c r="E349" s="376"/>
      <c r="F349" s="376"/>
      <c r="G349" s="376"/>
      <c r="H349" s="376"/>
    </row>
    <row r="350" spans="1:8" s="379" customFormat="1">
      <c r="A350" s="376"/>
      <c r="B350" s="376"/>
      <c r="C350" s="377"/>
      <c r="D350" s="378"/>
      <c r="E350" s="376"/>
      <c r="F350" s="376"/>
      <c r="G350" s="376"/>
      <c r="H350" s="376"/>
    </row>
    <row r="351" spans="1:8" s="379" customFormat="1">
      <c r="A351" s="376"/>
      <c r="B351" s="376"/>
      <c r="C351" s="377"/>
      <c r="D351" s="378"/>
      <c r="E351" s="376"/>
      <c r="F351" s="376"/>
      <c r="G351" s="376"/>
      <c r="H351" s="376"/>
    </row>
    <row r="352" spans="1:8" s="379" customFormat="1">
      <c r="A352" s="376"/>
      <c r="B352" s="376"/>
      <c r="C352" s="377"/>
      <c r="D352" s="378"/>
      <c r="E352" s="376"/>
      <c r="F352" s="376"/>
      <c r="G352" s="376"/>
      <c r="H352" s="376"/>
    </row>
    <row r="353" spans="1:8" s="379" customFormat="1">
      <c r="A353" s="376"/>
      <c r="B353" s="376"/>
      <c r="C353" s="377"/>
      <c r="D353" s="378"/>
      <c r="E353" s="376"/>
      <c r="F353" s="376"/>
      <c r="G353" s="376"/>
      <c r="H353" s="376"/>
    </row>
    <row r="354" spans="1:8" s="379" customFormat="1">
      <c r="A354" s="376"/>
      <c r="B354" s="376"/>
      <c r="C354" s="377"/>
      <c r="D354" s="378"/>
      <c r="E354" s="376"/>
      <c r="F354" s="376"/>
      <c r="G354" s="376"/>
      <c r="H354" s="376"/>
    </row>
    <row r="355" spans="1:8" s="379" customFormat="1">
      <c r="A355" s="376"/>
      <c r="B355" s="376"/>
      <c r="C355" s="377"/>
      <c r="D355" s="378"/>
      <c r="E355" s="376"/>
      <c r="F355" s="376"/>
      <c r="G355" s="376"/>
      <c r="H355" s="376"/>
    </row>
    <row r="356" spans="1:8" s="379" customFormat="1">
      <c r="A356" s="376"/>
      <c r="B356" s="376"/>
      <c r="C356" s="377"/>
      <c r="D356" s="378"/>
      <c r="E356" s="376"/>
      <c r="F356" s="376"/>
      <c r="G356" s="376"/>
      <c r="H356" s="376"/>
    </row>
    <row r="357" spans="1:8" s="379" customFormat="1">
      <c r="A357" s="376"/>
      <c r="B357" s="376"/>
      <c r="C357" s="377"/>
      <c r="D357" s="378"/>
      <c r="E357" s="376"/>
      <c r="F357" s="376"/>
      <c r="G357" s="376"/>
      <c r="H357" s="376"/>
    </row>
    <row r="358" spans="1:8" s="379" customFormat="1">
      <c r="A358" s="376"/>
      <c r="B358" s="376"/>
      <c r="C358" s="377"/>
      <c r="D358" s="378"/>
      <c r="E358" s="376"/>
      <c r="F358" s="376"/>
      <c r="G358" s="376"/>
      <c r="H358" s="376"/>
    </row>
    <row r="359" spans="1:8" s="379" customFormat="1">
      <c r="A359" s="376"/>
      <c r="B359" s="376"/>
      <c r="C359" s="377"/>
      <c r="D359" s="378"/>
      <c r="E359" s="376"/>
      <c r="F359" s="376"/>
      <c r="G359" s="376"/>
      <c r="H359" s="376"/>
    </row>
    <row r="360" spans="1:8" s="379" customFormat="1">
      <c r="A360" s="376"/>
      <c r="B360" s="376"/>
      <c r="C360" s="377"/>
      <c r="D360" s="378"/>
      <c r="E360" s="376"/>
      <c r="F360" s="376"/>
      <c r="G360" s="376"/>
      <c r="H360" s="376"/>
    </row>
    <row r="361" spans="1:8" s="379" customFormat="1">
      <c r="A361" s="376"/>
      <c r="B361" s="376"/>
      <c r="C361" s="377"/>
      <c r="D361" s="378"/>
      <c r="E361" s="376"/>
      <c r="F361" s="376"/>
      <c r="G361" s="376"/>
      <c r="H361" s="376"/>
    </row>
    <row r="362" spans="1:8" s="379" customFormat="1">
      <c r="A362" s="376"/>
      <c r="B362" s="376"/>
      <c r="C362" s="377"/>
      <c r="D362" s="378"/>
      <c r="E362" s="376"/>
      <c r="F362" s="376"/>
      <c r="G362" s="376"/>
      <c r="H362" s="376"/>
    </row>
    <row r="363" spans="1:8" s="379" customFormat="1">
      <c r="A363" s="376"/>
      <c r="B363" s="376"/>
      <c r="C363" s="377"/>
      <c r="D363" s="378"/>
      <c r="E363" s="376"/>
      <c r="F363" s="376"/>
      <c r="G363" s="376"/>
      <c r="H363" s="376"/>
    </row>
    <row r="364" spans="1:8" s="379" customFormat="1">
      <c r="A364" s="376"/>
      <c r="B364" s="376"/>
      <c r="C364" s="377"/>
      <c r="D364" s="378"/>
      <c r="E364" s="376"/>
      <c r="F364" s="376"/>
      <c r="G364" s="376"/>
      <c r="H364" s="376"/>
    </row>
    <row r="365" spans="1:8" s="379" customFormat="1">
      <c r="A365" s="376"/>
      <c r="B365" s="376"/>
      <c r="C365" s="377"/>
      <c r="D365" s="378"/>
      <c r="E365" s="376"/>
      <c r="F365" s="376"/>
      <c r="G365" s="376"/>
      <c r="H365" s="376"/>
    </row>
    <row r="366" spans="1:8" s="379" customFormat="1">
      <c r="A366" s="376"/>
      <c r="B366" s="376"/>
      <c r="C366" s="377"/>
      <c r="D366" s="378"/>
      <c r="E366" s="376"/>
      <c r="F366" s="376"/>
      <c r="G366" s="376"/>
      <c r="H366" s="376"/>
    </row>
    <row r="367" spans="1:8" s="379" customFormat="1">
      <c r="A367" s="376"/>
      <c r="B367" s="376"/>
      <c r="C367" s="377"/>
      <c r="D367" s="378"/>
      <c r="E367" s="376"/>
      <c r="F367" s="376"/>
      <c r="G367" s="376"/>
      <c r="H367" s="376"/>
    </row>
    <row r="368" spans="1:8" s="379" customFormat="1">
      <c r="A368" s="376"/>
      <c r="B368" s="376"/>
      <c r="C368" s="377"/>
      <c r="D368" s="378"/>
      <c r="E368" s="376"/>
      <c r="F368" s="376"/>
      <c r="G368" s="376"/>
      <c r="H368" s="376"/>
    </row>
    <row r="369" spans="1:8" s="379" customFormat="1">
      <c r="A369" s="376"/>
      <c r="B369" s="376"/>
      <c r="C369" s="377"/>
      <c r="D369" s="378"/>
      <c r="E369" s="376"/>
      <c r="F369" s="376"/>
      <c r="G369" s="376"/>
      <c r="H369" s="376"/>
    </row>
    <row r="370" spans="1:8" s="379" customFormat="1">
      <c r="A370" s="376"/>
      <c r="B370" s="376"/>
      <c r="C370" s="377"/>
      <c r="D370" s="378"/>
      <c r="E370" s="376"/>
      <c r="F370" s="376"/>
      <c r="G370" s="376"/>
      <c r="H370" s="376"/>
    </row>
    <row r="371" spans="1:8" s="379" customFormat="1">
      <c r="A371" s="376"/>
      <c r="B371" s="376"/>
      <c r="C371" s="377"/>
      <c r="D371" s="378"/>
      <c r="E371" s="376"/>
      <c r="F371" s="376"/>
      <c r="G371" s="376"/>
      <c r="H371" s="376"/>
    </row>
    <row r="372" spans="1:8" s="379" customFormat="1">
      <c r="A372" s="376"/>
      <c r="B372" s="376"/>
      <c r="C372" s="377"/>
      <c r="D372" s="378"/>
      <c r="E372" s="376"/>
      <c r="F372" s="376"/>
      <c r="G372" s="376"/>
      <c r="H372" s="376"/>
    </row>
    <row r="373" spans="1:8" s="379" customFormat="1">
      <c r="A373" s="376"/>
      <c r="B373" s="376"/>
      <c r="C373" s="377"/>
      <c r="D373" s="378"/>
      <c r="E373" s="376"/>
      <c r="F373" s="376"/>
      <c r="G373" s="376"/>
      <c r="H373" s="376"/>
    </row>
    <row r="374" spans="1:8" s="379" customFormat="1">
      <c r="A374" s="376"/>
      <c r="B374" s="376"/>
      <c r="C374" s="377"/>
      <c r="D374" s="378"/>
      <c r="E374" s="376"/>
      <c r="F374" s="376"/>
      <c r="G374" s="376"/>
      <c r="H374" s="376"/>
    </row>
    <row r="375" spans="1:8" s="379" customFormat="1">
      <c r="A375" s="376"/>
      <c r="B375" s="376"/>
      <c r="C375" s="377"/>
      <c r="D375" s="378"/>
      <c r="E375" s="376"/>
      <c r="F375" s="376"/>
      <c r="G375" s="376"/>
      <c r="H375" s="376"/>
    </row>
    <row r="376" spans="1:8" s="379" customFormat="1">
      <c r="A376" s="376"/>
      <c r="B376" s="376"/>
      <c r="C376" s="377"/>
      <c r="D376" s="378"/>
      <c r="E376" s="376"/>
      <c r="F376" s="376"/>
      <c r="G376" s="376"/>
      <c r="H376" s="376"/>
    </row>
    <row r="377" spans="1:8" s="379" customFormat="1">
      <c r="A377" s="376"/>
      <c r="B377" s="376"/>
      <c r="C377" s="377"/>
      <c r="D377" s="378"/>
      <c r="E377" s="376"/>
      <c r="F377" s="376"/>
      <c r="G377" s="376"/>
      <c r="H377" s="376"/>
    </row>
    <row r="378" spans="1:8" s="379" customFormat="1">
      <c r="A378" s="376"/>
      <c r="B378" s="376"/>
      <c r="C378" s="377"/>
      <c r="D378" s="378"/>
      <c r="E378" s="376"/>
      <c r="F378" s="376"/>
      <c r="G378" s="376"/>
      <c r="H378" s="376"/>
    </row>
    <row r="379" spans="1:8" s="379" customFormat="1">
      <c r="A379" s="376"/>
      <c r="B379" s="376"/>
      <c r="C379" s="377"/>
      <c r="D379" s="378"/>
      <c r="E379" s="376"/>
      <c r="F379" s="376"/>
      <c r="G379" s="376"/>
      <c r="H379" s="376"/>
    </row>
    <row r="380" spans="1:8" s="379" customFormat="1">
      <c r="A380" s="376"/>
      <c r="B380" s="376"/>
      <c r="C380" s="377"/>
      <c r="D380" s="378"/>
      <c r="E380" s="376"/>
      <c r="F380" s="376"/>
      <c r="G380" s="376"/>
      <c r="H380" s="376"/>
    </row>
    <row r="381" spans="1:8" s="379" customFormat="1">
      <c r="A381" s="376"/>
      <c r="B381" s="376"/>
      <c r="C381" s="377"/>
      <c r="D381" s="378"/>
      <c r="E381" s="376"/>
      <c r="F381" s="376"/>
      <c r="G381" s="376"/>
      <c r="H381" s="376"/>
    </row>
    <row r="382" spans="1:8" s="379" customFormat="1">
      <c r="A382" s="376"/>
      <c r="B382" s="376"/>
      <c r="C382" s="377"/>
      <c r="D382" s="378"/>
      <c r="E382" s="376"/>
      <c r="F382" s="376"/>
      <c r="G382" s="376"/>
      <c r="H382" s="376"/>
    </row>
    <row r="383" spans="1:8" s="379" customFormat="1">
      <c r="A383" s="376"/>
      <c r="B383" s="376"/>
      <c r="C383" s="377"/>
      <c r="D383" s="378"/>
      <c r="E383" s="376"/>
      <c r="F383" s="376"/>
      <c r="G383" s="376"/>
      <c r="H383" s="376"/>
    </row>
    <row r="384" spans="1:8" s="379" customFormat="1">
      <c r="A384" s="376"/>
      <c r="B384" s="376"/>
      <c r="C384" s="377"/>
      <c r="D384" s="378"/>
      <c r="E384" s="376"/>
      <c r="F384" s="376"/>
      <c r="G384" s="376"/>
      <c r="H384" s="376"/>
    </row>
    <row r="385" spans="1:8" s="379" customFormat="1">
      <c r="A385" s="376"/>
      <c r="B385" s="376"/>
      <c r="C385" s="377"/>
      <c r="D385" s="378"/>
      <c r="E385" s="376"/>
      <c r="F385" s="376"/>
      <c r="G385" s="376"/>
      <c r="H385" s="376"/>
    </row>
    <row r="386" spans="1:8" s="379" customFormat="1">
      <c r="A386" s="376"/>
      <c r="B386" s="376"/>
      <c r="C386" s="377"/>
      <c r="D386" s="378"/>
      <c r="E386" s="376"/>
      <c r="F386" s="376"/>
      <c r="G386" s="376"/>
      <c r="H386" s="376"/>
    </row>
    <row r="387" spans="1:8" s="379" customFormat="1">
      <c r="A387" s="376"/>
      <c r="B387" s="376"/>
      <c r="C387" s="377"/>
      <c r="D387" s="378"/>
      <c r="E387" s="376"/>
      <c r="F387" s="376"/>
      <c r="G387" s="376"/>
      <c r="H387" s="376"/>
    </row>
    <row r="388" spans="1:8" s="379" customFormat="1">
      <c r="A388" s="376"/>
      <c r="B388" s="376"/>
      <c r="C388" s="377"/>
      <c r="D388" s="378"/>
      <c r="E388" s="376"/>
      <c r="F388" s="376"/>
      <c r="G388" s="376"/>
      <c r="H388" s="376"/>
    </row>
    <row r="389" spans="1:8" s="379" customFormat="1">
      <c r="A389" s="376"/>
      <c r="B389" s="376"/>
      <c r="C389" s="377"/>
      <c r="D389" s="378"/>
      <c r="E389" s="376"/>
      <c r="F389" s="376"/>
      <c r="G389" s="376"/>
      <c r="H389" s="376"/>
    </row>
    <row r="390" spans="1:8" s="379" customFormat="1">
      <c r="A390" s="376"/>
      <c r="B390" s="376"/>
      <c r="C390" s="377"/>
      <c r="D390" s="378"/>
      <c r="E390" s="376"/>
      <c r="F390" s="376"/>
      <c r="G390" s="376"/>
      <c r="H390" s="376"/>
    </row>
    <row r="391" spans="1:8" s="379" customFormat="1">
      <c r="A391" s="376"/>
      <c r="B391" s="376"/>
      <c r="C391" s="377"/>
      <c r="D391" s="378"/>
      <c r="E391" s="376"/>
      <c r="F391" s="376"/>
      <c r="G391" s="376"/>
      <c r="H391" s="376"/>
    </row>
    <row r="392" spans="1:8" s="379" customFormat="1">
      <c r="A392" s="376"/>
      <c r="B392" s="376"/>
      <c r="C392" s="377"/>
      <c r="D392" s="378"/>
      <c r="E392" s="376"/>
      <c r="F392" s="376"/>
      <c r="G392" s="376"/>
      <c r="H392" s="376"/>
    </row>
    <row r="393" spans="1:8" s="379" customFormat="1">
      <c r="A393" s="376"/>
      <c r="B393" s="376"/>
      <c r="C393" s="377"/>
      <c r="D393" s="378"/>
      <c r="E393" s="376"/>
      <c r="F393" s="376"/>
      <c r="G393" s="376"/>
      <c r="H393" s="376"/>
    </row>
    <row r="394" spans="1:8" s="379" customFormat="1">
      <c r="A394" s="376"/>
      <c r="B394" s="376"/>
      <c r="C394" s="377"/>
      <c r="D394" s="378"/>
      <c r="E394" s="376"/>
      <c r="F394" s="376"/>
      <c r="G394" s="376"/>
      <c r="H394" s="376"/>
    </row>
    <row r="395" spans="1:8" s="379" customFormat="1">
      <c r="A395" s="376"/>
      <c r="B395" s="376"/>
      <c r="C395" s="377"/>
      <c r="D395" s="378"/>
      <c r="E395" s="376"/>
      <c r="F395" s="376"/>
      <c r="G395" s="376"/>
      <c r="H395" s="376"/>
    </row>
    <row r="396" spans="1:8" s="379" customFormat="1">
      <c r="A396" s="376"/>
      <c r="B396" s="376"/>
      <c r="C396" s="377"/>
      <c r="D396" s="378"/>
      <c r="E396" s="376"/>
      <c r="F396" s="376"/>
      <c r="G396" s="376"/>
      <c r="H396" s="376"/>
    </row>
    <row r="397" spans="1:8" s="379" customFormat="1">
      <c r="A397" s="376"/>
      <c r="B397" s="376"/>
      <c r="C397" s="377"/>
      <c r="D397" s="378"/>
      <c r="E397" s="376"/>
      <c r="F397" s="376"/>
      <c r="G397" s="376"/>
      <c r="H397" s="376"/>
    </row>
    <row r="398" spans="1:8" s="379" customFormat="1">
      <c r="A398" s="376"/>
      <c r="B398" s="376"/>
      <c r="C398" s="377"/>
      <c r="D398" s="378"/>
      <c r="E398" s="376"/>
      <c r="F398" s="376"/>
      <c r="G398" s="376"/>
      <c r="H398" s="376"/>
    </row>
    <row r="399" spans="1:8" s="379" customFormat="1">
      <c r="A399" s="376"/>
      <c r="B399" s="376"/>
      <c r="C399" s="377"/>
      <c r="D399" s="378"/>
      <c r="E399" s="376"/>
      <c r="F399" s="376"/>
      <c r="G399" s="376"/>
      <c r="H399" s="376"/>
    </row>
    <row r="400" spans="1:8" s="379" customFormat="1">
      <c r="A400" s="376"/>
      <c r="B400" s="376"/>
      <c r="C400" s="377"/>
      <c r="D400" s="378"/>
      <c r="E400" s="376"/>
      <c r="F400" s="376"/>
      <c r="G400" s="376"/>
      <c r="H400" s="376"/>
    </row>
    <row r="401" spans="1:8" s="379" customFormat="1">
      <c r="A401" s="376"/>
      <c r="B401" s="376"/>
      <c r="C401" s="377"/>
      <c r="D401" s="378"/>
      <c r="E401" s="376"/>
      <c r="F401" s="376"/>
      <c r="G401" s="376"/>
      <c r="H401" s="376"/>
    </row>
    <row r="402" spans="1:8" s="379" customFormat="1">
      <c r="A402" s="376"/>
      <c r="B402" s="376"/>
      <c r="C402" s="377"/>
      <c r="D402" s="378"/>
      <c r="E402" s="376"/>
      <c r="F402" s="376"/>
      <c r="G402" s="376"/>
      <c r="H402" s="376"/>
    </row>
    <row r="403" spans="1:8" s="379" customFormat="1">
      <c r="A403" s="376"/>
      <c r="B403" s="376"/>
      <c r="C403" s="377"/>
      <c r="D403" s="378"/>
      <c r="E403" s="376"/>
      <c r="F403" s="376"/>
      <c r="G403" s="376"/>
      <c r="H403" s="376"/>
    </row>
    <row r="404" spans="1:8" s="379" customFormat="1">
      <c r="A404" s="376"/>
      <c r="B404" s="376"/>
      <c r="C404" s="377"/>
      <c r="D404" s="378"/>
      <c r="E404" s="376"/>
      <c r="F404" s="376"/>
      <c r="G404" s="376"/>
      <c r="H404" s="376"/>
    </row>
    <row r="405" spans="1:8" s="379" customFormat="1">
      <c r="A405" s="376"/>
      <c r="B405" s="376"/>
      <c r="C405" s="377"/>
      <c r="D405" s="378"/>
      <c r="E405" s="376"/>
      <c r="F405" s="376"/>
      <c r="G405" s="376"/>
      <c r="H405" s="376"/>
    </row>
    <row r="406" spans="1:8" s="379" customFormat="1">
      <c r="A406" s="376"/>
      <c r="B406" s="376"/>
      <c r="C406" s="377"/>
      <c r="D406" s="378"/>
      <c r="E406" s="376"/>
      <c r="F406" s="376"/>
      <c r="G406" s="376"/>
      <c r="H406" s="376"/>
    </row>
    <row r="407" spans="1:8" s="379" customFormat="1">
      <c r="A407" s="376"/>
      <c r="B407" s="376"/>
      <c r="C407" s="377"/>
      <c r="D407" s="378"/>
      <c r="E407" s="376"/>
      <c r="F407" s="376"/>
      <c r="G407" s="376"/>
      <c r="H407" s="376"/>
    </row>
    <row r="408" spans="1:8" s="379" customFormat="1">
      <c r="A408" s="376"/>
      <c r="B408" s="376"/>
      <c r="C408" s="377"/>
      <c r="D408" s="378"/>
      <c r="E408" s="376"/>
      <c r="F408" s="376"/>
      <c r="G408" s="376"/>
      <c r="H408" s="376"/>
    </row>
    <row r="409" spans="1:8" s="379" customFormat="1">
      <c r="A409" s="376"/>
      <c r="B409" s="376"/>
      <c r="C409" s="377"/>
      <c r="D409" s="378"/>
      <c r="E409" s="376"/>
      <c r="F409" s="376"/>
      <c r="G409" s="376"/>
      <c r="H409" s="376"/>
    </row>
    <row r="410" spans="1:8" s="379" customFormat="1">
      <c r="A410" s="376"/>
      <c r="B410" s="376"/>
      <c r="C410" s="377"/>
      <c r="D410" s="378"/>
      <c r="E410" s="376"/>
      <c r="F410" s="376"/>
      <c r="G410" s="376"/>
      <c r="H410" s="376"/>
    </row>
    <row r="411" spans="1:8" s="379" customFormat="1">
      <c r="A411" s="376"/>
      <c r="B411" s="376"/>
      <c r="C411" s="377"/>
      <c r="D411" s="378"/>
      <c r="E411" s="376"/>
      <c r="F411" s="376"/>
      <c r="G411" s="376"/>
      <c r="H411" s="376"/>
    </row>
    <row r="412" spans="1:8" s="379" customFormat="1">
      <c r="A412" s="376"/>
      <c r="B412" s="376"/>
      <c r="C412" s="377"/>
      <c r="D412" s="378"/>
      <c r="E412" s="376"/>
      <c r="F412" s="376"/>
      <c r="G412" s="376"/>
      <c r="H412" s="376"/>
    </row>
    <row r="413" spans="1:8" s="379" customFormat="1">
      <c r="A413" s="376"/>
      <c r="B413" s="376"/>
      <c r="C413" s="377"/>
      <c r="D413" s="378"/>
      <c r="E413" s="376"/>
      <c r="F413" s="376"/>
      <c r="G413" s="376"/>
      <c r="H413" s="376"/>
    </row>
    <row r="414" spans="1:8" s="379" customFormat="1">
      <c r="A414" s="376"/>
      <c r="B414" s="376"/>
      <c r="C414" s="377"/>
      <c r="D414" s="378"/>
      <c r="E414" s="376"/>
      <c r="F414" s="376"/>
      <c r="G414" s="376"/>
      <c r="H414" s="376"/>
    </row>
    <row r="415" spans="1:8" s="379" customFormat="1">
      <c r="A415" s="376"/>
      <c r="B415" s="376"/>
      <c r="C415" s="377"/>
      <c r="D415" s="378"/>
      <c r="E415" s="376"/>
      <c r="F415" s="376"/>
      <c r="G415" s="376"/>
      <c r="H415" s="376"/>
    </row>
    <row r="416" spans="1:8" s="379" customFormat="1">
      <c r="A416" s="376"/>
      <c r="B416" s="376"/>
      <c r="C416" s="377"/>
      <c r="D416" s="378"/>
      <c r="E416" s="376"/>
      <c r="F416" s="376"/>
      <c r="G416" s="376"/>
      <c r="H416" s="376"/>
    </row>
    <row r="417" spans="1:8" s="379" customFormat="1">
      <c r="A417" s="376"/>
      <c r="B417" s="376"/>
      <c r="C417" s="377"/>
      <c r="D417" s="378"/>
      <c r="E417" s="376"/>
      <c r="F417" s="376"/>
      <c r="G417" s="376"/>
      <c r="H417" s="376"/>
    </row>
    <row r="418" spans="1:8" s="379" customFormat="1">
      <c r="A418" s="376"/>
      <c r="B418" s="376"/>
      <c r="C418" s="377"/>
      <c r="D418" s="378"/>
      <c r="E418" s="376"/>
      <c r="F418" s="376"/>
      <c r="G418" s="376"/>
      <c r="H418" s="376"/>
    </row>
    <row r="419" spans="1:8" s="379" customFormat="1">
      <c r="A419" s="376"/>
      <c r="B419" s="376"/>
      <c r="C419" s="377"/>
      <c r="D419" s="378"/>
      <c r="E419" s="376"/>
      <c r="F419" s="376"/>
      <c r="G419" s="376"/>
      <c r="H419" s="376"/>
    </row>
    <row r="420" spans="1:8" s="379" customFormat="1">
      <c r="A420" s="376"/>
      <c r="B420" s="376"/>
      <c r="C420" s="377"/>
      <c r="D420" s="378"/>
      <c r="E420" s="376"/>
      <c r="F420" s="376"/>
      <c r="G420" s="376"/>
      <c r="H420" s="376"/>
    </row>
    <row r="421" spans="1:8" s="379" customFormat="1">
      <c r="A421" s="376"/>
      <c r="B421" s="376"/>
      <c r="C421" s="377"/>
      <c r="D421" s="378"/>
      <c r="E421" s="376"/>
      <c r="F421" s="376"/>
      <c r="G421" s="376"/>
      <c r="H421" s="376"/>
    </row>
    <row r="422" spans="1:8" s="379" customFormat="1">
      <c r="A422" s="376"/>
      <c r="B422" s="376"/>
      <c r="C422" s="377"/>
      <c r="D422" s="378"/>
      <c r="E422" s="376"/>
      <c r="F422" s="376"/>
      <c r="G422" s="376"/>
      <c r="H422" s="376"/>
    </row>
    <row r="423" spans="1:8" s="379" customFormat="1">
      <c r="A423" s="376"/>
      <c r="B423" s="376"/>
      <c r="C423" s="377"/>
      <c r="D423" s="378"/>
      <c r="E423" s="376"/>
      <c r="F423" s="376"/>
      <c r="G423" s="376"/>
      <c r="H423" s="376"/>
    </row>
    <row r="424" spans="1:8" s="379" customFormat="1">
      <c r="A424" s="376"/>
      <c r="B424" s="376"/>
      <c r="C424" s="377"/>
      <c r="D424" s="378"/>
      <c r="E424" s="376"/>
      <c r="F424" s="376"/>
      <c r="G424" s="376"/>
      <c r="H424" s="376"/>
    </row>
    <row r="425" spans="1:8" s="379" customFormat="1">
      <c r="A425" s="376"/>
      <c r="B425" s="376"/>
      <c r="C425" s="377"/>
      <c r="D425" s="378"/>
      <c r="E425" s="376"/>
      <c r="F425" s="376"/>
      <c r="G425" s="376"/>
      <c r="H425" s="376"/>
    </row>
    <row r="426" spans="1:8" s="379" customFormat="1">
      <c r="A426" s="376"/>
      <c r="B426" s="376"/>
      <c r="C426" s="377"/>
      <c r="D426" s="378"/>
      <c r="E426" s="376"/>
      <c r="F426" s="376"/>
      <c r="G426" s="376"/>
      <c r="H426" s="376"/>
    </row>
    <row r="427" spans="1:8" s="379" customFormat="1">
      <c r="A427" s="376"/>
      <c r="B427" s="376"/>
      <c r="C427" s="377"/>
      <c r="D427" s="378"/>
      <c r="E427" s="376"/>
      <c r="F427" s="376"/>
      <c r="G427" s="376"/>
      <c r="H427" s="376"/>
    </row>
    <row r="428" spans="1:8" s="379" customFormat="1">
      <c r="A428" s="376"/>
      <c r="B428" s="376"/>
      <c r="C428" s="377"/>
      <c r="D428" s="378"/>
      <c r="E428" s="376"/>
      <c r="F428" s="376"/>
      <c r="G428" s="376"/>
      <c r="H428" s="376"/>
    </row>
    <row r="429" spans="1:8" s="379" customFormat="1">
      <c r="A429" s="376"/>
      <c r="B429" s="376"/>
      <c r="C429" s="377"/>
      <c r="D429" s="378"/>
      <c r="E429" s="376"/>
      <c r="F429" s="376"/>
      <c r="G429" s="376"/>
      <c r="H429" s="376"/>
    </row>
    <row r="430" spans="1:8" s="379" customFormat="1">
      <c r="A430" s="376"/>
      <c r="B430" s="376"/>
      <c r="C430" s="377"/>
      <c r="D430" s="378"/>
      <c r="E430" s="376"/>
      <c r="F430" s="376"/>
      <c r="G430" s="376"/>
      <c r="H430" s="376"/>
    </row>
    <row r="431" spans="1:8" s="379" customFormat="1">
      <c r="A431" s="376"/>
      <c r="B431" s="376"/>
      <c r="C431" s="377"/>
      <c r="D431" s="378"/>
      <c r="E431" s="376"/>
      <c r="F431" s="376"/>
      <c r="G431" s="376"/>
      <c r="H431" s="376"/>
    </row>
    <row r="432" spans="1:8" s="379" customFormat="1">
      <c r="A432" s="376"/>
      <c r="B432" s="376"/>
      <c r="C432" s="377"/>
      <c r="D432" s="378"/>
      <c r="E432" s="376"/>
      <c r="F432" s="376"/>
      <c r="G432" s="376"/>
      <c r="H432" s="376"/>
    </row>
    <row r="433" spans="1:8" s="379" customFormat="1">
      <c r="A433" s="376"/>
      <c r="B433" s="376"/>
      <c r="C433" s="377"/>
      <c r="D433" s="378"/>
      <c r="E433" s="376"/>
      <c r="F433" s="376"/>
      <c r="G433" s="376"/>
      <c r="H433" s="376"/>
    </row>
    <row r="434" spans="1:8" s="379" customFormat="1">
      <c r="A434" s="376"/>
      <c r="B434" s="376"/>
      <c r="C434" s="377"/>
      <c r="D434" s="378"/>
      <c r="E434" s="376"/>
      <c r="F434" s="376"/>
      <c r="G434" s="376"/>
      <c r="H434" s="376"/>
    </row>
    <row r="435" spans="1:8" s="379" customFormat="1">
      <c r="A435" s="376"/>
      <c r="B435" s="376"/>
      <c r="C435" s="377"/>
      <c r="D435" s="378"/>
      <c r="E435" s="376"/>
      <c r="F435" s="376"/>
      <c r="G435" s="376"/>
      <c r="H435" s="376"/>
    </row>
    <row r="436" spans="1:8" s="379" customFormat="1">
      <c r="A436" s="376"/>
      <c r="B436" s="376"/>
      <c r="C436" s="377"/>
      <c r="D436" s="378"/>
      <c r="E436" s="376"/>
      <c r="F436" s="376"/>
      <c r="G436" s="376"/>
      <c r="H436" s="376"/>
    </row>
    <row r="437" spans="1:8" s="379" customFormat="1">
      <c r="A437" s="376"/>
      <c r="B437" s="376"/>
      <c r="C437" s="377"/>
      <c r="D437" s="378"/>
      <c r="E437" s="376"/>
      <c r="F437" s="376"/>
      <c r="G437" s="376"/>
      <c r="H437" s="376"/>
    </row>
    <row r="438" spans="1:8" s="379" customFormat="1">
      <c r="A438" s="376"/>
      <c r="B438" s="376"/>
      <c r="C438" s="377"/>
      <c r="D438" s="378"/>
      <c r="E438" s="376"/>
      <c r="F438" s="376"/>
      <c r="G438" s="376"/>
      <c r="H438" s="376"/>
    </row>
    <row r="439" spans="1:8" s="379" customFormat="1">
      <c r="A439" s="376"/>
      <c r="B439" s="376"/>
      <c r="C439" s="377"/>
      <c r="D439" s="378"/>
      <c r="E439" s="376"/>
      <c r="F439" s="376"/>
      <c r="G439" s="376"/>
      <c r="H439" s="376"/>
    </row>
    <row r="440" spans="1:8" s="379" customFormat="1">
      <c r="A440" s="376"/>
      <c r="B440" s="376"/>
      <c r="C440" s="377"/>
      <c r="D440" s="378"/>
      <c r="E440" s="376"/>
      <c r="F440" s="376"/>
      <c r="G440" s="376"/>
      <c r="H440" s="376"/>
    </row>
    <row r="441" spans="1:8" s="379" customFormat="1">
      <c r="A441" s="376"/>
      <c r="B441" s="376"/>
      <c r="C441" s="377"/>
      <c r="D441" s="378"/>
      <c r="E441" s="376"/>
      <c r="F441" s="376"/>
      <c r="G441" s="376"/>
      <c r="H441" s="376"/>
    </row>
    <row r="442" spans="1:8" s="379" customFormat="1">
      <c r="A442" s="376"/>
      <c r="B442" s="376"/>
      <c r="C442" s="377"/>
      <c r="D442" s="378"/>
      <c r="E442" s="376"/>
      <c r="F442" s="376"/>
      <c r="G442" s="376"/>
      <c r="H442" s="376"/>
    </row>
    <row r="443" spans="1:8" s="379" customFormat="1">
      <c r="A443" s="376"/>
      <c r="B443" s="376"/>
      <c r="C443" s="377"/>
      <c r="D443" s="378"/>
      <c r="E443" s="376"/>
      <c r="F443" s="376"/>
      <c r="G443" s="376"/>
      <c r="H443" s="376"/>
    </row>
    <row r="444" spans="1:8" s="379" customFormat="1">
      <c r="A444" s="376"/>
      <c r="B444" s="376"/>
      <c r="C444" s="377"/>
      <c r="D444" s="378"/>
      <c r="E444" s="376"/>
      <c r="F444" s="376"/>
      <c r="G444" s="376"/>
      <c r="H444" s="376"/>
    </row>
    <row r="445" spans="1:8" s="379" customFormat="1">
      <c r="A445" s="376"/>
      <c r="B445" s="376"/>
      <c r="C445" s="377"/>
      <c r="D445" s="378"/>
      <c r="E445" s="376"/>
      <c r="F445" s="376"/>
      <c r="G445" s="376"/>
      <c r="H445" s="376"/>
    </row>
    <row r="446" spans="1:8" s="379" customFormat="1">
      <c r="A446" s="376"/>
      <c r="B446" s="376"/>
      <c r="C446" s="377"/>
      <c r="D446" s="378"/>
      <c r="E446" s="376"/>
      <c r="F446" s="376"/>
      <c r="G446" s="376"/>
      <c r="H446" s="376"/>
    </row>
    <row r="447" spans="1:8" s="379" customFormat="1">
      <c r="A447" s="376"/>
      <c r="B447" s="376"/>
      <c r="C447" s="377"/>
      <c r="D447" s="378"/>
      <c r="E447" s="376"/>
      <c r="F447" s="376"/>
      <c r="G447" s="376"/>
      <c r="H447" s="376"/>
    </row>
    <row r="448" spans="1:8" s="379" customFormat="1">
      <c r="A448" s="376"/>
      <c r="B448" s="376"/>
      <c r="C448" s="377"/>
      <c r="D448" s="378"/>
      <c r="E448" s="376"/>
      <c r="F448" s="376"/>
      <c r="G448" s="376"/>
      <c r="H448" s="376"/>
    </row>
    <row r="449" spans="1:8" s="379" customFormat="1">
      <c r="A449" s="376"/>
      <c r="B449" s="376"/>
      <c r="C449" s="377"/>
      <c r="D449" s="378"/>
      <c r="E449" s="376"/>
      <c r="F449" s="376"/>
      <c r="G449" s="376"/>
      <c r="H449" s="376"/>
    </row>
    <row r="450" spans="1:8" s="379" customFormat="1">
      <c r="A450" s="376"/>
      <c r="B450" s="376"/>
      <c r="C450" s="377"/>
      <c r="D450" s="378"/>
      <c r="E450" s="376"/>
      <c r="F450" s="376"/>
      <c r="G450" s="376"/>
      <c r="H450" s="376"/>
    </row>
    <row r="451" spans="1:8" s="379" customFormat="1">
      <c r="A451" s="376"/>
      <c r="B451" s="376"/>
      <c r="C451" s="377"/>
      <c r="D451" s="378"/>
      <c r="E451" s="376"/>
      <c r="F451" s="376"/>
      <c r="G451" s="376"/>
      <c r="H451" s="376"/>
    </row>
    <row r="452" spans="1:8" s="379" customFormat="1">
      <c r="A452" s="376"/>
      <c r="B452" s="376"/>
      <c r="C452" s="377"/>
      <c r="D452" s="378"/>
      <c r="E452" s="376"/>
      <c r="F452" s="376"/>
      <c r="G452" s="376"/>
      <c r="H452" s="376"/>
    </row>
    <row r="453" spans="1:8" s="379" customFormat="1">
      <c r="A453" s="376"/>
      <c r="B453" s="376"/>
      <c r="C453" s="377"/>
      <c r="D453" s="378"/>
      <c r="E453" s="376"/>
      <c r="F453" s="376"/>
      <c r="G453" s="376"/>
      <c r="H453" s="376"/>
    </row>
    <row r="454" spans="1:8" s="379" customFormat="1">
      <c r="A454" s="376"/>
      <c r="B454" s="376"/>
      <c r="C454" s="377"/>
      <c r="D454" s="378"/>
      <c r="E454" s="376"/>
      <c r="F454" s="376"/>
      <c r="G454" s="376"/>
      <c r="H454" s="376"/>
    </row>
    <row r="455" spans="1:8" s="379" customFormat="1">
      <c r="A455" s="376"/>
      <c r="B455" s="376"/>
      <c r="C455" s="377"/>
      <c r="D455" s="378"/>
      <c r="E455" s="376"/>
      <c r="F455" s="376"/>
      <c r="G455" s="376"/>
      <c r="H455" s="376"/>
    </row>
    <row r="456" spans="1:8" s="379" customFormat="1">
      <c r="A456" s="376"/>
      <c r="B456" s="376"/>
      <c r="C456" s="377"/>
      <c r="D456" s="378"/>
      <c r="E456" s="376"/>
      <c r="F456" s="376"/>
      <c r="G456" s="376"/>
      <c r="H456" s="376"/>
    </row>
    <row r="457" spans="1:8" s="379" customFormat="1">
      <c r="A457" s="376"/>
      <c r="B457" s="376"/>
      <c r="C457" s="377"/>
      <c r="D457" s="378"/>
      <c r="E457" s="376"/>
      <c r="F457" s="376"/>
      <c r="G457" s="376"/>
      <c r="H457" s="376"/>
    </row>
    <row r="458" spans="1:8" s="379" customFormat="1">
      <c r="A458" s="376"/>
      <c r="B458" s="376"/>
      <c r="C458" s="377"/>
      <c r="D458" s="378"/>
      <c r="E458" s="376"/>
      <c r="F458" s="376"/>
      <c r="G458" s="376"/>
      <c r="H458" s="376"/>
    </row>
    <row r="459" spans="1:8" s="379" customFormat="1">
      <c r="A459" s="376"/>
      <c r="B459" s="376"/>
      <c r="C459" s="377"/>
      <c r="D459" s="378"/>
      <c r="E459" s="376"/>
      <c r="F459" s="376"/>
      <c r="G459" s="376"/>
      <c r="H459" s="376"/>
    </row>
    <row r="460" spans="1:8" s="379" customFormat="1">
      <c r="A460" s="376"/>
      <c r="B460" s="376"/>
      <c r="C460" s="377"/>
      <c r="D460" s="378"/>
      <c r="E460" s="376"/>
      <c r="F460" s="376"/>
      <c r="G460" s="376"/>
      <c r="H460" s="376"/>
    </row>
    <row r="461" spans="1:8" s="379" customFormat="1">
      <c r="A461" s="376"/>
      <c r="B461" s="376"/>
      <c r="C461" s="377"/>
      <c r="D461" s="378"/>
      <c r="E461" s="376"/>
      <c r="F461" s="376"/>
      <c r="G461" s="376"/>
      <c r="H461" s="376"/>
    </row>
    <row r="462" spans="1:8" s="379" customFormat="1">
      <c r="A462" s="376"/>
      <c r="B462" s="376"/>
      <c r="C462" s="377"/>
      <c r="D462" s="378"/>
      <c r="E462" s="376"/>
      <c r="F462" s="376"/>
      <c r="G462" s="376"/>
      <c r="H462" s="376"/>
    </row>
    <row r="463" spans="1:8" s="379" customFormat="1">
      <c r="A463" s="376"/>
      <c r="B463" s="376"/>
      <c r="C463" s="377"/>
      <c r="D463" s="378"/>
      <c r="E463" s="376"/>
      <c r="F463" s="376"/>
      <c r="G463" s="376"/>
      <c r="H463" s="376"/>
    </row>
    <row r="464" spans="1:8" s="379" customFormat="1">
      <c r="A464" s="376"/>
      <c r="B464" s="376"/>
      <c r="C464" s="377"/>
      <c r="D464" s="378"/>
      <c r="E464" s="376"/>
      <c r="F464" s="376"/>
      <c r="G464" s="376"/>
      <c r="H464" s="376"/>
    </row>
    <row r="465" spans="1:8" s="379" customFormat="1">
      <c r="A465" s="376"/>
      <c r="B465" s="376"/>
      <c r="C465" s="377"/>
      <c r="D465" s="378"/>
      <c r="E465" s="376"/>
      <c r="F465" s="376"/>
      <c r="G465" s="376"/>
      <c r="H465" s="376"/>
    </row>
    <row r="466" spans="1:8" s="379" customFormat="1">
      <c r="A466" s="376"/>
      <c r="B466" s="376"/>
      <c r="C466" s="377"/>
      <c r="D466" s="378"/>
      <c r="E466" s="376"/>
      <c r="F466" s="376"/>
      <c r="G466" s="376"/>
      <c r="H466" s="376"/>
    </row>
    <row r="467" spans="1:8" s="379" customFormat="1">
      <c r="A467" s="376"/>
      <c r="B467" s="376"/>
      <c r="C467" s="377"/>
      <c r="D467" s="378"/>
      <c r="E467" s="376"/>
      <c r="F467" s="376"/>
      <c r="G467" s="376"/>
      <c r="H467" s="376"/>
    </row>
    <row r="468" spans="1:8" s="379" customFormat="1">
      <c r="A468" s="376"/>
      <c r="B468" s="376"/>
      <c r="C468" s="377"/>
      <c r="D468" s="378"/>
      <c r="E468" s="376"/>
      <c r="F468" s="376"/>
      <c r="G468" s="376"/>
      <c r="H468" s="376"/>
    </row>
    <row r="469" spans="1:8" s="379" customFormat="1">
      <c r="A469" s="376"/>
      <c r="B469" s="376"/>
      <c r="C469" s="377"/>
      <c r="D469" s="378"/>
      <c r="E469" s="376"/>
      <c r="F469" s="376"/>
      <c r="G469" s="376"/>
      <c r="H469" s="376"/>
    </row>
    <row r="470" spans="1:8" s="379" customFormat="1">
      <c r="A470" s="376"/>
      <c r="B470" s="376"/>
      <c r="C470" s="377"/>
      <c r="D470" s="378"/>
      <c r="E470" s="376"/>
      <c r="F470" s="376"/>
      <c r="G470" s="376"/>
      <c r="H470" s="376"/>
    </row>
    <row r="471" spans="1:8" s="379" customFormat="1">
      <c r="A471" s="376"/>
      <c r="B471" s="376"/>
      <c r="C471" s="377"/>
      <c r="D471" s="378"/>
      <c r="E471" s="376"/>
      <c r="F471" s="376"/>
      <c r="G471" s="376"/>
      <c r="H471" s="376"/>
    </row>
    <row r="472" spans="1:8" s="379" customFormat="1">
      <c r="A472" s="376"/>
      <c r="B472" s="376"/>
      <c r="C472" s="377"/>
      <c r="D472" s="378"/>
      <c r="E472" s="376"/>
      <c r="F472" s="376"/>
      <c r="G472" s="376"/>
      <c r="H472" s="376"/>
    </row>
    <row r="473" spans="1:8" s="379" customFormat="1">
      <c r="A473" s="376"/>
      <c r="B473" s="376"/>
      <c r="C473" s="377"/>
      <c r="D473" s="378"/>
      <c r="E473" s="376"/>
      <c r="F473" s="376"/>
      <c r="G473" s="376"/>
      <c r="H473" s="376"/>
    </row>
    <row r="474" spans="1:8" s="379" customFormat="1">
      <c r="A474" s="376"/>
      <c r="B474" s="376"/>
      <c r="C474" s="377"/>
      <c r="D474" s="378"/>
      <c r="E474" s="376"/>
      <c r="F474" s="376"/>
      <c r="G474" s="376"/>
      <c r="H474" s="376"/>
    </row>
    <row r="475" spans="1:8" s="379" customFormat="1">
      <c r="A475" s="376"/>
      <c r="B475" s="376"/>
      <c r="C475" s="377"/>
      <c r="D475" s="378"/>
      <c r="E475" s="376"/>
      <c r="F475" s="376"/>
      <c r="G475" s="376"/>
      <c r="H475" s="376"/>
    </row>
    <row r="476" spans="1:8" s="379" customFormat="1">
      <c r="A476" s="376"/>
      <c r="B476" s="376"/>
      <c r="C476" s="377"/>
      <c r="D476" s="378"/>
      <c r="E476" s="376"/>
      <c r="F476" s="376"/>
      <c r="G476" s="376"/>
      <c r="H476" s="376"/>
    </row>
    <row r="477" spans="1:8" s="379" customFormat="1">
      <c r="A477" s="376"/>
      <c r="B477" s="376"/>
      <c r="C477" s="377"/>
      <c r="D477" s="378"/>
      <c r="E477" s="376"/>
      <c r="F477" s="376"/>
      <c r="G477" s="376"/>
      <c r="H477" s="376"/>
    </row>
    <row r="478" spans="1:8" s="379" customFormat="1">
      <c r="A478" s="376"/>
      <c r="B478" s="376"/>
      <c r="C478" s="377"/>
      <c r="D478" s="378"/>
      <c r="E478" s="376"/>
      <c r="F478" s="376"/>
      <c r="G478" s="376"/>
      <c r="H478" s="376"/>
    </row>
    <row r="479" spans="1:8" s="379" customFormat="1">
      <c r="A479" s="376"/>
      <c r="B479" s="376"/>
      <c r="C479" s="377"/>
      <c r="D479" s="378"/>
      <c r="E479" s="376"/>
      <c r="F479" s="376"/>
      <c r="G479" s="376"/>
      <c r="H479" s="376"/>
    </row>
    <row r="480" spans="1:8" s="379" customFormat="1">
      <c r="A480" s="376"/>
      <c r="B480" s="376"/>
      <c r="C480" s="377"/>
      <c r="D480" s="378"/>
      <c r="E480" s="376"/>
      <c r="F480" s="376"/>
      <c r="G480" s="376"/>
      <c r="H480" s="376"/>
    </row>
    <row r="481" spans="1:8" s="379" customFormat="1">
      <c r="A481" s="376"/>
      <c r="B481" s="376"/>
      <c r="C481" s="377"/>
      <c r="D481" s="378"/>
      <c r="E481" s="376"/>
      <c r="F481" s="376"/>
      <c r="G481" s="376"/>
      <c r="H481" s="376"/>
    </row>
    <row r="482" spans="1:8" s="379" customFormat="1">
      <c r="A482" s="376"/>
      <c r="B482" s="376"/>
      <c r="C482" s="377"/>
      <c r="D482" s="378"/>
      <c r="E482" s="376"/>
      <c r="F482" s="376"/>
      <c r="G482" s="376"/>
      <c r="H482" s="376"/>
    </row>
    <row r="483" spans="1:8" s="379" customFormat="1">
      <c r="A483" s="376"/>
      <c r="B483" s="376"/>
      <c r="C483" s="377"/>
      <c r="D483" s="378"/>
      <c r="E483" s="376"/>
      <c r="F483" s="376"/>
      <c r="G483" s="376"/>
      <c r="H483" s="376"/>
    </row>
    <row r="484" spans="1:8" s="379" customFormat="1">
      <c r="A484" s="376"/>
      <c r="B484" s="376"/>
      <c r="C484" s="377"/>
      <c r="D484" s="378"/>
      <c r="E484" s="376"/>
      <c r="F484" s="376"/>
      <c r="G484" s="376"/>
      <c r="H484" s="376"/>
    </row>
    <row r="485" spans="1:8" s="379" customFormat="1">
      <c r="A485" s="376"/>
      <c r="B485" s="376"/>
      <c r="C485" s="377"/>
      <c r="D485" s="378"/>
      <c r="E485" s="376"/>
      <c r="F485" s="376"/>
      <c r="G485" s="376"/>
      <c r="H485" s="376"/>
    </row>
    <row r="486" spans="1:8" s="379" customFormat="1">
      <c r="A486" s="376"/>
      <c r="B486" s="376"/>
      <c r="C486" s="377"/>
      <c r="D486" s="378"/>
      <c r="E486" s="376"/>
      <c r="F486" s="376"/>
      <c r="G486" s="376"/>
      <c r="H486" s="376"/>
    </row>
    <row r="487" spans="1:8" s="379" customFormat="1">
      <c r="A487" s="376"/>
      <c r="B487" s="376"/>
      <c r="C487" s="377"/>
      <c r="D487" s="378"/>
      <c r="E487" s="376"/>
      <c r="F487" s="376"/>
      <c r="G487" s="376"/>
      <c r="H487" s="376"/>
    </row>
    <row r="488" spans="1:8" s="379" customFormat="1">
      <c r="A488" s="376"/>
      <c r="B488" s="376"/>
      <c r="C488" s="377"/>
      <c r="D488" s="378"/>
      <c r="E488" s="376"/>
      <c r="F488" s="376"/>
      <c r="G488" s="376"/>
      <c r="H488" s="376"/>
    </row>
    <row r="489" spans="1:8" s="379" customFormat="1">
      <c r="A489" s="376"/>
      <c r="B489" s="376"/>
      <c r="C489" s="377"/>
      <c r="D489" s="378"/>
      <c r="E489" s="376"/>
      <c r="F489" s="376"/>
      <c r="G489" s="376"/>
      <c r="H489" s="376"/>
    </row>
    <row r="490" spans="1:8" s="379" customFormat="1">
      <c r="A490" s="376"/>
      <c r="B490" s="376"/>
      <c r="C490" s="377"/>
      <c r="D490" s="378"/>
      <c r="E490" s="376"/>
      <c r="F490" s="376"/>
      <c r="G490" s="376"/>
      <c r="H490" s="376"/>
    </row>
    <row r="491" spans="1:8" s="379" customFormat="1">
      <c r="A491" s="376"/>
      <c r="B491" s="376"/>
      <c r="C491" s="377"/>
      <c r="D491" s="378"/>
      <c r="E491" s="376"/>
      <c r="F491" s="376"/>
      <c r="G491" s="376"/>
      <c r="H491" s="376"/>
    </row>
    <row r="492" spans="1:8" s="379" customFormat="1">
      <c r="A492" s="376"/>
      <c r="B492" s="376"/>
      <c r="C492" s="377"/>
      <c r="D492" s="378"/>
      <c r="E492" s="376"/>
      <c r="F492" s="376"/>
      <c r="G492" s="376"/>
      <c r="H492" s="376"/>
    </row>
    <row r="493" spans="1:8" s="379" customFormat="1">
      <c r="A493" s="376"/>
      <c r="B493" s="376"/>
      <c r="C493" s="377"/>
      <c r="D493" s="378"/>
      <c r="E493" s="376"/>
      <c r="F493" s="376"/>
      <c r="G493" s="376"/>
      <c r="H493" s="376"/>
    </row>
    <row r="494" spans="1:8" s="379" customFormat="1">
      <c r="A494" s="376"/>
      <c r="B494" s="376"/>
      <c r="C494" s="377"/>
      <c r="D494" s="378"/>
      <c r="E494" s="376"/>
      <c r="F494" s="376"/>
      <c r="G494" s="376"/>
      <c r="H494" s="376"/>
    </row>
    <row r="495" spans="1:8" s="379" customFormat="1">
      <c r="A495" s="376"/>
      <c r="B495" s="376"/>
      <c r="C495" s="377"/>
      <c r="D495" s="378"/>
      <c r="E495" s="376"/>
      <c r="F495" s="376"/>
      <c r="G495" s="376"/>
      <c r="H495" s="376"/>
    </row>
    <row r="496" spans="1:8" s="379" customFormat="1">
      <c r="A496" s="376"/>
      <c r="B496" s="376"/>
      <c r="C496" s="377"/>
      <c r="D496" s="378"/>
      <c r="E496" s="376"/>
      <c r="F496" s="376"/>
      <c r="G496" s="376"/>
      <c r="H496" s="376"/>
    </row>
    <row r="497" spans="1:8" s="379" customFormat="1">
      <c r="A497" s="376"/>
      <c r="B497" s="376"/>
      <c r="C497" s="377"/>
      <c r="D497" s="378"/>
      <c r="E497" s="376"/>
      <c r="F497" s="376"/>
      <c r="G497" s="376"/>
      <c r="H497" s="376"/>
    </row>
    <row r="498" spans="1:8" s="379" customFormat="1">
      <c r="A498" s="376"/>
      <c r="B498" s="376"/>
      <c r="C498" s="377"/>
      <c r="D498" s="378"/>
      <c r="E498" s="376"/>
      <c r="F498" s="376"/>
      <c r="G498" s="376"/>
      <c r="H498" s="376"/>
    </row>
    <row r="499" spans="1:8" s="379" customFormat="1">
      <c r="A499" s="376"/>
      <c r="B499" s="376"/>
      <c r="C499" s="377"/>
      <c r="D499" s="378"/>
      <c r="E499" s="376"/>
      <c r="F499" s="376"/>
      <c r="G499" s="376"/>
      <c r="H499" s="376"/>
    </row>
    <row r="500" spans="1:8" s="379" customFormat="1">
      <c r="A500" s="376"/>
      <c r="B500" s="376"/>
      <c r="C500" s="377"/>
      <c r="D500" s="378"/>
      <c r="E500" s="376"/>
      <c r="F500" s="376"/>
      <c r="G500" s="376"/>
      <c r="H500" s="376"/>
    </row>
    <row r="501" spans="1:8" s="379" customFormat="1">
      <c r="A501" s="376"/>
      <c r="B501" s="376"/>
      <c r="C501" s="377"/>
      <c r="D501" s="378"/>
      <c r="E501" s="376"/>
      <c r="F501" s="376"/>
      <c r="G501" s="376"/>
      <c r="H501" s="376"/>
    </row>
    <row r="502" spans="1:8" s="379" customFormat="1">
      <c r="A502" s="376"/>
      <c r="B502" s="376"/>
      <c r="C502" s="377"/>
      <c r="D502" s="378"/>
      <c r="E502" s="376"/>
      <c r="F502" s="376"/>
      <c r="G502" s="376"/>
      <c r="H502" s="376"/>
    </row>
    <row r="503" spans="1:8" s="379" customFormat="1">
      <c r="A503" s="376"/>
      <c r="B503" s="376"/>
      <c r="C503" s="377"/>
      <c r="D503" s="378"/>
      <c r="E503" s="376"/>
      <c r="F503" s="376"/>
      <c r="G503" s="376"/>
      <c r="H503" s="376"/>
    </row>
    <row r="504" spans="1:8" s="379" customFormat="1">
      <c r="A504" s="376"/>
      <c r="B504" s="376"/>
      <c r="C504" s="377"/>
      <c r="D504" s="378"/>
      <c r="E504" s="376"/>
      <c r="F504" s="376"/>
      <c r="G504" s="376"/>
      <c r="H504" s="376"/>
    </row>
    <row r="505" spans="1:8" s="379" customFormat="1">
      <c r="A505" s="376"/>
      <c r="B505" s="376"/>
      <c r="C505" s="377"/>
      <c r="D505" s="378"/>
      <c r="E505" s="376"/>
      <c r="F505" s="376"/>
      <c r="G505" s="376"/>
      <c r="H505" s="376"/>
    </row>
    <row r="506" spans="1:8" s="379" customFormat="1">
      <c r="A506" s="376"/>
      <c r="B506" s="376"/>
      <c r="C506" s="377"/>
      <c r="D506" s="378"/>
      <c r="E506" s="376"/>
      <c r="F506" s="376"/>
      <c r="G506" s="376"/>
      <c r="H506" s="376"/>
    </row>
    <row r="507" spans="1:8" s="379" customFormat="1">
      <c r="A507" s="376"/>
      <c r="B507" s="376"/>
      <c r="C507" s="377"/>
      <c r="D507" s="378"/>
      <c r="E507" s="376"/>
      <c r="F507" s="376"/>
      <c r="G507" s="376"/>
      <c r="H507" s="376"/>
    </row>
    <row r="508" spans="1:8" s="379" customFormat="1">
      <c r="A508" s="376"/>
      <c r="B508" s="376"/>
      <c r="C508" s="377"/>
      <c r="D508" s="378"/>
      <c r="E508" s="376"/>
      <c r="F508" s="376"/>
      <c r="G508" s="376"/>
      <c r="H508" s="376"/>
    </row>
    <row r="509" spans="1:8" s="379" customFormat="1">
      <c r="A509" s="376"/>
      <c r="B509" s="376"/>
      <c r="C509" s="377"/>
      <c r="D509" s="378"/>
      <c r="E509" s="376"/>
      <c r="F509" s="376"/>
      <c r="G509" s="376"/>
      <c r="H509" s="376"/>
    </row>
    <row r="510" spans="1:8" s="379" customFormat="1">
      <c r="A510" s="376"/>
      <c r="B510" s="376"/>
      <c r="C510" s="377"/>
      <c r="D510" s="378"/>
      <c r="E510" s="376"/>
      <c r="F510" s="376"/>
      <c r="G510" s="376"/>
      <c r="H510" s="376"/>
    </row>
    <row r="511" spans="1:8" s="379" customFormat="1">
      <c r="A511" s="376"/>
      <c r="B511" s="376"/>
      <c r="C511" s="377"/>
      <c r="D511" s="378"/>
      <c r="E511" s="376"/>
      <c r="F511" s="376"/>
      <c r="G511" s="376"/>
      <c r="H511" s="376"/>
    </row>
    <row r="512" spans="1:8" s="379" customFormat="1">
      <c r="A512" s="376"/>
      <c r="B512" s="376"/>
      <c r="C512" s="377"/>
      <c r="D512" s="378"/>
      <c r="E512" s="376"/>
      <c r="F512" s="376"/>
      <c r="G512" s="376"/>
      <c r="H512" s="376"/>
    </row>
    <row r="513" spans="1:8" s="379" customFormat="1">
      <c r="A513" s="376"/>
      <c r="B513" s="376"/>
      <c r="C513" s="377"/>
      <c r="D513" s="378"/>
      <c r="E513" s="376"/>
      <c r="F513" s="376"/>
      <c r="G513" s="376"/>
      <c r="H513" s="376"/>
    </row>
    <row r="514" spans="1:8" s="379" customFormat="1">
      <c r="A514" s="376"/>
      <c r="B514" s="376"/>
      <c r="C514" s="377"/>
      <c r="D514" s="378"/>
      <c r="E514" s="376"/>
      <c r="F514" s="376"/>
      <c r="G514" s="376"/>
      <c r="H514" s="376"/>
    </row>
    <row r="515" spans="1:8" s="379" customFormat="1">
      <c r="A515" s="376"/>
      <c r="B515" s="376"/>
      <c r="C515" s="377"/>
      <c r="D515" s="378"/>
      <c r="E515" s="376"/>
      <c r="F515" s="376"/>
      <c r="G515" s="376"/>
      <c r="H515" s="376"/>
    </row>
    <row r="516" spans="1:8" s="379" customFormat="1">
      <c r="A516" s="376"/>
      <c r="B516" s="376"/>
      <c r="C516" s="377"/>
      <c r="D516" s="378"/>
      <c r="E516" s="376"/>
      <c r="F516" s="376"/>
      <c r="G516" s="376"/>
      <c r="H516" s="376"/>
    </row>
    <row r="517" spans="1:8" s="379" customFormat="1">
      <c r="A517" s="376"/>
      <c r="B517" s="376"/>
      <c r="C517" s="377"/>
      <c r="D517" s="378"/>
      <c r="E517" s="376"/>
      <c r="F517" s="376"/>
      <c r="G517" s="376"/>
      <c r="H517" s="376"/>
    </row>
    <row r="518" spans="1:8" s="379" customFormat="1">
      <c r="A518" s="376"/>
      <c r="B518" s="376"/>
      <c r="C518" s="377"/>
      <c r="D518" s="378"/>
      <c r="E518" s="376"/>
      <c r="F518" s="376"/>
      <c r="G518" s="376"/>
      <c r="H518" s="376"/>
    </row>
    <row r="519" spans="1:8" s="379" customFormat="1">
      <c r="A519" s="376"/>
      <c r="B519" s="376"/>
      <c r="C519" s="377"/>
      <c r="D519" s="378"/>
      <c r="E519" s="376"/>
      <c r="F519" s="376"/>
      <c r="G519" s="376"/>
      <c r="H519" s="376"/>
    </row>
    <row r="520" spans="1:8" s="379" customFormat="1">
      <c r="A520" s="376"/>
      <c r="B520" s="376"/>
      <c r="C520" s="377"/>
      <c r="D520" s="378"/>
      <c r="E520" s="376"/>
      <c r="F520" s="376"/>
      <c r="G520" s="376"/>
      <c r="H520" s="376"/>
    </row>
    <row r="521" spans="1:8" s="379" customFormat="1">
      <c r="A521" s="376"/>
      <c r="B521" s="376"/>
      <c r="C521" s="377"/>
      <c r="D521" s="378"/>
      <c r="E521" s="376"/>
      <c r="F521" s="376"/>
      <c r="G521" s="376"/>
      <c r="H521" s="376"/>
    </row>
    <row r="522" spans="1:8" s="379" customFormat="1">
      <c r="A522" s="376"/>
      <c r="B522" s="376"/>
      <c r="C522" s="377"/>
      <c r="D522" s="378"/>
      <c r="E522" s="376"/>
      <c r="F522" s="376"/>
      <c r="G522" s="376"/>
      <c r="H522" s="376"/>
    </row>
    <row r="523" spans="1:8" s="379" customFormat="1">
      <c r="A523" s="376"/>
      <c r="B523" s="376"/>
      <c r="C523" s="377"/>
      <c r="D523" s="378"/>
      <c r="E523" s="376"/>
      <c r="F523" s="376"/>
      <c r="G523" s="376"/>
      <c r="H523" s="376"/>
    </row>
    <row r="524" spans="1:8" s="379" customFormat="1">
      <c r="A524" s="376"/>
      <c r="B524" s="376"/>
      <c r="C524" s="377"/>
      <c r="D524" s="378"/>
      <c r="E524" s="376"/>
      <c r="F524" s="376"/>
      <c r="G524" s="376"/>
      <c r="H524" s="376"/>
    </row>
    <row r="525" spans="1:8" s="379" customFormat="1">
      <c r="A525" s="376"/>
      <c r="B525" s="376"/>
      <c r="C525" s="377"/>
      <c r="D525" s="378"/>
      <c r="E525" s="376"/>
      <c r="F525" s="376"/>
      <c r="G525" s="376"/>
      <c r="H525" s="376"/>
    </row>
    <row r="526" spans="1:8" s="379" customFormat="1">
      <c r="A526" s="376"/>
      <c r="B526" s="376"/>
      <c r="C526" s="377"/>
      <c r="D526" s="378"/>
      <c r="E526" s="376"/>
      <c r="F526" s="376"/>
      <c r="G526" s="376"/>
      <c r="H526" s="376"/>
    </row>
    <row r="527" spans="1:8" s="379" customFormat="1">
      <c r="A527" s="376"/>
      <c r="B527" s="376"/>
      <c r="C527" s="377"/>
      <c r="D527" s="378"/>
      <c r="E527" s="376"/>
      <c r="F527" s="376"/>
      <c r="G527" s="376"/>
      <c r="H527" s="376"/>
    </row>
    <row r="528" spans="1:8" s="379" customFormat="1">
      <c r="A528" s="376"/>
      <c r="B528" s="376"/>
      <c r="C528" s="377"/>
      <c r="D528" s="378"/>
      <c r="E528" s="376"/>
      <c r="F528" s="376"/>
      <c r="G528" s="376"/>
      <c r="H528" s="376"/>
    </row>
    <row r="529" spans="1:8" s="379" customFormat="1">
      <c r="A529" s="376"/>
      <c r="B529" s="376"/>
      <c r="C529" s="377"/>
      <c r="D529" s="378"/>
      <c r="E529" s="376"/>
      <c r="F529" s="376"/>
      <c r="G529" s="376"/>
      <c r="H529" s="376"/>
    </row>
    <row r="530" spans="1:8" s="379" customFormat="1">
      <c r="A530" s="376"/>
      <c r="B530" s="376"/>
      <c r="C530" s="377"/>
      <c r="D530" s="378"/>
      <c r="E530" s="376"/>
      <c r="F530" s="376"/>
      <c r="G530" s="376"/>
      <c r="H530" s="376"/>
    </row>
    <row r="531" spans="1:8" s="379" customFormat="1">
      <c r="A531" s="376"/>
      <c r="B531" s="376"/>
      <c r="C531" s="377"/>
      <c r="D531" s="378"/>
      <c r="E531" s="376"/>
      <c r="F531" s="376"/>
      <c r="G531" s="376"/>
      <c r="H531" s="376"/>
    </row>
    <row r="532" spans="1:8" s="379" customFormat="1">
      <c r="A532" s="376"/>
      <c r="B532" s="376"/>
      <c r="C532" s="377"/>
      <c r="D532" s="378"/>
      <c r="E532" s="376"/>
      <c r="F532" s="376"/>
      <c r="G532" s="376"/>
      <c r="H532" s="376"/>
    </row>
    <row r="533" spans="1:8" s="379" customFormat="1">
      <c r="A533" s="376"/>
      <c r="B533" s="376"/>
      <c r="C533" s="377"/>
      <c r="D533" s="378"/>
      <c r="E533" s="376"/>
      <c r="F533" s="376"/>
      <c r="G533" s="376"/>
      <c r="H533" s="376"/>
    </row>
    <row r="534" spans="1:8" s="379" customFormat="1">
      <c r="A534" s="376"/>
      <c r="B534" s="376"/>
      <c r="C534" s="377"/>
      <c r="D534" s="378"/>
      <c r="E534" s="376"/>
      <c r="F534" s="376"/>
      <c r="G534" s="376"/>
      <c r="H534" s="376"/>
    </row>
    <row r="535" spans="1:8" s="379" customFormat="1">
      <c r="A535" s="376"/>
      <c r="B535" s="376"/>
      <c r="C535" s="377"/>
      <c r="D535" s="378"/>
      <c r="E535" s="376"/>
      <c r="F535" s="376"/>
      <c r="G535" s="376"/>
      <c r="H535" s="376"/>
    </row>
    <row r="536" spans="1:8" s="379" customFormat="1">
      <c r="A536" s="376"/>
      <c r="B536" s="376"/>
      <c r="C536" s="377"/>
      <c r="D536" s="378"/>
      <c r="E536" s="376"/>
      <c r="F536" s="376"/>
      <c r="G536" s="376"/>
      <c r="H536" s="376"/>
    </row>
    <row r="537" spans="1:8" s="379" customFormat="1">
      <c r="A537" s="376"/>
      <c r="B537" s="376"/>
      <c r="C537" s="377"/>
      <c r="D537" s="378"/>
      <c r="E537" s="376"/>
      <c r="F537" s="376"/>
      <c r="G537" s="376"/>
      <c r="H537" s="376"/>
    </row>
    <row r="538" spans="1:8" s="379" customFormat="1">
      <c r="A538" s="376"/>
      <c r="B538" s="376"/>
      <c r="C538" s="377"/>
      <c r="D538" s="378"/>
      <c r="E538" s="376"/>
      <c r="F538" s="376"/>
      <c r="G538" s="376"/>
      <c r="H538" s="376"/>
    </row>
    <row r="539" spans="1:8" s="379" customFormat="1">
      <c r="A539" s="376"/>
      <c r="B539" s="376"/>
      <c r="C539" s="377"/>
      <c r="D539" s="378"/>
      <c r="E539" s="376"/>
      <c r="F539" s="376"/>
      <c r="G539" s="376"/>
      <c r="H539" s="376"/>
    </row>
    <row r="540" spans="1:8" s="379" customFormat="1">
      <c r="A540" s="376"/>
      <c r="B540" s="376"/>
      <c r="C540" s="377"/>
      <c r="D540" s="378"/>
      <c r="E540" s="376"/>
      <c r="F540" s="376"/>
      <c r="G540" s="376"/>
      <c r="H540" s="376"/>
    </row>
    <row r="541" spans="1:8" s="379" customFormat="1">
      <c r="A541" s="376"/>
      <c r="B541" s="376"/>
      <c r="C541" s="377"/>
      <c r="D541" s="378"/>
      <c r="E541" s="376"/>
      <c r="F541" s="376"/>
      <c r="G541" s="376"/>
      <c r="H541" s="376"/>
    </row>
    <row r="542" spans="1:8" s="379" customFormat="1">
      <c r="A542" s="376"/>
      <c r="B542" s="376"/>
      <c r="C542" s="377"/>
      <c r="D542" s="378"/>
      <c r="E542" s="376"/>
      <c r="F542" s="376"/>
      <c r="G542" s="376"/>
      <c r="H542" s="376"/>
    </row>
    <row r="543" spans="1:8" s="379" customFormat="1">
      <c r="A543" s="376"/>
      <c r="B543" s="376"/>
      <c r="C543" s="377"/>
      <c r="D543" s="378"/>
      <c r="E543" s="376"/>
      <c r="F543" s="376"/>
      <c r="G543" s="376"/>
      <c r="H543" s="376"/>
    </row>
    <row r="544" spans="1:8" s="379" customFormat="1">
      <c r="A544" s="376"/>
      <c r="B544" s="376"/>
      <c r="C544" s="377"/>
      <c r="D544" s="378"/>
      <c r="E544" s="376"/>
      <c r="F544" s="376"/>
      <c r="G544" s="376"/>
      <c r="H544" s="376"/>
    </row>
    <row r="545" spans="1:8" s="379" customFormat="1">
      <c r="A545" s="376"/>
      <c r="B545" s="376"/>
      <c r="C545" s="377"/>
      <c r="D545" s="378"/>
      <c r="E545" s="376"/>
      <c r="F545" s="376"/>
      <c r="G545" s="376"/>
      <c r="H545" s="376"/>
    </row>
    <row r="546" spans="1:8" s="379" customFormat="1">
      <c r="A546" s="376"/>
      <c r="B546" s="376"/>
      <c r="C546" s="377"/>
      <c r="D546" s="378"/>
      <c r="E546" s="376"/>
      <c r="F546" s="376"/>
      <c r="G546" s="376"/>
      <c r="H546" s="376"/>
    </row>
    <row r="547" spans="1:8" s="379" customFormat="1">
      <c r="A547" s="376"/>
      <c r="B547" s="376"/>
      <c r="C547" s="377"/>
      <c r="D547" s="378"/>
      <c r="E547" s="376"/>
      <c r="F547" s="376"/>
      <c r="G547" s="376"/>
      <c r="H547" s="376"/>
    </row>
    <row r="548" spans="1:8" s="379" customFormat="1">
      <c r="A548" s="376"/>
      <c r="B548" s="376"/>
      <c r="C548" s="377"/>
      <c r="D548" s="378"/>
      <c r="E548" s="376"/>
      <c r="F548" s="376"/>
      <c r="G548" s="376"/>
      <c r="H548" s="376"/>
    </row>
    <row r="549" spans="1:8" s="379" customFormat="1">
      <c r="A549" s="376"/>
      <c r="B549" s="376"/>
      <c r="C549" s="377"/>
      <c r="D549" s="378"/>
      <c r="E549" s="376"/>
      <c r="F549" s="376"/>
      <c r="G549" s="376"/>
      <c r="H549" s="376"/>
    </row>
    <row r="550" spans="1:8" s="379" customFormat="1">
      <c r="A550" s="376"/>
      <c r="B550" s="376"/>
      <c r="C550" s="377"/>
      <c r="D550" s="378"/>
      <c r="E550" s="376"/>
      <c r="F550" s="376"/>
      <c r="G550" s="376"/>
      <c r="H550" s="376"/>
    </row>
    <row r="551" spans="1:8" s="379" customFormat="1">
      <c r="A551" s="376"/>
      <c r="B551" s="376"/>
      <c r="C551" s="377"/>
      <c r="D551" s="378"/>
      <c r="E551" s="376"/>
      <c r="F551" s="376"/>
      <c r="G551" s="376"/>
      <c r="H551" s="376"/>
    </row>
    <row r="552" spans="1:8" s="379" customFormat="1">
      <c r="A552" s="376"/>
      <c r="B552" s="376"/>
      <c r="C552" s="377"/>
      <c r="D552" s="378"/>
      <c r="E552" s="376"/>
      <c r="F552" s="376"/>
      <c r="G552" s="376"/>
      <c r="H552" s="376"/>
    </row>
    <row r="553" spans="1:8" s="379" customFormat="1">
      <c r="A553" s="376"/>
      <c r="B553" s="376"/>
      <c r="C553" s="377"/>
      <c r="D553" s="378"/>
      <c r="E553" s="376"/>
      <c r="F553" s="376"/>
      <c r="G553" s="376"/>
      <c r="H553" s="376"/>
    </row>
    <row r="554" spans="1:8" s="379" customFormat="1">
      <c r="A554" s="376"/>
      <c r="B554" s="376"/>
      <c r="C554" s="377"/>
      <c r="D554" s="378"/>
      <c r="E554" s="376"/>
      <c r="F554" s="376"/>
      <c r="G554" s="376"/>
      <c r="H554" s="376"/>
    </row>
    <row r="555" spans="1:8" s="379" customFormat="1">
      <c r="A555" s="376"/>
      <c r="B555" s="376"/>
      <c r="C555" s="377"/>
      <c r="D555" s="378"/>
      <c r="E555" s="376"/>
      <c r="F555" s="376"/>
      <c r="G555" s="376"/>
      <c r="H555" s="376"/>
    </row>
    <row r="556" spans="1:8" s="379" customFormat="1">
      <c r="A556" s="376"/>
      <c r="B556" s="376"/>
      <c r="C556" s="377"/>
      <c r="D556" s="378"/>
      <c r="E556" s="376"/>
      <c r="F556" s="376"/>
      <c r="G556" s="376"/>
      <c r="H556" s="376"/>
    </row>
    <row r="557" spans="1:8" s="379" customFormat="1">
      <c r="A557" s="376"/>
      <c r="B557" s="376"/>
      <c r="C557" s="377"/>
      <c r="D557" s="378"/>
      <c r="E557" s="376"/>
      <c r="F557" s="376"/>
      <c r="G557" s="376"/>
      <c r="H557" s="376"/>
    </row>
    <row r="558" spans="1:8" s="379" customFormat="1">
      <c r="A558" s="376"/>
      <c r="B558" s="376"/>
      <c r="C558" s="377"/>
      <c r="D558" s="378"/>
      <c r="E558" s="376"/>
      <c r="F558" s="376"/>
      <c r="G558" s="376"/>
      <c r="H558" s="376"/>
    </row>
    <row r="559" spans="1:8" s="379" customFormat="1">
      <c r="A559" s="376"/>
      <c r="B559" s="376"/>
      <c r="C559" s="377"/>
      <c r="D559" s="378"/>
      <c r="E559" s="376"/>
      <c r="F559" s="376"/>
      <c r="G559" s="376"/>
      <c r="H559" s="376"/>
    </row>
    <row r="560" spans="1:8" s="379" customFormat="1">
      <c r="A560" s="376"/>
      <c r="B560" s="376"/>
      <c r="C560" s="377"/>
      <c r="D560" s="378"/>
      <c r="E560" s="376"/>
      <c r="F560" s="376"/>
      <c r="G560" s="376"/>
      <c r="H560" s="376"/>
    </row>
    <row r="561" spans="1:8" s="379" customFormat="1">
      <c r="A561" s="376"/>
      <c r="B561" s="376"/>
      <c r="C561" s="377"/>
      <c r="D561" s="378"/>
      <c r="E561" s="376"/>
      <c r="F561" s="376"/>
      <c r="G561" s="376"/>
      <c r="H561" s="376"/>
    </row>
    <row r="562" spans="1:8" s="379" customFormat="1">
      <c r="A562" s="376"/>
      <c r="B562" s="376"/>
      <c r="C562" s="377"/>
      <c r="D562" s="378"/>
      <c r="E562" s="376"/>
      <c r="F562" s="376"/>
      <c r="G562" s="376"/>
      <c r="H562" s="376"/>
    </row>
    <row r="563" spans="1:8" s="379" customFormat="1">
      <c r="A563" s="376"/>
      <c r="B563" s="376"/>
      <c r="C563" s="377"/>
      <c r="D563" s="378"/>
      <c r="E563" s="376"/>
      <c r="F563" s="376"/>
      <c r="G563" s="376"/>
      <c r="H563" s="376"/>
    </row>
    <row r="564" spans="1:8" s="379" customFormat="1">
      <c r="A564" s="376"/>
      <c r="B564" s="376"/>
      <c r="C564" s="377"/>
      <c r="D564" s="378"/>
      <c r="E564" s="376"/>
      <c r="F564" s="376"/>
      <c r="G564" s="376"/>
      <c r="H564" s="376"/>
    </row>
    <row r="565" spans="1:8" s="379" customFormat="1">
      <c r="A565" s="376"/>
      <c r="B565" s="376"/>
      <c r="C565" s="377"/>
      <c r="D565" s="378"/>
      <c r="E565" s="376"/>
      <c r="F565" s="376"/>
      <c r="G565" s="376"/>
      <c r="H565" s="376"/>
    </row>
    <row r="566" spans="1:8" s="379" customFormat="1">
      <c r="A566" s="376"/>
      <c r="B566" s="376"/>
      <c r="C566" s="377"/>
      <c r="D566" s="378"/>
      <c r="E566" s="376"/>
      <c r="F566" s="376"/>
      <c r="G566" s="376"/>
      <c r="H566" s="376"/>
    </row>
    <row r="567" spans="1:8" s="379" customFormat="1">
      <c r="A567" s="376"/>
      <c r="B567" s="376"/>
      <c r="C567" s="377"/>
      <c r="D567" s="378"/>
      <c r="E567" s="376"/>
      <c r="F567" s="376"/>
      <c r="G567" s="376"/>
      <c r="H567" s="376"/>
    </row>
    <row r="568" spans="1:8" s="379" customFormat="1">
      <c r="A568" s="376"/>
      <c r="B568" s="376"/>
      <c r="C568" s="377"/>
      <c r="D568" s="378"/>
      <c r="E568" s="376"/>
      <c r="F568" s="376"/>
      <c r="G568" s="376"/>
      <c r="H568" s="376"/>
    </row>
    <row r="569" spans="1:8" s="379" customFormat="1">
      <c r="A569" s="376"/>
      <c r="B569" s="376"/>
      <c r="C569" s="377"/>
      <c r="D569" s="378"/>
      <c r="E569" s="376"/>
      <c r="F569" s="376"/>
      <c r="G569" s="376"/>
      <c r="H569" s="376"/>
    </row>
    <row r="570" spans="1:8" s="379" customFormat="1">
      <c r="A570" s="376"/>
      <c r="B570" s="376"/>
      <c r="C570" s="377"/>
      <c r="D570" s="378"/>
      <c r="E570" s="376"/>
      <c r="F570" s="376"/>
      <c r="G570" s="376"/>
      <c r="H570" s="376"/>
    </row>
    <row r="571" spans="1:8" s="379" customFormat="1">
      <c r="A571" s="376"/>
      <c r="B571" s="376"/>
      <c r="C571" s="377"/>
      <c r="D571" s="378"/>
      <c r="E571" s="376"/>
      <c r="F571" s="376"/>
      <c r="G571" s="376"/>
      <c r="H571" s="376"/>
    </row>
    <row r="572" spans="1:8" s="379" customFormat="1">
      <c r="A572" s="376"/>
      <c r="B572" s="376"/>
      <c r="C572" s="377"/>
      <c r="D572" s="378"/>
      <c r="E572" s="376"/>
      <c r="F572" s="376"/>
      <c r="G572" s="376"/>
      <c r="H572" s="376"/>
    </row>
    <row r="573" spans="1:8" s="379" customFormat="1">
      <c r="A573" s="376"/>
      <c r="B573" s="376"/>
      <c r="C573" s="377"/>
      <c r="D573" s="378"/>
      <c r="E573" s="376"/>
      <c r="F573" s="376"/>
      <c r="G573" s="376"/>
      <c r="H573" s="376"/>
    </row>
    <row r="574" spans="1:8" s="379" customFormat="1">
      <c r="A574" s="376"/>
      <c r="B574" s="376"/>
      <c r="C574" s="377"/>
      <c r="D574" s="378"/>
      <c r="E574" s="376"/>
      <c r="F574" s="376"/>
      <c r="G574" s="376"/>
      <c r="H574" s="376"/>
    </row>
    <row r="575" spans="1:8" s="379" customFormat="1">
      <c r="A575" s="376"/>
      <c r="B575" s="376"/>
      <c r="C575" s="377"/>
      <c r="D575" s="378"/>
      <c r="E575" s="376"/>
      <c r="F575" s="376"/>
      <c r="G575" s="376"/>
      <c r="H575" s="376"/>
    </row>
    <row r="576" spans="1:8" s="379" customFormat="1">
      <c r="A576" s="376"/>
      <c r="B576" s="376"/>
      <c r="C576" s="377"/>
      <c r="D576" s="378"/>
      <c r="E576" s="376"/>
      <c r="F576" s="376"/>
      <c r="G576" s="376"/>
      <c r="H576" s="376"/>
    </row>
    <row r="577" spans="1:8" s="379" customFormat="1">
      <c r="A577" s="376"/>
      <c r="B577" s="376"/>
      <c r="C577" s="377"/>
      <c r="D577" s="378"/>
      <c r="E577" s="376"/>
      <c r="F577" s="376"/>
      <c r="G577" s="376"/>
      <c r="H577" s="376"/>
    </row>
    <row r="578" spans="1:8" s="379" customFormat="1">
      <c r="A578" s="376"/>
      <c r="B578" s="376"/>
      <c r="C578" s="377"/>
      <c r="D578" s="378"/>
      <c r="E578" s="376"/>
      <c r="F578" s="376"/>
      <c r="G578" s="376"/>
      <c r="H578" s="376"/>
    </row>
    <row r="579" spans="1:8" s="379" customFormat="1">
      <c r="A579" s="376"/>
      <c r="B579" s="376"/>
      <c r="C579" s="377"/>
      <c r="D579" s="378"/>
      <c r="E579" s="376"/>
      <c r="F579" s="376"/>
      <c r="G579" s="376"/>
      <c r="H579" s="376"/>
    </row>
    <row r="580" spans="1:8" s="379" customFormat="1">
      <c r="A580" s="376"/>
      <c r="B580" s="376"/>
      <c r="C580" s="377"/>
      <c r="D580" s="378"/>
      <c r="E580" s="376"/>
      <c r="F580" s="376"/>
      <c r="G580" s="376"/>
      <c r="H580" s="376"/>
    </row>
    <row r="581" spans="1:8" s="379" customFormat="1">
      <c r="A581" s="376"/>
      <c r="B581" s="376"/>
      <c r="C581" s="377"/>
      <c r="D581" s="378"/>
      <c r="E581" s="376"/>
      <c r="F581" s="376"/>
      <c r="G581" s="376"/>
      <c r="H581" s="376"/>
    </row>
    <row r="582" spans="1:8" s="379" customFormat="1">
      <c r="A582" s="376"/>
      <c r="B582" s="376"/>
      <c r="C582" s="377"/>
      <c r="D582" s="378"/>
      <c r="E582" s="376"/>
      <c r="F582" s="376"/>
      <c r="G582" s="376"/>
      <c r="H582" s="376"/>
    </row>
    <row r="583" spans="1:8" s="379" customFormat="1">
      <c r="A583" s="376"/>
      <c r="B583" s="376"/>
      <c r="C583" s="377"/>
      <c r="D583" s="378"/>
      <c r="E583" s="376"/>
      <c r="F583" s="376"/>
      <c r="G583" s="376"/>
      <c r="H583" s="376"/>
    </row>
    <row r="584" spans="1:8" s="379" customFormat="1">
      <c r="A584" s="376"/>
      <c r="B584" s="376"/>
      <c r="C584" s="377"/>
      <c r="D584" s="378"/>
      <c r="E584" s="376"/>
      <c r="F584" s="376"/>
      <c r="G584" s="376"/>
      <c r="H584" s="376"/>
    </row>
    <row r="585" spans="1:8" s="379" customFormat="1">
      <c r="A585" s="376"/>
      <c r="B585" s="376"/>
      <c r="C585" s="377"/>
      <c r="D585" s="378"/>
      <c r="E585" s="376"/>
      <c r="F585" s="376"/>
      <c r="G585" s="376"/>
      <c r="H585" s="376"/>
    </row>
    <row r="586" spans="1:8" s="379" customFormat="1">
      <c r="A586" s="376"/>
      <c r="B586" s="376"/>
      <c r="C586" s="377"/>
      <c r="D586" s="378"/>
      <c r="E586" s="376"/>
      <c r="F586" s="376"/>
      <c r="G586" s="376"/>
      <c r="H586" s="376"/>
    </row>
    <row r="587" spans="1:8" s="379" customFormat="1">
      <c r="A587" s="376"/>
      <c r="B587" s="376"/>
      <c r="C587" s="377"/>
      <c r="D587" s="378"/>
      <c r="E587" s="376"/>
      <c r="F587" s="376"/>
      <c r="G587" s="376"/>
      <c r="H587" s="376"/>
    </row>
    <row r="588" spans="1:8" s="379" customFormat="1">
      <c r="A588" s="376"/>
      <c r="B588" s="376"/>
      <c r="C588" s="377"/>
      <c r="D588" s="378"/>
      <c r="E588" s="376"/>
      <c r="F588" s="376"/>
      <c r="G588" s="376"/>
      <c r="H588" s="376"/>
    </row>
    <row r="589" spans="1:8" s="379" customFormat="1">
      <c r="A589" s="376"/>
      <c r="B589" s="376"/>
      <c r="C589" s="377"/>
      <c r="D589" s="378"/>
      <c r="E589" s="376"/>
      <c r="F589" s="376"/>
      <c r="G589" s="376"/>
      <c r="H589" s="376"/>
    </row>
    <row r="590" spans="1:8" s="379" customFormat="1">
      <c r="A590" s="376"/>
      <c r="B590" s="376"/>
      <c r="C590" s="377"/>
      <c r="D590" s="378"/>
      <c r="E590" s="376"/>
      <c r="F590" s="376"/>
      <c r="G590" s="376"/>
      <c r="H590" s="376"/>
    </row>
    <row r="591" spans="1:8" s="379" customFormat="1">
      <c r="A591" s="376"/>
      <c r="B591" s="376"/>
      <c r="C591" s="377"/>
      <c r="D591" s="378"/>
      <c r="E591" s="376"/>
      <c r="F591" s="376"/>
      <c r="G591" s="376"/>
      <c r="H591" s="376"/>
    </row>
    <row r="592" spans="1:8" s="379" customFormat="1">
      <c r="A592" s="376"/>
      <c r="B592" s="376"/>
      <c r="C592" s="377"/>
      <c r="D592" s="378"/>
      <c r="E592" s="376"/>
      <c r="F592" s="376"/>
      <c r="G592" s="376"/>
      <c r="H592" s="376"/>
    </row>
    <row r="593" spans="1:8" s="379" customFormat="1">
      <c r="A593" s="376"/>
      <c r="B593" s="376"/>
      <c r="C593" s="377"/>
      <c r="D593" s="378"/>
      <c r="E593" s="376"/>
      <c r="F593" s="376"/>
      <c r="G593" s="376"/>
      <c r="H593" s="376"/>
    </row>
    <row r="594" spans="1:8" s="379" customFormat="1">
      <c r="A594" s="376"/>
      <c r="B594" s="376"/>
      <c r="C594" s="377"/>
      <c r="D594" s="378"/>
      <c r="E594" s="376"/>
      <c r="F594" s="376"/>
      <c r="G594" s="376"/>
      <c r="H594" s="376"/>
    </row>
    <row r="595" spans="1:8" s="379" customFormat="1">
      <c r="A595" s="376"/>
      <c r="B595" s="376"/>
      <c r="C595" s="377"/>
      <c r="D595" s="378"/>
      <c r="E595" s="376"/>
      <c r="F595" s="376"/>
      <c r="G595" s="376"/>
      <c r="H595" s="376"/>
    </row>
    <row r="596" spans="1:8" s="379" customFormat="1">
      <c r="A596" s="376"/>
      <c r="B596" s="376"/>
      <c r="C596" s="377"/>
      <c r="D596" s="378"/>
      <c r="E596" s="376"/>
      <c r="F596" s="376"/>
      <c r="G596" s="376"/>
      <c r="H596" s="376"/>
    </row>
    <row r="597" spans="1:8" s="379" customFormat="1">
      <c r="A597" s="376"/>
      <c r="B597" s="376"/>
      <c r="C597" s="377"/>
      <c r="D597" s="378"/>
      <c r="E597" s="376"/>
      <c r="F597" s="376"/>
      <c r="G597" s="376"/>
      <c r="H597" s="376"/>
    </row>
    <row r="598" spans="1:8" s="379" customFormat="1">
      <c r="A598" s="376"/>
      <c r="B598" s="376"/>
      <c r="C598" s="377"/>
      <c r="D598" s="378"/>
      <c r="E598" s="376"/>
      <c r="F598" s="376"/>
      <c r="G598" s="376"/>
      <c r="H598" s="376"/>
    </row>
    <row r="599" spans="1:8" s="379" customFormat="1">
      <c r="A599" s="376"/>
      <c r="B599" s="376"/>
      <c r="C599" s="377"/>
      <c r="D599" s="378"/>
      <c r="E599" s="376"/>
      <c r="F599" s="376"/>
      <c r="G599" s="376"/>
      <c r="H599" s="376"/>
    </row>
    <row r="600" spans="1:8" s="379" customFormat="1">
      <c r="A600" s="376"/>
      <c r="B600" s="376"/>
      <c r="C600" s="377"/>
      <c r="D600" s="378"/>
      <c r="E600" s="376"/>
      <c r="F600" s="376"/>
      <c r="G600" s="376"/>
      <c r="H600" s="376"/>
    </row>
    <row r="601" spans="1:8" s="379" customFormat="1">
      <c r="A601" s="376"/>
      <c r="B601" s="376"/>
      <c r="C601" s="377"/>
      <c r="D601" s="378"/>
      <c r="E601" s="376"/>
      <c r="F601" s="376"/>
      <c r="G601" s="376"/>
      <c r="H601" s="376"/>
    </row>
    <row r="602" spans="1:8" s="379" customFormat="1">
      <c r="A602" s="376"/>
      <c r="B602" s="376"/>
      <c r="C602" s="377"/>
      <c r="D602" s="378"/>
      <c r="E602" s="376"/>
      <c r="F602" s="376"/>
      <c r="G602" s="376"/>
      <c r="H602" s="376"/>
    </row>
    <row r="603" spans="1:8" s="379" customFormat="1">
      <c r="A603" s="376"/>
      <c r="B603" s="376"/>
      <c r="C603" s="377"/>
      <c r="D603" s="378"/>
      <c r="E603" s="376"/>
      <c r="F603" s="376"/>
      <c r="G603" s="376"/>
      <c r="H603" s="376"/>
    </row>
    <row r="604" spans="1:8" s="379" customFormat="1">
      <c r="A604" s="376"/>
      <c r="B604" s="376"/>
      <c r="C604" s="377"/>
      <c r="D604" s="378"/>
      <c r="E604" s="376"/>
      <c r="F604" s="376"/>
      <c r="G604" s="376"/>
      <c r="H604" s="376"/>
    </row>
    <row r="605" spans="1:8" s="379" customFormat="1">
      <c r="A605" s="376"/>
      <c r="B605" s="376"/>
      <c r="C605" s="377"/>
      <c r="D605" s="378"/>
      <c r="E605" s="376"/>
      <c r="F605" s="376"/>
      <c r="G605" s="376"/>
      <c r="H605" s="376"/>
    </row>
    <row r="606" spans="1:8" s="379" customFormat="1">
      <c r="A606" s="376"/>
      <c r="B606" s="376"/>
      <c r="C606" s="377"/>
      <c r="D606" s="378"/>
      <c r="E606" s="376"/>
      <c r="F606" s="376"/>
      <c r="G606" s="376"/>
      <c r="H606" s="376"/>
    </row>
    <row r="607" spans="1:8" s="379" customFormat="1">
      <c r="A607" s="376"/>
      <c r="B607" s="376"/>
      <c r="C607" s="377"/>
      <c r="D607" s="378"/>
      <c r="E607" s="376"/>
      <c r="F607" s="376"/>
      <c r="G607" s="376"/>
      <c r="H607" s="376"/>
    </row>
    <row r="608" spans="1:8" s="379" customFormat="1">
      <c r="A608" s="376"/>
      <c r="B608" s="376"/>
      <c r="C608" s="377"/>
      <c r="D608" s="378"/>
      <c r="E608" s="376"/>
      <c r="F608" s="376"/>
      <c r="G608" s="376"/>
      <c r="H608" s="376"/>
    </row>
    <row r="609" spans="1:8" s="379" customFormat="1">
      <c r="A609" s="376"/>
      <c r="B609" s="376"/>
      <c r="C609" s="377"/>
      <c r="D609" s="378"/>
      <c r="E609" s="376"/>
      <c r="F609" s="376"/>
      <c r="G609" s="376"/>
      <c r="H609" s="376"/>
    </row>
    <row r="610" spans="1:8" s="379" customFormat="1">
      <c r="A610" s="376"/>
      <c r="B610" s="376"/>
      <c r="C610" s="377"/>
      <c r="D610" s="378"/>
      <c r="E610" s="376"/>
      <c r="F610" s="376"/>
      <c r="G610" s="376"/>
      <c r="H610" s="376"/>
    </row>
    <row r="611" spans="1:8" s="379" customFormat="1">
      <c r="A611" s="376"/>
      <c r="B611" s="376"/>
      <c r="C611" s="377"/>
      <c r="D611" s="378"/>
      <c r="E611" s="376"/>
      <c r="F611" s="376"/>
      <c r="G611" s="376"/>
      <c r="H611" s="376"/>
    </row>
    <row r="612" spans="1:8" s="379" customFormat="1">
      <c r="A612" s="376"/>
      <c r="B612" s="376"/>
      <c r="C612" s="377"/>
      <c r="D612" s="378"/>
      <c r="E612" s="376"/>
      <c r="F612" s="376"/>
      <c r="G612" s="376"/>
      <c r="H612" s="376"/>
    </row>
    <row r="613" spans="1:8" s="379" customFormat="1">
      <c r="A613" s="376"/>
      <c r="B613" s="376"/>
      <c r="C613" s="377"/>
      <c r="D613" s="378"/>
      <c r="E613" s="376"/>
      <c r="F613" s="376"/>
      <c r="G613" s="376"/>
      <c r="H613" s="376"/>
    </row>
    <row r="614" spans="1:8" s="379" customFormat="1">
      <c r="A614" s="376"/>
      <c r="B614" s="376"/>
      <c r="C614" s="377"/>
      <c r="D614" s="378"/>
      <c r="E614" s="376"/>
      <c r="F614" s="376"/>
      <c r="G614" s="376"/>
      <c r="H614" s="376"/>
    </row>
    <row r="615" spans="1:8" s="379" customFormat="1">
      <c r="A615" s="376"/>
      <c r="B615" s="376"/>
      <c r="C615" s="377"/>
      <c r="D615" s="378"/>
      <c r="E615" s="376"/>
      <c r="F615" s="376"/>
      <c r="G615" s="376"/>
      <c r="H615" s="376"/>
    </row>
    <row r="616" spans="1:8" s="379" customFormat="1">
      <c r="A616" s="376"/>
      <c r="B616" s="376"/>
      <c r="C616" s="377"/>
      <c r="D616" s="378"/>
      <c r="E616" s="376"/>
      <c r="F616" s="376"/>
      <c r="G616" s="376"/>
      <c r="H616" s="376"/>
    </row>
    <row r="617" spans="1:8" s="379" customFormat="1">
      <c r="A617" s="376"/>
      <c r="B617" s="376"/>
      <c r="C617" s="377"/>
      <c r="D617" s="378"/>
      <c r="E617" s="376"/>
      <c r="F617" s="376"/>
      <c r="G617" s="376"/>
      <c r="H617" s="376"/>
    </row>
    <row r="618" spans="1:8" s="379" customFormat="1">
      <c r="A618" s="376"/>
      <c r="B618" s="376"/>
      <c r="C618" s="377"/>
      <c r="D618" s="378"/>
      <c r="E618" s="376"/>
      <c r="F618" s="376"/>
      <c r="G618" s="376"/>
      <c r="H618" s="376"/>
    </row>
    <row r="619" spans="1:8" s="379" customFormat="1">
      <c r="A619" s="376"/>
      <c r="B619" s="376"/>
      <c r="C619" s="377"/>
      <c r="D619" s="378"/>
      <c r="E619" s="376"/>
      <c r="F619" s="376"/>
      <c r="G619" s="376"/>
      <c r="H619" s="376"/>
    </row>
    <row r="620" spans="1:8" s="379" customFormat="1">
      <c r="A620" s="376"/>
      <c r="B620" s="376"/>
      <c r="C620" s="377"/>
      <c r="D620" s="378"/>
      <c r="E620" s="376"/>
      <c r="F620" s="376"/>
      <c r="G620" s="376"/>
      <c r="H620" s="376"/>
    </row>
    <row r="621" spans="1:8" s="379" customFormat="1">
      <c r="A621" s="376"/>
      <c r="B621" s="376"/>
      <c r="C621" s="377"/>
      <c r="D621" s="378"/>
      <c r="E621" s="376"/>
      <c r="F621" s="376"/>
      <c r="G621" s="376"/>
      <c r="H621" s="376"/>
    </row>
    <row r="622" spans="1:8" s="379" customFormat="1">
      <c r="A622" s="376"/>
      <c r="B622" s="376"/>
      <c r="C622" s="377"/>
      <c r="D622" s="378"/>
      <c r="E622" s="376"/>
      <c r="F622" s="376"/>
      <c r="G622" s="376"/>
      <c r="H622" s="376"/>
    </row>
    <row r="623" spans="1:8" s="379" customFormat="1">
      <c r="A623" s="376"/>
      <c r="B623" s="376"/>
      <c r="C623" s="377"/>
      <c r="D623" s="378"/>
      <c r="E623" s="376"/>
      <c r="F623" s="376"/>
      <c r="G623" s="376"/>
      <c r="H623" s="376"/>
    </row>
    <row r="624" spans="1:8" s="379" customFormat="1">
      <c r="A624" s="376"/>
      <c r="B624" s="376"/>
      <c r="C624" s="377"/>
      <c r="D624" s="378"/>
      <c r="E624" s="376"/>
      <c r="F624" s="376"/>
      <c r="G624" s="376"/>
      <c r="H624" s="376"/>
    </row>
    <row r="625" spans="1:8" s="379" customFormat="1">
      <c r="A625" s="376"/>
      <c r="B625" s="376"/>
      <c r="C625" s="377"/>
      <c r="D625" s="378"/>
      <c r="E625" s="376"/>
      <c r="F625" s="376"/>
      <c r="G625" s="376"/>
      <c r="H625" s="376"/>
    </row>
    <row r="626" spans="1:8" s="379" customFormat="1">
      <c r="A626" s="376"/>
      <c r="B626" s="376"/>
      <c r="C626" s="377"/>
      <c r="D626" s="378"/>
      <c r="E626" s="376"/>
      <c r="F626" s="376"/>
      <c r="G626" s="376"/>
      <c r="H626" s="376"/>
    </row>
    <row r="627" spans="1:8" s="379" customFormat="1">
      <c r="A627" s="376"/>
      <c r="B627" s="376"/>
      <c r="C627" s="377"/>
      <c r="D627" s="378"/>
      <c r="E627" s="376"/>
      <c r="F627" s="376"/>
      <c r="G627" s="376"/>
      <c r="H627" s="376"/>
    </row>
    <row r="628" spans="1:8" s="379" customFormat="1">
      <c r="A628" s="376"/>
      <c r="B628" s="376"/>
      <c r="C628" s="377"/>
      <c r="D628" s="378"/>
      <c r="E628" s="376"/>
      <c r="F628" s="376"/>
      <c r="G628" s="376"/>
      <c r="H628" s="376"/>
    </row>
    <row r="629" spans="1:8" s="379" customFormat="1">
      <c r="A629" s="376"/>
      <c r="B629" s="376"/>
      <c r="C629" s="377"/>
      <c r="D629" s="378"/>
      <c r="E629" s="376"/>
      <c r="F629" s="376"/>
      <c r="G629" s="376"/>
      <c r="H629" s="376"/>
    </row>
    <row r="630" spans="1:8" s="379" customFormat="1">
      <c r="A630" s="376"/>
      <c r="B630" s="376"/>
      <c r="C630" s="377"/>
      <c r="D630" s="378"/>
      <c r="E630" s="376"/>
      <c r="F630" s="376"/>
      <c r="G630" s="376"/>
      <c r="H630" s="376"/>
    </row>
    <row r="631" spans="1:8" s="379" customFormat="1">
      <c r="A631" s="376"/>
      <c r="B631" s="376"/>
      <c r="C631" s="377"/>
      <c r="D631" s="378"/>
      <c r="E631" s="376"/>
      <c r="F631" s="376"/>
      <c r="G631" s="376"/>
      <c r="H631" s="376"/>
    </row>
    <row r="632" spans="1:8" s="379" customFormat="1">
      <c r="A632" s="376"/>
      <c r="B632" s="376"/>
      <c r="C632" s="377"/>
      <c r="D632" s="378"/>
      <c r="E632" s="376"/>
      <c r="F632" s="376"/>
      <c r="G632" s="376"/>
      <c r="H632" s="376"/>
    </row>
    <row r="633" spans="1:8" s="379" customFormat="1">
      <c r="A633" s="376"/>
      <c r="B633" s="376"/>
      <c r="C633" s="377"/>
      <c r="D633" s="378"/>
      <c r="E633" s="376"/>
      <c r="F633" s="376"/>
      <c r="G633" s="376"/>
      <c r="H633" s="376"/>
    </row>
    <row r="634" spans="1:8" s="379" customFormat="1">
      <c r="A634" s="376"/>
      <c r="B634" s="376"/>
      <c r="C634" s="377"/>
      <c r="D634" s="378"/>
      <c r="E634" s="376"/>
      <c r="F634" s="376"/>
      <c r="G634" s="376"/>
      <c r="H634" s="376"/>
    </row>
    <row r="635" spans="1:8" s="379" customFormat="1">
      <c r="A635" s="376"/>
      <c r="B635" s="376"/>
      <c r="C635" s="377"/>
      <c r="D635" s="378"/>
      <c r="E635" s="376"/>
      <c r="F635" s="376"/>
      <c r="G635" s="376"/>
      <c r="H635" s="376"/>
    </row>
    <row r="636" spans="1:8" s="379" customFormat="1">
      <c r="A636" s="376"/>
      <c r="B636" s="376"/>
      <c r="C636" s="377"/>
      <c r="D636" s="378"/>
      <c r="E636" s="376"/>
      <c r="F636" s="376"/>
      <c r="G636" s="376"/>
      <c r="H636" s="376"/>
    </row>
    <row r="637" spans="1:8" s="379" customFormat="1">
      <c r="A637" s="376"/>
      <c r="B637" s="376"/>
      <c r="C637" s="377"/>
      <c r="D637" s="378"/>
      <c r="E637" s="376"/>
      <c r="F637" s="376"/>
      <c r="G637" s="376"/>
      <c r="H637" s="376"/>
    </row>
    <row r="638" spans="1:8" s="379" customFormat="1">
      <c r="A638" s="376"/>
      <c r="B638" s="376"/>
      <c r="C638" s="377"/>
      <c r="D638" s="378"/>
      <c r="E638" s="376"/>
      <c r="F638" s="376"/>
      <c r="G638" s="376"/>
      <c r="H638" s="376"/>
    </row>
    <row r="639" spans="1:8" s="379" customFormat="1">
      <c r="A639" s="376"/>
      <c r="B639" s="376"/>
      <c r="C639" s="377"/>
      <c r="D639" s="378"/>
      <c r="E639" s="376"/>
      <c r="F639" s="376"/>
      <c r="G639" s="376"/>
      <c r="H639" s="376"/>
    </row>
    <row r="640" spans="1:8" s="379" customFormat="1">
      <c r="A640" s="376"/>
      <c r="B640" s="376"/>
      <c r="C640" s="377"/>
      <c r="D640" s="378"/>
      <c r="E640" s="376"/>
      <c r="F640" s="376"/>
      <c r="G640" s="376"/>
      <c r="H640" s="376"/>
    </row>
    <row r="641" spans="1:8" s="379" customFormat="1">
      <c r="A641" s="376"/>
      <c r="B641" s="376"/>
      <c r="C641" s="377"/>
      <c r="D641" s="378"/>
      <c r="E641" s="376"/>
      <c r="F641" s="376"/>
      <c r="G641" s="376"/>
      <c r="H641" s="376"/>
    </row>
    <row r="642" spans="1:8" s="379" customFormat="1">
      <c r="A642" s="376"/>
      <c r="B642" s="376"/>
      <c r="C642" s="377"/>
      <c r="D642" s="378"/>
      <c r="E642" s="376"/>
      <c r="F642" s="376"/>
      <c r="G642" s="376"/>
      <c r="H642" s="376"/>
    </row>
    <row r="643" spans="1:8" s="379" customFormat="1">
      <c r="A643" s="376"/>
      <c r="B643" s="376"/>
      <c r="C643" s="377"/>
      <c r="D643" s="378"/>
      <c r="E643" s="376"/>
      <c r="F643" s="376"/>
      <c r="G643" s="376"/>
      <c r="H643" s="376"/>
    </row>
    <row r="644" spans="1:8" s="379" customFormat="1">
      <c r="A644" s="376"/>
      <c r="B644" s="376"/>
      <c r="C644" s="377"/>
      <c r="D644" s="378"/>
      <c r="E644" s="376"/>
      <c r="F644" s="376"/>
      <c r="G644" s="376"/>
      <c r="H644" s="376"/>
    </row>
    <row r="645" spans="1:8" s="379" customFormat="1">
      <c r="A645" s="376"/>
      <c r="B645" s="376"/>
      <c r="C645" s="377"/>
      <c r="D645" s="378"/>
      <c r="E645" s="376"/>
      <c r="F645" s="376"/>
      <c r="G645" s="376"/>
      <c r="H645" s="376"/>
    </row>
    <row r="646" spans="1:8" s="379" customFormat="1">
      <c r="A646" s="376"/>
      <c r="B646" s="376"/>
      <c r="C646" s="377"/>
      <c r="D646" s="378"/>
      <c r="E646" s="376"/>
      <c r="F646" s="376"/>
      <c r="G646" s="376"/>
      <c r="H646" s="376"/>
    </row>
    <row r="647" spans="1:8" s="379" customFormat="1">
      <c r="A647" s="376"/>
      <c r="B647" s="376"/>
      <c r="C647" s="377"/>
      <c r="D647" s="378"/>
      <c r="E647" s="376"/>
      <c r="F647" s="376"/>
      <c r="G647" s="376"/>
      <c r="H647" s="376"/>
    </row>
    <row r="648" spans="1:8" s="379" customFormat="1">
      <c r="A648" s="376"/>
      <c r="B648" s="376"/>
      <c r="C648" s="377"/>
      <c r="D648" s="378"/>
      <c r="E648" s="376"/>
      <c r="F648" s="376"/>
      <c r="G648" s="376"/>
      <c r="H648" s="376"/>
    </row>
    <row r="649" spans="1:8" s="379" customFormat="1">
      <c r="A649" s="376"/>
      <c r="B649" s="376"/>
      <c r="C649" s="377"/>
      <c r="D649" s="378"/>
      <c r="E649" s="376"/>
      <c r="F649" s="376"/>
      <c r="G649" s="376"/>
      <c r="H649" s="376"/>
    </row>
    <row r="650" spans="1:8" s="379" customFormat="1">
      <c r="A650" s="376"/>
      <c r="B650" s="376"/>
      <c r="C650" s="377"/>
      <c r="D650" s="378"/>
      <c r="E650" s="376"/>
      <c r="F650" s="376"/>
      <c r="G650" s="376"/>
      <c r="H650" s="376"/>
    </row>
    <row r="651" spans="1:8" s="379" customFormat="1">
      <c r="A651" s="376"/>
      <c r="B651" s="376"/>
      <c r="C651" s="377"/>
      <c r="D651" s="378"/>
      <c r="E651" s="376"/>
      <c r="F651" s="376"/>
      <c r="G651" s="376"/>
      <c r="H651" s="376"/>
    </row>
    <row r="652" spans="1:8" s="379" customFormat="1">
      <c r="A652" s="376"/>
      <c r="B652" s="376"/>
      <c r="C652" s="377"/>
      <c r="D652" s="378"/>
      <c r="E652" s="376"/>
      <c r="F652" s="376"/>
      <c r="G652" s="376"/>
      <c r="H652" s="376"/>
    </row>
    <row r="653" spans="1:8" s="379" customFormat="1">
      <c r="A653" s="376"/>
      <c r="B653" s="376"/>
      <c r="C653" s="377"/>
      <c r="D653" s="378"/>
      <c r="E653" s="376"/>
      <c r="F653" s="376"/>
      <c r="G653" s="376"/>
      <c r="H653" s="376"/>
    </row>
    <row r="654" spans="1:8" s="379" customFormat="1">
      <c r="A654" s="376"/>
      <c r="B654" s="376"/>
      <c r="C654" s="377"/>
      <c r="D654" s="378"/>
      <c r="E654" s="376"/>
      <c r="F654" s="376"/>
      <c r="G654" s="376"/>
      <c r="H654" s="376"/>
    </row>
    <row r="655" spans="1:8" s="379" customFormat="1">
      <c r="A655" s="376"/>
      <c r="B655" s="376"/>
      <c r="C655" s="377"/>
      <c r="D655" s="378"/>
      <c r="E655" s="376"/>
      <c r="F655" s="376"/>
      <c r="G655" s="376"/>
      <c r="H655" s="376"/>
    </row>
    <row r="656" spans="1:8" s="379" customFormat="1">
      <c r="A656" s="376"/>
      <c r="B656" s="376"/>
      <c r="C656" s="377"/>
      <c r="D656" s="378"/>
      <c r="E656" s="376"/>
      <c r="F656" s="376"/>
      <c r="G656" s="376"/>
      <c r="H656" s="376"/>
    </row>
    <row r="657" spans="1:8" s="379" customFormat="1">
      <c r="A657" s="376"/>
      <c r="B657" s="376"/>
      <c r="C657" s="377"/>
      <c r="D657" s="378"/>
      <c r="E657" s="376"/>
      <c r="F657" s="376"/>
      <c r="G657" s="376"/>
      <c r="H657" s="376"/>
    </row>
    <row r="658" spans="1:8" s="379" customFormat="1">
      <c r="A658" s="376"/>
      <c r="B658" s="376"/>
      <c r="C658" s="377"/>
      <c r="D658" s="378"/>
      <c r="E658" s="376"/>
      <c r="F658" s="376"/>
      <c r="G658" s="376"/>
      <c r="H658" s="376"/>
    </row>
    <row r="659" spans="1:8" s="379" customFormat="1">
      <c r="A659" s="376"/>
      <c r="B659" s="376"/>
      <c r="C659" s="377"/>
      <c r="D659" s="378"/>
      <c r="E659" s="376"/>
      <c r="F659" s="376"/>
      <c r="G659" s="376"/>
      <c r="H659" s="376"/>
    </row>
    <row r="660" spans="1:8" s="379" customFormat="1">
      <c r="A660" s="376"/>
      <c r="B660" s="376"/>
      <c r="C660" s="377"/>
      <c r="D660" s="378"/>
      <c r="E660" s="376"/>
      <c r="F660" s="376"/>
      <c r="G660" s="376"/>
      <c r="H660" s="376"/>
    </row>
    <row r="661" spans="1:8" s="379" customFormat="1">
      <c r="A661" s="376"/>
      <c r="B661" s="376"/>
      <c r="C661" s="377"/>
      <c r="D661" s="378"/>
      <c r="E661" s="376"/>
      <c r="F661" s="376"/>
      <c r="G661" s="376"/>
      <c r="H661" s="376"/>
    </row>
    <row r="662" spans="1:8" s="379" customFormat="1">
      <c r="A662" s="376"/>
      <c r="B662" s="376"/>
      <c r="C662" s="377"/>
      <c r="D662" s="378"/>
      <c r="E662" s="376"/>
      <c r="F662" s="376"/>
      <c r="G662" s="376"/>
      <c r="H662" s="376"/>
    </row>
    <row r="663" spans="1:8" s="379" customFormat="1">
      <c r="A663" s="376"/>
      <c r="B663" s="376"/>
      <c r="C663" s="377"/>
      <c r="D663" s="378"/>
      <c r="E663" s="376"/>
      <c r="F663" s="376"/>
      <c r="G663" s="376"/>
      <c r="H663" s="376"/>
    </row>
    <row r="664" spans="1:8" s="379" customFormat="1">
      <c r="A664" s="376"/>
      <c r="B664" s="376"/>
      <c r="C664" s="377"/>
      <c r="D664" s="378"/>
      <c r="E664" s="376"/>
      <c r="F664" s="376"/>
      <c r="G664" s="376"/>
      <c r="H664" s="376"/>
    </row>
    <row r="665" spans="1:8" s="379" customFormat="1">
      <c r="A665" s="376"/>
      <c r="B665" s="376"/>
      <c r="C665" s="377"/>
      <c r="D665" s="378"/>
      <c r="E665" s="376"/>
      <c r="F665" s="376"/>
      <c r="G665" s="376"/>
      <c r="H665" s="376"/>
    </row>
    <row r="666" spans="1:8" s="379" customFormat="1">
      <c r="A666" s="376"/>
      <c r="B666" s="376"/>
      <c r="C666" s="377"/>
      <c r="D666" s="378"/>
      <c r="E666" s="376"/>
      <c r="F666" s="376"/>
      <c r="G666" s="376"/>
      <c r="H666" s="376"/>
    </row>
    <row r="667" spans="1:8" s="379" customFormat="1">
      <c r="A667" s="376"/>
      <c r="B667" s="376"/>
      <c r="C667" s="377"/>
      <c r="D667" s="378"/>
      <c r="E667" s="376"/>
      <c r="F667" s="376"/>
      <c r="G667" s="376"/>
      <c r="H667" s="376"/>
    </row>
    <row r="668" spans="1:8" s="379" customFormat="1">
      <c r="A668" s="376"/>
      <c r="B668" s="376"/>
      <c r="C668" s="377"/>
      <c r="D668" s="378"/>
      <c r="E668" s="376"/>
      <c r="F668" s="376"/>
      <c r="G668" s="376"/>
      <c r="H668" s="376"/>
    </row>
    <row r="669" spans="1:8" s="379" customFormat="1">
      <c r="A669" s="376"/>
      <c r="B669" s="376"/>
      <c r="C669" s="377"/>
      <c r="D669" s="378"/>
      <c r="E669" s="376"/>
      <c r="F669" s="376"/>
      <c r="G669" s="376"/>
      <c r="H669" s="376"/>
    </row>
    <row r="670" spans="1:8" s="379" customFormat="1">
      <c r="A670" s="376"/>
      <c r="B670" s="376"/>
      <c r="C670" s="377"/>
      <c r="D670" s="378"/>
      <c r="E670" s="376"/>
      <c r="F670" s="376"/>
      <c r="G670" s="376"/>
      <c r="H670" s="376"/>
    </row>
    <row r="671" spans="1:8" s="379" customFormat="1">
      <c r="A671" s="376"/>
      <c r="B671" s="376"/>
      <c r="C671" s="377"/>
      <c r="D671" s="378"/>
      <c r="E671" s="376"/>
      <c r="F671" s="376"/>
      <c r="G671" s="376"/>
      <c r="H671" s="376"/>
    </row>
    <row r="672" spans="1:8" s="379" customFormat="1">
      <c r="A672" s="376"/>
      <c r="B672" s="376"/>
      <c r="C672" s="377"/>
      <c r="D672" s="378"/>
      <c r="E672" s="376"/>
      <c r="F672" s="376"/>
      <c r="G672" s="376"/>
      <c r="H672" s="376"/>
    </row>
    <row r="673" spans="1:8" s="379" customFormat="1">
      <c r="A673" s="376"/>
      <c r="B673" s="376"/>
      <c r="C673" s="377"/>
      <c r="D673" s="378"/>
      <c r="E673" s="376"/>
      <c r="F673" s="376"/>
      <c r="G673" s="376"/>
      <c r="H673" s="376"/>
    </row>
    <row r="674" spans="1:8" s="379" customFormat="1">
      <c r="A674" s="376"/>
      <c r="B674" s="376"/>
      <c r="C674" s="377"/>
      <c r="D674" s="378"/>
      <c r="E674" s="376"/>
      <c r="F674" s="376"/>
      <c r="G674" s="376"/>
      <c r="H674" s="376"/>
    </row>
    <row r="675" spans="1:8" s="379" customFormat="1">
      <c r="A675" s="376"/>
      <c r="B675" s="376"/>
      <c r="C675" s="377"/>
      <c r="D675" s="378"/>
      <c r="E675" s="376"/>
      <c r="F675" s="376"/>
      <c r="G675" s="376"/>
      <c r="H675" s="376"/>
    </row>
    <row r="676" spans="1:8" s="379" customFormat="1">
      <c r="A676" s="376"/>
      <c r="B676" s="376"/>
      <c r="C676" s="377"/>
      <c r="D676" s="378"/>
      <c r="E676" s="376"/>
      <c r="F676" s="376"/>
      <c r="G676" s="376"/>
      <c r="H676" s="376"/>
    </row>
    <row r="677" spans="1:8" s="379" customFormat="1">
      <c r="A677" s="376"/>
      <c r="B677" s="376"/>
      <c r="C677" s="377"/>
      <c r="D677" s="378"/>
      <c r="E677" s="376"/>
      <c r="F677" s="376"/>
      <c r="G677" s="376"/>
      <c r="H677" s="376"/>
    </row>
    <row r="678" spans="1:8" s="379" customFormat="1">
      <c r="A678" s="376"/>
      <c r="B678" s="376"/>
      <c r="C678" s="377"/>
      <c r="D678" s="378"/>
      <c r="E678" s="376"/>
      <c r="F678" s="376"/>
      <c r="G678" s="376"/>
      <c r="H678" s="376"/>
    </row>
    <row r="679" spans="1:8" s="379" customFormat="1">
      <c r="A679" s="376"/>
      <c r="B679" s="376"/>
      <c r="C679" s="377"/>
      <c r="D679" s="378"/>
      <c r="E679" s="376"/>
      <c r="F679" s="376"/>
      <c r="G679" s="376"/>
      <c r="H679" s="376"/>
    </row>
    <row r="680" spans="1:8" s="379" customFormat="1">
      <c r="A680" s="376"/>
      <c r="B680" s="376"/>
      <c r="C680" s="377"/>
      <c r="D680" s="378"/>
      <c r="E680" s="376"/>
      <c r="F680" s="376"/>
      <c r="G680" s="376"/>
      <c r="H680" s="376"/>
    </row>
    <row r="681" spans="1:8" s="379" customFormat="1">
      <c r="A681" s="376"/>
      <c r="B681" s="376"/>
      <c r="C681" s="377"/>
      <c r="D681" s="378"/>
      <c r="E681" s="376"/>
      <c r="F681" s="376"/>
      <c r="G681" s="376"/>
      <c r="H681" s="376"/>
    </row>
    <row r="682" spans="1:8" s="379" customFormat="1">
      <c r="A682" s="376"/>
      <c r="B682" s="376"/>
      <c r="C682" s="377"/>
      <c r="D682" s="378"/>
      <c r="E682" s="376"/>
      <c r="F682" s="376"/>
      <c r="G682" s="376"/>
      <c r="H682" s="376"/>
    </row>
    <row r="683" spans="1:8" s="379" customFormat="1">
      <c r="A683" s="376"/>
      <c r="B683" s="376"/>
      <c r="C683" s="377"/>
      <c r="D683" s="378"/>
      <c r="E683" s="376"/>
      <c r="F683" s="376"/>
      <c r="G683" s="376"/>
      <c r="H683" s="376"/>
    </row>
    <row r="684" spans="1:8" s="379" customFormat="1">
      <c r="A684" s="376"/>
      <c r="B684" s="376"/>
      <c r="C684" s="377"/>
      <c r="D684" s="378"/>
      <c r="E684" s="376"/>
      <c r="F684" s="376"/>
      <c r="G684" s="376"/>
      <c r="H684" s="376"/>
    </row>
    <row r="685" spans="1:8" s="379" customFormat="1">
      <c r="A685" s="376"/>
      <c r="B685" s="376"/>
      <c r="C685" s="377"/>
      <c r="D685" s="378"/>
      <c r="E685" s="376"/>
      <c r="F685" s="376"/>
      <c r="G685" s="376"/>
      <c r="H685" s="376"/>
    </row>
    <row r="686" spans="1:8" s="379" customFormat="1">
      <c r="A686" s="376"/>
      <c r="B686" s="376"/>
      <c r="C686" s="377"/>
      <c r="D686" s="378"/>
      <c r="E686" s="376"/>
      <c r="F686" s="376"/>
      <c r="G686" s="376"/>
      <c r="H686" s="376"/>
    </row>
    <row r="687" spans="1:8" s="379" customFormat="1">
      <c r="A687" s="376"/>
      <c r="B687" s="376"/>
      <c r="C687" s="377"/>
      <c r="D687" s="378"/>
      <c r="E687" s="376"/>
      <c r="F687" s="376"/>
      <c r="G687" s="376"/>
      <c r="H687" s="376"/>
    </row>
    <row r="688" spans="1:8" s="379" customFormat="1">
      <c r="A688" s="376"/>
      <c r="B688" s="376"/>
      <c r="C688" s="377"/>
      <c r="D688" s="378"/>
      <c r="E688" s="376"/>
      <c r="F688" s="376"/>
      <c r="G688" s="376"/>
      <c r="H688" s="376"/>
    </row>
    <row r="689" spans="1:8" s="379" customFormat="1">
      <c r="A689" s="376"/>
      <c r="B689" s="376"/>
      <c r="C689" s="377"/>
      <c r="D689" s="378"/>
      <c r="E689" s="376"/>
      <c r="F689" s="376"/>
      <c r="G689" s="376"/>
      <c r="H689" s="376"/>
    </row>
    <row r="690" spans="1:8" s="379" customFormat="1">
      <c r="A690" s="376"/>
      <c r="B690" s="376"/>
      <c r="C690" s="377"/>
      <c r="D690" s="378"/>
      <c r="E690" s="376"/>
      <c r="F690" s="376"/>
      <c r="G690" s="376"/>
      <c r="H690" s="376"/>
    </row>
    <row r="691" spans="1:8" s="379" customFormat="1">
      <c r="A691" s="376"/>
      <c r="B691" s="376"/>
      <c r="C691" s="377"/>
      <c r="D691" s="378"/>
      <c r="E691" s="376"/>
      <c r="F691" s="376"/>
      <c r="G691" s="376"/>
      <c r="H691" s="376"/>
    </row>
    <row r="692" spans="1:8" s="379" customFormat="1">
      <c r="A692" s="376"/>
      <c r="B692" s="376"/>
      <c r="C692" s="377"/>
      <c r="D692" s="378"/>
      <c r="E692" s="376"/>
      <c r="F692" s="376"/>
      <c r="G692" s="376"/>
      <c r="H692" s="376"/>
    </row>
    <row r="693" spans="1:8" s="379" customFormat="1">
      <c r="A693" s="376"/>
      <c r="B693" s="376"/>
      <c r="C693" s="377"/>
      <c r="D693" s="378"/>
      <c r="E693" s="376"/>
      <c r="F693" s="376"/>
      <c r="G693" s="376"/>
      <c r="H693" s="376"/>
    </row>
    <row r="694" spans="1:8" s="379" customFormat="1">
      <c r="A694" s="376"/>
      <c r="B694" s="376"/>
      <c r="C694" s="377"/>
      <c r="D694" s="378"/>
      <c r="E694" s="376"/>
      <c r="F694" s="376"/>
      <c r="G694" s="376"/>
      <c r="H694" s="376"/>
    </row>
    <row r="695" spans="1:8" s="379" customFormat="1">
      <c r="A695" s="376"/>
      <c r="B695" s="376"/>
      <c r="C695" s="377"/>
      <c r="D695" s="378"/>
      <c r="E695" s="376"/>
      <c r="F695" s="376"/>
      <c r="G695" s="376"/>
      <c r="H695" s="376"/>
    </row>
    <row r="696" spans="1:8" s="379" customFormat="1">
      <c r="A696" s="376"/>
      <c r="B696" s="376"/>
      <c r="C696" s="377"/>
      <c r="D696" s="378"/>
      <c r="E696" s="376"/>
      <c r="F696" s="376"/>
      <c r="G696" s="376"/>
      <c r="H696" s="376"/>
    </row>
    <row r="697" spans="1:8" s="379" customFormat="1">
      <c r="A697" s="376"/>
      <c r="B697" s="376"/>
      <c r="C697" s="377"/>
      <c r="D697" s="378"/>
      <c r="E697" s="376"/>
      <c r="F697" s="376"/>
      <c r="G697" s="376"/>
      <c r="H697" s="376"/>
    </row>
    <row r="698" spans="1:8" s="379" customFormat="1">
      <c r="A698" s="376"/>
      <c r="B698" s="376"/>
      <c r="C698" s="377"/>
      <c r="D698" s="378"/>
      <c r="E698" s="376"/>
      <c r="F698" s="376"/>
      <c r="G698" s="376"/>
      <c r="H698" s="376"/>
    </row>
    <row r="699" spans="1:8" s="379" customFormat="1">
      <c r="A699" s="376"/>
      <c r="B699" s="376"/>
      <c r="C699" s="377"/>
      <c r="D699" s="378"/>
      <c r="E699" s="376"/>
      <c r="F699" s="376"/>
      <c r="G699" s="376"/>
      <c r="H699" s="376"/>
    </row>
    <row r="700" spans="1:8" s="379" customFormat="1">
      <c r="A700" s="376"/>
      <c r="B700" s="376"/>
      <c r="C700" s="377"/>
      <c r="D700" s="378"/>
      <c r="E700" s="376"/>
      <c r="F700" s="376"/>
      <c r="G700" s="376"/>
      <c r="H700" s="376"/>
    </row>
    <row r="701" spans="1:8" s="379" customFormat="1">
      <c r="A701" s="376"/>
      <c r="B701" s="376"/>
      <c r="C701" s="377"/>
      <c r="D701" s="378"/>
      <c r="E701" s="376"/>
      <c r="F701" s="376"/>
      <c r="G701" s="376"/>
      <c r="H701" s="376"/>
    </row>
    <row r="702" spans="1:8" s="379" customFormat="1">
      <c r="A702" s="376"/>
      <c r="B702" s="376"/>
      <c r="C702" s="377"/>
      <c r="D702" s="378"/>
      <c r="E702" s="376"/>
      <c r="F702" s="376"/>
      <c r="G702" s="376"/>
      <c r="H702" s="376"/>
    </row>
    <row r="703" spans="1:8" s="379" customFormat="1">
      <c r="A703" s="376"/>
      <c r="B703" s="376"/>
      <c r="C703" s="377"/>
      <c r="D703" s="378"/>
      <c r="E703" s="376"/>
      <c r="F703" s="376"/>
      <c r="G703" s="376"/>
      <c r="H703" s="376"/>
    </row>
    <row r="704" spans="1:8" s="379" customFormat="1">
      <c r="A704" s="376"/>
      <c r="B704" s="376"/>
      <c r="C704" s="377"/>
      <c r="D704" s="378"/>
      <c r="E704" s="376"/>
      <c r="F704" s="376"/>
      <c r="G704" s="376"/>
      <c r="H704" s="376"/>
    </row>
    <row r="705" spans="1:8" s="379" customFormat="1">
      <c r="A705" s="376"/>
      <c r="B705" s="376"/>
      <c r="C705" s="377"/>
      <c r="D705" s="378"/>
      <c r="E705" s="376"/>
      <c r="F705" s="376"/>
      <c r="G705" s="376"/>
      <c r="H705" s="376"/>
    </row>
    <row r="706" spans="1:8" s="379" customFormat="1">
      <c r="A706" s="376"/>
      <c r="B706" s="376"/>
      <c r="C706" s="377"/>
      <c r="D706" s="378"/>
      <c r="E706" s="376"/>
      <c r="F706" s="376"/>
      <c r="G706" s="376"/>
      <c r="H706" s="376"/>
    </row>
    <row r="707" spans="1:8" s="379" customFormat="1">
      <c r="A707" s="376"/>
      <c r="B707" s="376"/>
      <c r="C707" s="377"/>
      <c r="D707" s="378"/>
      <c r="E707" s="376"/>
      <c r="F707" s="376"/>
      <c r="G707" s="376"/>
      <c r="H707" s="376"/>
    </row>
    <row r="708" spans="1:8" s="379" customFormat="1">
      <c r="A708" s="376"/>
      <c r="B708" s="376"/>
      <c r="C708" s="377"/>
      <c r="D708" s="378"/>
      <c r="E708" s="376"/>
      <c r="F708" s="376"/>
      <c r="G708" s="376"/>
      <c r="H708" s="376"/>
    </row>
    <row r="709" spans="1:8" s="379" customFormat="1">
      <c r="A709" s="376"/>
      <c r="B709" s="376"/>
      <c r="C709" s="377"/>
      <c r="D709" s="378"/>
      <c r="E709" s="376"/>
      <c r="F709" s="376"/>
      <c r="G709" s="376"/>
      <c r="H709" s="376"/>
    </row>
    <row r="710" spans="1:8" s="379" customFormat="1">
      <c r="A710" s="376"/>
      <c r="B710" s="376"/>
      <c r="C710" s="377"/>
      <c r="D710" s="378"/>
      <c r="E710" s="376"/>
      <c r="F710" s="376"/>
      <c r="G710" s="376"/>
      <c r="H710" s="376"/>
    </row>
    <row r="711" spans="1:8" s="379" customFormat="1">
      <c r="A711" s="376"/>
      <c r="B711" s="376"/>
      <c r="C711" s="377"/>
      <c r="D711" s="378"/>
      <c r="E711" s="376"/>
      <c r="F711" s="376"/>
      <c r="G711" s="376"/>
      <c r="H711" s="376"/>
    </row>
    <row r="712" spans="1:8" s="379" customFormat="1">
      <c r="A712" s="376"/>
      <c r="B712" s="376"/>
      <c r="C712" s="377"/>
      <c r="D712" s="378"/>
      <c r="E712" s="376"/>
      <c r="F712" s="376"/>
      <c r="G712" s="376"/>
      <c r="H712" s="376"/>
    </row>
    <row r="713" spans="1:8" s="379" customFormat="1">
      <c r="A713" s="376"/>
      <c r="B713" s="376"/>
      <c r="C713" s="377"/>
      <c r="D713" s="378"/>
      <c r="E713" s="376"/>
      <c r="F713" s="376"/>
      <c r="G713" s="376"/>
      <c r="H713" s="376"/>
    </row>
    <row r="714" spans="1:8" s="379" customFormat="1">
      <c r="A714" s="376"/>
      <c r="B714" s="376"/>
      <c r="C714" s="377"/>
      <c r="D714" s="378"/>
      <c r="E714" s="376"/>
      <c r="F714" s="376"/>
      <c r="G714" s="376"/>
      <c r="H714" s="376"/>
    </row>
    <row r="715" spans="1:8" s="379" customFormat="1">
      <c r="A715" s="376"/>
      <c r="B715" s="376"/>
      <c r="C715" s="377"/>
      <c r="D715" s="378"/>
      <c r="E715" s="376"/>
      <c r="F715" s="376"/>
      <c r="G715" s="376"/>
      <c r="H715" s="376"/>
    </row>
    <row r="716" spans="1:8" s="379" customFormat="1">
      <c r="A716" s="376"/>
      <c r="B716" s="376"/>
      <c r="C716" s="377"/>
      <c r="D716" s="378"/>
      <c r="E716" s="376"/>
      <c r="F716" s="376"/>
      <c r="G716" s="376"/>
      <c r="H716" s="376"/>
    </row>
    <row r="717" spans="1:8" s="379" customFormat="1">
      <c r="A717" s="376"/>
      <c r="B717" s="376"/>
      <c r="C717" s="377"/>
      <c r="D717" s="378"/>
      <c r="E717" s="376"/>
      <c r="F717" s="376"/>
      <c r="G717" s="376"/>
      <c r="H717" s="376"/>
    </row>
    <row r="718" spans="1:8" s="379" customFormat="1">
      <c r="A718" s="376"/>
      <c r="B718" s="376"/>
      <c r="C718" s="377"/>
      <c r="D718" s="378"/>
      <c r="E718" s="376"/>
      <c r="F718" s="376"/>
      <c r="G718" s="376"/>
      <c r="H718" s="376"/>
    </row>
    <row r="719" spans="1:8" s="379" customFormat="1">
      <c r="A719" s="376"/>
      <c r="B719" s="376"/>
      <c r="C719" s="377"/>
      <c r="D719" s="378"/>
      <c r="E719" s="376"/>
      <c r="F719" s="376"/>
      <c r="G719" s="376"/>
      <c r="H719" s="376"/>
    </row>
    <row r="720" spans="1:8" s="379" customFormat="1">
      <c r="A720" s="376"/>
      <c r="B720" s="376"/>
      <c r="C720" s="377"/>
      <c r="D720" s="378"/>
      <c r="E720" s="376"/>
      <c r="F720" s="376"/>
      <c r="G720" s="376"/>
      <c r="H720" s="376"/>
    </row>
    <row r="721" spans="1:8" s="379" customFormat="1">
      <c r="A721" s="376"/>
      <c r="B721" s="376"/>
      <c r="C721" s="377"/>
      <c r="D721" s="378"/>
      <c r="E721" s="376"/>
      <c r="F721" s="376"/>
      <c r="G721" s="376"/>
      <c r="H721" s="376"/>
    </row>
    <row r="722" spans="1:8" s="379" customFormat="1">
      <c r="A722" s="376"/>
      <c r="B722" s="376"/>
      <c r="C722" s="377"/>
      <c r="D722" s="378"/>
      <c r="E722" s="376"/>
      <c r="F722" s="376"/>
      <c r="G722" s="376"/>
      <c r="H722" s="376"/>
    </row>
    <row r="723" spans="1:8" s="379" customFormat="1">
      <c r="A723" s="376"/>
      <c r="B723" s="376"/>
      <c r="C723" s="377"/>
      <c r="D723" s="378"/>
      <c r="E723" s="376"/>
      <c r="F723" s="376"/>
      <c r="G723" s="376"/>
      <c r="H723" s="376"/>
    </row>
    <row r="724" spans="1:8" s="379" customFormat="1">
      <c r="A724" s="376"/>
      <c r="B724" s="376"/>
      <c r="C724" s="377"/>
      <c r="D724" s="378"/>
      <c r="E724" s="376"/>
      <c r="F724" s="376"/>
      <c r="G724" s="376"/>
      <c r="H724" s="376"/>
    </row>
    <row r="725" spans="1:8" s="379" customFormat="1">
      <c r="A725" s="376"/>
      <c r="B725" s="376"/>
      <c r="C725" s="377"/>
      <c r="D725" s="378"/>
      <c r="E725" s="376"/>
      <c r="F725" s="376"/>
      <c r="G725" s="376"/>
      <c r="H725" s="376"/>
    </row>
    <row r="726" spans="1:8" s="379" customFormat="1">
      <c r="A726" s="376"/>
      <c r="B726" s="376"/>
      <c r="C726" s="377"/>
      <c r="D726" s="378"/>
      <c r="E726" s="376"/>
      <c r="F726" s="376"/>
      <c r="G726" s="376"/>
      <c r="H726" s="376"/>
    </row>
    <row r="727" spans="1:8" s="379" customFormat="1">
      <c r="A727" s="376"/>
      <c r="B727" s="376"/>
      <c r="C727" s="377"/>
      <c r="D727" s="378"/>
      <c r="E727" s="376"/>
      <c r="F727" s="376"/>
      <c r="G727" s="376"/>
      <c r="H727" s="376"/>
    </row>
    <row r="728" spans="1:8" s="379" customFormat="1">
      <c r="A728" s="376"/>
      <c r="B728" s="376"/>
      <c r="C728" s="377"/>
      <c r="D728" s="378"/>
      <c r="E728" s="376"/>
      <c r="F728" s="376"/>
      <c r="G728" s="376"/>
      <c r="H728" s="376"/>
    </row>
    <row r="729" spans="1:8" s="379" customFormat="1">
      <c r="A729" s="376"/>
      <c r="B729" s="376"/>
      <c r="C729" s="377"/>
      <c r="D729" s="378"/>
      <c r="E729" s="376"/>
      <c r="F729" s="376"/>
      <c r="G729" s="376"/>
      <c r="H729" s="376"/>
    </row>
    <row r="730" spans="1:8" s="379" customFormat="1">
      <c r="A730" s="376"/>
      <c r="B730" s="376"/>
      <c r="C730" s="377"/>
      <c r="D730" s="378"/>
      <c r="E730" s="376"/>
      <c r="F730" s="376"/>
      <c r="G730" s="376"/>
      <c r="H730" s="376"/>
    </row>
    <row r="731" spans="1:8" s="379" customFormat="1">
      <c r="A731" s="376"/>
      <c r="B731" s="376"/>
      <c r="C731" s="377"/>
      <c r="D731" s="378"/>
      <c r="E731" s="376"/>
      <c r="F731" s="376"/>
      <c r="G731" s="376"/>
      <c r="H731" s="376"/>
    </row>
    <row r="732" spans="1:8" s="379" customFormat="1">
      <c r="A732" s="376"/>
      <c r="B732" s="376"/>
      <c r="C732" s="377"/>
      <c r="D732" s="378"/>
      <c r="E732" s="376"/>
      <c r="F732" s="376"/>
      <c r="G732" s="376"/>
      <c r="H732" s="376"/>
    </row>
    <row r="733" spans="1:8" s="379" customFormat="1">
      <c r="A733" s="376"/>
      <c r="B733" s="376"/>
      <c r="C733" s="377"/>
      <c r="D733" s="378"/>
      <c r="E733" s="376"/>
      <c r="F733" s="376"/>
      <c r="G733" s="376"/>
      <c r="H733" s="376"/>
    </row>
    <row r="734" spans="1:8" s="379" customFormat="1">
      <c r="A734" s="376"/>
      <c r="B734" s="376"/>
      <c r="C734" s="377"/>
      <c r="D734" s="378"/>
      <c r="E734" s="376"/>
      <c r="F734" s="376"/>
      <c r="G734" s="376"/>
      <c r="H734" s="376"/>
    </row>
    <row r="735" spans="1:8" s="379" customFormat="1">
      <c r="A735" s="376"/>
      <c r="B735" s="376"/>
      <c r="C735" s="377"/>
      <c r="D735" s="378"/>
      <c r="E735" s="376"/>
      <c r="F735" s="376"/>
      <c r="G735" s="376"/>
      <c r="H735" s="376"/>
    </row>
    <row r="736" spans="1:8" s="379" customFormat="1">
      <c r="A736" s="376"/>
      <c r="B736" s="376"/>
      <c r="C736" s="377"/>
      <c r="D736" s="378"/>
      <c r="E736" s="376"/>
      <c r="F736" s="376"/>
      <c r="G736" s="376"/>
      <c r="H736" s="376"/>
    </row>
    <row r="737" spans="1:8" s="379" customFormat="1">
      <c r="A737" s="376"/>
      <c r="B737" s="376"/>
      <c r="C737" s="377"/>
      <c r="D737" s="378"/>
      <c r="E737" s="376"/>
      <c r="F737" s="376"/>
      <c r="G737" s="376"/>
      <c r="H737" s="376"/>
    </row>
    <row r="738" spans="1:8" s="379" customFormat="1">
      <c r="A738" s="376"/>
      <c r="B738" s="376"/>
      <c r="C738" s="377"/>
      <c r="D738" s="378"/>
      <c r="E738" s="376"/>
      <c r="F738" s="376"/>
      <c r="G738" s="376"/>
      <c r="H738" s="376"/>
    </row>
    <row r="739" spans="1:8" s="379" customFormat="1">
      <c r="A739" s="376"/>
      <c r="B739" s="376"/>
      <c r="C739" s="377"/>
      <c r="D739" s="378"/>
      <c r="E739" s="376"/>
      <c r="F739" s="376"/>
      <c r="G739" s="376"/>
      <c r="H739" s="376"/>
    </row>
    <row r="740" spans="1:8" s="379" customFormat="1">
      <c r="A740" s="376"/>
      <c r="B740" s="376"/>
      <c r="C740" s="377"/>
      <c r="D740" s="378"/>
      <c r="E740" s="376"/>
      <c r="F740" s="376"/>
      <c r="G740" s="376"/>
      <c r="H740" s="376"/>
    </row>
    <row r="741" spans="1:8" s="379" customFormat="1">
      <c r="A741" s="376"/>
      <c r="B741" s="376"/>
      <c r="C741" s="377"/>
      <c r="D741" s="378"/>
      <c r="E741" s="376"/>
      <c r="F741" s="376"/>
      <c r="G741" s="376"/>
      <c r="H741" s="376"/>
    </row>
    <row r="742" spans="1:8" s="379" customFormat="1">
      <c r="A742" s="376"/>
      <c r="B742" s="376"/>
      <c r="C742" s="377"/>
      <c r="D742" s="378"/>
      <c r="E742" s="376"/>
      <c r="F742" s="376"/>
      <c r="G742" s="376"/>
      <c r="H742" s="376"/>
    </row>
    <row r="743" spans="1:8" s="379" customFormat="1">
      <c r="A743" s="376"/>
      <c r="B743" s="376"/>
      <c r="C743" s="377"/>
      <c r="D743" s="378"/>
      <c r="E743" s="376"/>
      <c r="F743" s="376"/>
      <c r="G743" s="376"/>
      <c r="H743" s="376"/>
    </row>
    <row r="744" spans="1:8" s="379" customFormat="1">
      <c r="A744" s="376"/>
      <c r="B744" s="376"/>
      <c r="C744" s="377"/>
      <c r="D744" s="378"/>
      <c r="E744" s="376"/>
      <c r="F744" s="376"/>
      <c r="G744" s="376"/>
      <c r="H744" s="376"/>
    </row>
    <row r="745" spans="1:8" s="379" customFormat="1">
      <c r="A745" s="376"/>
      <c r="B745" s="376"/>
      <c r="C745" s="377"/>
      <c r="D745" s="378"/>
      <c r="E745" s="376"/>
      <c r="F745" s="376"/>
      <c r="G745" s="376"/>
      <c r="H745" s="376"/>
    </row>
    <row r="746" spans="1:8" s="379" customFormat="1">
      <c r="A746" s="376"/>
      <c r="B746" s="376"/>
      <c r="C746" s="377"/>
      <c r="D746" s="378"/>
      <c r="E746" s="376"/>
      <c r="F746" s="376"/>
      <c r="G746" s="376"/>
      <c r="H746" s="376"/>
    </row>
    <row r="747" spans="1:8" s="379" customFormat="1">
      <c r="A747" s="376"/>
      <c r="B747" s="376"/>
      <c r="C747" s="377"/>
      <c r="D747" s="378"/>
      <c r="E747" s="376"/>
      <c r="F747" s="376"/>
      <c r="G747" s="376"/>
      <c r="H747" s="376"/>
    </row>
    <row r="748" spans="1:8" s="379" customFormat="1">
      <c r="A748" s="376"/>
      <c r="B748" s="376"/>
      <c r="C748" s="377"/>
      <c r="D748" s="378"/>
      <c r="E748" s="376"/>
      <c r="F748" s="376"/>
      <c r="G748" s="376"/>
      <c r="H748" s="376"/>
    </row>
    <row r="749" spans="1:8" s="379" customFormat="1">
      <c r="A749" s="376"/>
      <c r="B749" s="376"/>
      <c r="C749" s="377"/>
      <c r="D749" s="378"/>
      <c r="E749" s="376"/>
      <c r="F749" s="376"/>
      <c r="G749" s="376"/>
      <c r="H749" s="376"/>
    </row>
    <row r="750" spans="1:8" s="379" customFormat="1">
      <c r="A750" s="376"/>
      <c r="B750" s="376"/>
      <c r="C750" s="377"/>
      <c r="D750" s="378"/>
      <c r="E750" s="376"/>
      <c r="F750" s="376"/>
      <c r="G750" s="376"/>
      <c r="H750" s="376"/>
    </row>
    <row r="751" spans="1:8" s="379" customFormat="1">
      <c r="A751" s="376"/>
      <c r="B751" s="376"/>
      <c r="C751" s="377"/>
      <c r="D751" s="378"/>
      <c r="E751" s="376"/>
      <c r="F751" s="376"/>
      <c r="G751" s="376"/>
      <c r="H751" s="376"/>
    </row>
    <row r="752" spans="1:8" s="379" customFormat="1">
      <c r="A752" s="376"/>
      <c r="B752" s="376"/>
      <c r="C752" s="377"/>
      <c r="D752" s="378"/>
      <c r="E752" s="376"/>
      <c r="F752" s="376"/>
      <c r="G752" s="376"/>
      <c r="H752" s="376"/>
    </row>
    <row r="753" spans="1:8" s="379" customFormat="1">
      <c r="A753" s="376"/>
      <c r="B753" s="376"/>
      <c r="C753" s="377"/>
      <c r="D753" s="378"/>
      <c r="E753" s="376"/>
      <c r="F753" s="376"/>
      <c r="G753" s="376"/>
      <c r="H753" s="376"/>
    </row>
    <row r="754" spans="1:8" s="379" customFormat="1">
      <c r="A754" s="376"/>
      <c r="B754" s="376"/>
      <c r="C754" s="377"/>
      <c r="D754" s="378"/>
      <c r="E754" s="376"/>
      <c r="F754" s="376"/>
      <c r="G754" s="376"/>
      <c r="H754" s="376"/>
    </row>
    <row r="755" spans="1:8" s="379" customFormat="1">
      <c r="A755" s="376"/>
      <c r="B755" s="376"/>
      <c r="C755" s="377"/>
      <c r="D755" s="378"/>
      <c r="E755" s="376"/>
      <c r="F755" s="376"/>
      <c r="G755" s="376"/>
      <c r="H755" s="376"/>
    </row>
    <row r="756" spans="1:8" s="379" customFormat="1">
      <c r="A756" s="376"/>
      <c r="B756" s="376"/>
      <c r="C756" s="377"/>
      <c r="D756" s="378"/>
      <c r="E756" s="376"/>
      <c r="F756" s="376"/>
      <c r="G756" s="376"/>
      <c r="H756" s="376"/>
    </row>
    <row r="757" spans="1:8" s="379" customFormat="1">
      <c r="A757" s="376"/>
      <c r="B757" s="376"/>
      <c r="C757" s="377"/>
      <c r="D757" s="378"/>
      <c r="E757" s="376"/>
      <c r="F757" s="376"/>
      <c r="G757" s="376"/>
      <c r="H757" s="376"/>
    </row>
    <row r="758" spans="1:8" s="379" customFormat="1">
      <c r="A758" s="376"/>
      <c r="B758" s="376"/>
      <c r="C758" s="377"/>
      <c r="D758" s="378"/>
      <c r="E758" s="376"/>
      <c r="F758" s="376"/>
      <c r="G758" s="376"/>
      <c r="H758" s="376"/>
    </row>
    <row r="759" spans="1:8" s="379" customFormat="1">
      <c r="A759" s="376"/>
      <c r="B759" s="376"/>
      <c r="C759" s="377"/>
      <c r="D759" s="378"/>
      <c r="E759" s="376"/>
      <c r="F759" s="376"/>
      <c r="G759" s="376"/>
      <c r="H759" s="376"/>
    </row>
    <row r="760" spans="1:8" s="379" customFormat="1">
      <c r="A760" s="376"/>
      <c r="B760" s="376"/>
      <c r="C760" s="377"/>
      <c r="D760" s="378"/>
      <c r="E760" s="376"/>
      <c r="F760" s="376"/>
      <c r="G760" s="376"/>
      <c r="H760" s="376"/>
    </row>
    <row r="761" spans="1:8" s="379" customFormat="1">
      <c r="A761" s="376"/>
      <c r="B761" s="376"/>
      <c r="C761" s="377"/>
      <c r="D761" s="378"/>
      <c r="E761" s="376"/>
      <c r="F761" s="376"/>
      <c r="G761" s="376"/>
      <c r="H761" s="376"/>
    </row>
    <row r="762" spans="1:8" s="379" customFormat="1">
      <c r="A762" s="376"/>
      <c r="B762" s="376"/>
      <c r="C762" s="377"/>
      <c r="D762" s="378"/>
      <c r="E762" s="376"/>
      <c r="F762" s="376"/>
      <c r="G762" s="376"/>
      <c r="H762" s="376"/>
    </row>
    <row r="763" spans="1:8" s="379" customFormat="1">
      <c r="A763" s="376"/>
      <c r="B763" s="376"/>
      <c r="C763" s="377"/>
      <c r="D763" s="378"/>
      <c r="E763" s="376"/>
      <c r="F763" s="376"/>
      <c r="G763" s="376"/>
      <c r="H763" s="376"/>
    </row>
    <row r="764" spans="1:8" s="379" customFormat="1">
      <c r="A764" s="376"/>
      <c r="B764" s="376"/>
      <c r="C764" s="377"/>
      <c r="D764" s="378"/>
      <c r="E764" s="376"/>
      <c r="F764" s="376"/>
      <c r="G764" s="376"/>
      <c r="H764" s="376"/>
    </row>
    <row r="765" spans="1:8" s="379" customFormat="1">
      <c r="A765" s="376"/>
      <c r="B765" s="376"/>
      <c r="C765" s="377"/>
      <c r="D765" s="378"/>
      <c r="E765" s="376"/>
      <c r="F765" s="376"/>
      <c r="G765" s="376"/>
      <c r="H765" s="376"/>
    </row>
    <row r="766" spans="1:8" s="379" customFormat="1">
      <c r="A766" s="376"/>
      <c r="B766" s="376"/>
      <c r="C766" s="377"/>
      <c r="D766" s="378"/>
      <c r="E766" s="376"/>
      <c r="F766" s="376"/>
      <c r="G766" s="376"/>
      <c r="H766" s="376"/>
    </row>
    <row r="767" spans="1:8" s="379" customFormat="1">
      <c r="A767" s="376"/>
      <c r="B767" s="376"/>
      <c r="C767" s="377"/>
      <c r="D767" s="378"/>
      <c r="E767" s="376"/>
      <c r="F767" s="376"/>
      <c r="G767" s="376"/>
      <c r="H767" s="376"/>
    </row>
    <row r="768" spans="1:8">
      <c r="G768" s="376"/>
      <c r="H768" s="376"/>
    </row>
    <row r="769" spans="2:8">
      <c r="G769" s="376"/>
      <c r="H769" s="376"/>
    </row>
    <row r="770" spans="2:8">
      <c r="G770" s="376"/>
      <c r="H770" s="376"/>
    </row>
    <row r="771" spans="2:8">
      <c r="G771" s="376"/>
      <c r="H771" s="376"/>
    </row>
    <row r="772" spans="2:8">
      <c r="G772" s="376"/>
      <c r="H772" s="376"/>
    </row>
    <row r="773" spans="2:8">
      <c r="G773" s="376"/>
      <c r="H773" s="376"/>
    </row>
    <row r="774" spans="2:8">
      <c r="G774" s="376"/>
      <c r="H774" s="376"/>
    </row>
    <row r="775" spans="2:8">
      <c r="G775" s="376"/>
      <c r="H775" s="376"/>
    </row>
    <row r="776" spans="2:8">
      <c r="G776" s="376"/>
      <c r="H776" s="376"/>
    </row>
    <row r="777" spans="2:8">
      <c r="B777" s="136"/>
      <c r="G777" s="376"/>
      <c r="H777" s="376"/>
    </row>
    <row r="778" spans="2:8">
      <c r="B778" s="136"/>
      <c r="G778" s="376"/>
      <c r="H778" s="376"/>
    </row>
    <row r="779" spans="2:8">
      <c r="B779" s="136"/>
      <c r="G779" s="376"/>
      <c r="H779" s="376"/>
    </row>
    <row r="780" spans="2:8">
      <c r="B780" s="136"/>
      <c r="G780" s="376"/>
      <c r="H780" s="376"/>
    </row>
    <row r="781" spans="2:8">
      <c r="B781" s="136"/>
      <c r="G781" s="376"/>
      <c r="H781" s="376"/>
    </row>
    <row r="782" spans="2:8">
      <c r="B782" s="136"/>
      <c r="G782" s="376"/>
      <c r="H782" s="376"/>
    </row>
    <row r="783" spans="2:8">
      <c r="B783" s="136"/>
      <c r="G783" s="376"/>
      <c r="H783" s="376"/>
    </row>
    <row r="784" spans="2:8">
      <c r="B784" s="136"/>
      <c r="G784" s="376"/>
      <c r="H784" s="376"/>
    </row>
    <row r="785" spans="2:8">
      <c r="B785" s="136"/>
      <c r="G785" s="376"/>
      <c r="H785" s="376"/>
    </row>
    <row r="786" spans="2:8">
      <c r="B786" s="136"/>
      <c r="G786" s="376"/>
      <c r="H786" s="376"/>
    </row>
    <row r="787" spans="2:8">
      <c r="B787" s="136"/>
      <c r="G787" s="376"/>
      <c r="H787" s="376"/>
    </row>
    <row r="788" spans="2:8">
      <c r="B788" s="136"/>
      <c r="G788" s="376"/>
      <c r="H788" s="376"/>
    </row>
    <row r="789" spans="2:8">
      <c r="B789" s="136"/>
      <c r="G789" s="376"/>
      <c r="H789" s="376"/>
    </row>
    <row r="790" spans="2:8">
      <c r="B790" s="136"/>
      <c r="G790" s="376"/>
      <c r="H790" s="376"/>
    </row>
    <row r="791" spans="2:8">
      <c r="B791" s="136"/>
      <c r="G791" s="376"/>
      <c r="H791" s="376"/>
    </row>
    <row r="792" spans="2:8">
      <c r="B792" s="136"/>
      <c r="G792" s="376"/>
      <c r="H792" s="376"/>
    </row>
    <row r="793" spans="2:8">
      <c r="B793" s="136"/>
      <c r="G793" s="376"/>
      <c r="H793" s="376"/>
    </row>
    <row r="794" spans="2:8">
      <c r="B794" s="136"/>
      <c r="G794" s="376"/>
      <c r="H794" s="376"/>
    </row>
    <row r="795" spans="2:8">
      <c r="B795" s="136"/>
      <c r="G795" s="376"/>
      <c r="H795" s="376"/>
    </row>
    <row r="796" spans="2:8">
      <c r="B796" s="136"/>
      <c r="G796" s="376"/>
      <c r="H796" s="376"/>
    </row>
    <row r="797" spans="2:8">
      <c r="B797" s="136"/>
      <c r="G797" s="376"/>
      <c r="H797" s="376"/>
    </row>
    <row r="798" spans="2:8">
      <c r="B798" s="136"/>
      <c r="G798" s="376"/>
      <c r="H798" s="376"/>
    </row>
    <row r="799" spans="2:8">
      <c r="B799" s="136"/>
      <c r="G799" s="376"/>
      <c r="H799" s="376"/>
    </row>
    <row r="800" spans="2:8">
      <c r="B800" s="136"/>
      <c r="G800" s="376"/>
      <c r="H800" s="376"/>
    </row>
    <row r="801" spans="2:8">
      <c r="B801" s="136"/>
      <c r="G801" s="376"/>
      <c r="H801" s="376"/>
    </row>
    <row r="802" spans="2:8">
      <c r="B802" s="136"/>
      <c r="G802" s="376"/>
      <c r="H802" s="376"/>
    </row>
    <row r="803" spans="2:8">
      <c r="B803" s="136"/>
      <c r="G803" s="376"/>
      <c r="H803" s="376"/>
    </row>
    <row r="804" spans="2:8">
      <c r="B804" s="136"/>
      <c r="G804" s="376"/>
      <c r="H804" s="376"/>
    </row>
    <row r="805" spans="2:8">
      <c r="B805" s="136"/>
      <c r="G805" s="376"/>
      <c r="H805" s="376"/>
    </row>
    <row r="806" spans="2:8">
      <c r="B806" s="136"/>
      <c r="G806" s="376"/>
      <c r="H806" s="376"/>
    </row>
    <row r="807" spans="2:8">
      <c r="B807" s="136"/>
      <c r="G807" s="376"/>
      <c r="H807" s="376"/>
    </row>
    <row r="808" spans="2:8">
      <c r="B808" s="136"/>
      <c r="G808" s="376"/>
      <c r="H808" s="376"/>
    </row>
    <row r="809" spans="2:8">
      <c r="B809" s="136"/>
      <c r="G809" s="376"/>
      <c r="H809" s="376"/>
    </row>
    <row r="810" spans="2:8">
      <c r="B810" s="136"/>
      <c r="G810" s="376"/>
      <c r="H810" s="376"/>
    </row>
    <row r="811" spans="2:8">
      <c r="B811" s="136"/>
      <c r="G811" s="376"/>
      <c r="H811" s="376"/>
    </row>
    <row r="812" spans="2:8">
      <c r="B812" s="136"/>
      <c r="G812" s="376"/>
      <c r="H812" s="376"/>
    </row>
    <row r="813" spans="2:8">
      <c r="B813" s="136"/>
      <c r="G813" s="376"/>
      <c r="H813" s="376"/>
    </row>
    <row r="814" spans="2:8">
      <c r="B814" s="136"/>
      <c r="G814" s="376"/>
      <c r="H814" s="376"/>
    </row>
    <row r="815" spans="2:8">
      <c r="B815" s="136"/>
      <c r="G815" s="376"/>
      <c r="H815" s="376"/>
    </row>
    <row r="816" spans="2:8">
      <c r="B816" s="136"/>
      <c r="G816" s="376"/>
      <c r="H816" s="376"/>
    </row>
    <row r="817" spans="2:8">
      <c r="B817" s="136"/>
      <c r="G817" s="376"/>
      <c r="H817" s="376"/>
    </row>
    <row r="818" spans="2:8">
      <c r="B818" s="136"/>
      <c r="G818" s="376"/>
      <c r="H818" s="376"/>
    </row>
    <row r="819" spans="2:8">
      <c r="B819" s="136"/>
      <c r="G819" s="376"/>
      <c r="H819" s="376"/>
    </row>
    <row r="820" spans="2:8">
      <c r="B820" s="136"/>
      <c r="G820" s="376"/>
      <c r="H820" s="376"/>
    </row>
    <row r="821" spans="2:8">
      <c r="B821" s="136"/>
      <c r="G821" s="376"/>
      <c r="H821" s="376"/>
    </row>
    <row r="822" spans="2:8">
      <c r="B822" s="136"/>
      <c r="G822" s="376"/>
      <c r="H822" s="376"/>
    </row>
    <row r="823" spans="2:8">
      <c r="B823" s="136"/>
      <c r="G823" s="376"/>
      <c r="H823" s="376"/>
    </row>
    <row r="824" spans="2:8">
      <c r="B824" s="136"/>
      <c r="G824" s="376"/>
      <c r="H824" s="376"/>
    </row>
    <row r="825" spans="2:8">
      <c r="B825" s="136"/>
      <c r="G825" s="376"/>
      <c r="H825" s="376"/>
    </row>
    <row r="826" spans="2:8">
      <c r="B826" s="136"/>
      <c r="G826" s="376"/>
      <c r="H826" s="376"/>
    </row>
    <row r="827" spans="2:8">
      <c r="B827" s="136"/>
      <c r="G827" s="376"/>
      <c r="H827" s="376"/>
    </row>
    <row r="828" spans="2:8">
      <c r="B828" s="136"/>
      <c r="G828" s="376"/>
      <c r="H828" s="376"/>
    </row>
    <row r="829" spans="2:8">
      <c r="B829" s="136"/>
      <c r="G829" s="376"/>
      <c r="H829" s="376"/>
    </row>
    <row r="830" spans="2:8">
      <c r="B830" s="136"/>
      <c r="G830" s="376"/>
      <c r="H830" s="376"/>
    </row>
    <row r="831" spans="2:8">
      <c r="B831" s="136"/>
      <c r="G831" s="376"/>
      <c r="H831" s="376"/>
    </row>
    <row r="832" spans="2:8">
      <c r="B832" s="136"/>
      <c r="G832" s="376"/>
      <c r="H832" s="376"/>
    </row>
    <row r="833" spans="2:8">
      <c r="B833" s="136"/>
      <c r="G833" s="376"/>
      <c r="H833" s="376"/>
    </row>
    <row r="834" spans="2:8">
      <c r="B834" s="136"/>
      <c r="G834" s="376"/>
      <c r="H834" s="376"/>
    </row>
    <row r="835" spans="2:8">
      <c r="B835" s="136"/>
      <c r="G835" s="376"/>
      <c r="H835" s="376"/>
    </row>
    <row r="836" spans="2:8">
      <c r="B836" s="136"/>
      <c r="G836" s="376"/>
      <c r="H836" s="376"/>
    </row>
    <row r="837" spans="2:8">
      <c r="B837" s="136"/>
      <c r="G837" s="376"/>
      <c r="H837" s="376"/>
    </row>
    <row r="838" spans="2:8">
      <c r="B838" s="136"/>
      <c r="G838" s="376"/>
      <c r="H838" s="376"/>
    </row>
    <row r="839" spans="2:8">
      <c r="B839" s="136"/>
      <c r="G839" s="376"/>
      <c r="H839" s="376"/>
    </row>
    <row r="840" spans="2:8">
      <c r="B840" s="136"/>
      <c r="G840" s="376"/>
      <c r="H840" s="376"/>
    </row>
    <row r="841" spans="2:8">
      <c r="B841" s="136"/>
      <c r="G841" s="376"/>
      <c r="H841" s="376"/>
    </row>
    <row r="842" spans="2:8">
      <c r="B842" s="136"/>
      <c r="G842" s="376"/>
      <c r="H842" s="376"/>
    </row>
    <row r="843" spans="2:8">
      <c r="B843" s="136"/>
      <c r="G843" s="376"/>
      <c r="H843" s="376"/>
    </row>
    <row r="844" spans="2:8">
      <c r="B844" s="136"/>
      <c r="G844" s="376"/>
      <c r="H844" s="376"/>
    </row>
    <row r="845" spans="2:8">
      <c r="B845" s="136"/>
      <c r="G845" s="376"/>
      <c r="H845" s="376"/>
    </row>
    <row r="846" spans="2:8">
      <c r="B846" s="136"/>
      <c r="G846" s="376"/>
      <c r="H846" s="376"/>
    </row>
    <row r="847" spans="2:8">
      <c r="B847" s="136"/>
      <c r="G847" s="376"/>
      <c r="H847" s="376"/>
    </row>
    <row r="848" spans="2:8">
      <c r="B848" s="136"/>
      <c r="G848" s="376"/>
      <c r="H848" s="376"/>
    </row>
    <row r="849" spans="2:8">
      <c r="B849" s="136"/>
      <c r="G849" s="376"/>
      <c r="H849" s="376"/>
    </row>
    <row r="850" spans="2:8">
      <c r="B850" s="136"/>
      <c r="G850" s="376"/>
      <c r="H850" s="376"/>
    </row>
    <row r="851" spans="2:8">
      <c r="B851" s="136"/>
      <c r="G851" s="376"/>
      <c r="H851" s="376"/>
    </row>
    <row r="852" spans="2:8">
      <c r="B852" s="136"/>
      <c r="G852" s="376"/>
      <c r="H852" s="376"/>
    </row>
    <row r="853" spans="2:8">
      <c r="B853" s="136"/>
      <c r="G853" s="376"/>
      <c r="H853" s="376"/>
    </row>
    <row r="854" spans="2:8">
      <c r="B854" s="136"/>
      <c r="G854" s="376"/>
      <c r="H854" s="376"/>
    </row>
    <row r="855" spans="2:8">
      <c r="B855" s="136"/>
      <c r="G855" s="376"/>
      <c r="H855" s="376"/>
    </row>
    <row r="856" spans="2:8">
      <c r="B856" s="136"/>
      <c r="G856" s="376"/>
      <c r="H856" s="376"/>
    </row>
    <row r="857" spans="2:8">
      <c r="B857" s="136"/>
      <c r="G857" s="376"/>
      <c r="H857" s="376"/>
    </row>
    <row r="858" spans="2:8">
      <c r="B858" s="136"/>
      <c r="G858" s="376"/>
      <c r="H858" s="376"/>
    </row>
    <row r="859" spans="2:8">
      <c r="B859" s="136"/>
      <c r="G859" s="376"/>
      <c r="H859" s="376"/>
    </row>
    <row r="860" spans="2:8">
      <c r="B860" s="136"/>
      <c r="G860" s="376"/>
      <c r="H860" s="376"/>
    </row>
    <row r="861" spans="2:8">
      <c r="B861" s="136"/>
      <c r="G861" s="376"/>
      <c r="H861" s="376"/>
    </row>
    <row r="862" spans="2:8">
      <c r="B862" s="136"/>
      <c r="G862" s="376"/>
      <c r="H862" s="376"/>
    </row>
    <row r="863" spans="2:8">
      <c r="B863" s="136"/>
      <c r="G863" s="376"/>
      <c r="H863" s="376"/>
    </row>
    <row r="864" spans="2:8">
      <c r="B864" s="136"/>
      <c r="G864" s="376"/>
      <c r="H864" s="376"/>
    </row>
    <row r="865" spans="2:8">
      <c r="B865" s="136"/>
      <c r="G865" s="376"/>
      <c r="H865" s="376"/>
    </row>
    <row r="866" spans="2:8">
      <c r="B866" s="136"/>
      <c r="G866" s="376"/>
      <c r="H866" s="376"/>
    </row>
    <row r="867" spans="2:8">
      <c r="B867" s="136"/>
      <c r="G867" s="376"/>
      <c r="H867" s="376"/>
    </row>
    <row r="868" spans="2:8">
      <c r="B868" s="136"/>
      <c r="G868" s="376"/>
      <c r="H868" s="376"/>
    </row>
    <row r="869" spans="2:8">
      <c r="B869" s="136"/>
      <c r="G869" s="376"/>
      <c r="H869" s="376"/>
    </row>
    <row r="870" spans="2:8">
      <c r="B870" s="136"/>
      <c r="G870" s="376"/>
      <c r="H870" s="376"/>
    </row>
    <row r="871" spans="2:8">
      <c r="B871" s="136"/>
      <c r="G871" s="376"/>
      <c r="H871" s="376"/>
    </row>
    <row r="872" spans="2:8">
      <c r="B872" s="136"/>
      <c r="G872" s="376"/>
      <c r="H872" s="376"/>
    </row>
    <row r="873" spans="2:8">
      <c r="B873" s="136"/>
      <c r="G873" s="376"/>
      <c r="H873" s="376"/>
    </row>
    <row r="874" spans="2:8">
      <c r="B874" s="136"/>
      <c r="G874" s="376"/>
      <c r="H874" s="376"/>
    </row>
    <row r="875" spans="2:8">
      <c r="B875" s="136"/>
      <c r="G875" s="376"/>
      <c r="H875" s="376"/>
    </row>
    <row r="876" spans="2:8">
      <c r="B876" s="136"/>
      <c r="G876" s="376"/>
      <c r="H876" s="376"/>
    </row>
    <row r="877" spans="2:8">
      <c r="B877" s="136"/>
      <c r="G877" s="376"/>
      <c r="H877" s="376"/>
    </row>
    <row r="878" spans="2:8">
      <c r="B878" s="136"/>
      <c r="G878" s="376"/>
      <c r="H878" s="376"/>
    </row>
    <row r="879" spans="2:8">
      <c r="B879" s="136"/>
      <c r="G879" s="376"/>
      <c r="H879" s="376"/>
    </row>
    <row r="880" spans="2:8">
      <c r="B880" s="136"/>
      <c r="G880" s="376"/>
      <c r="H880" s="376"/>
    </row>
    <row r="881" spans="2:8">
      <c r="B881" s="136"/>
      <c r="G881" s="376"/>
      <c r="H881" s="376"/>
    </row>
    <row r="882" spans="2:8">
      <c r="B882" s="136"/>
      <c r="G882" s="376"/>
      <c r="H882" s="376"/>
    </row>
    <row r="883" spans="2:8">
      <c r="B883" s="136"/>
      <c r="G883" s="376"/>
      <c r="H883" s="376"/>
    </row>
    <row r="884" spans="2:8">
      <c r="B884" s="136"/>
      <c r="G884" s="376"/>
      <c r="H884" s="376"/>
    </row>
    <row r="885" spans="2:8">
      <c r="B885" s="136"/>
      <c r="G885" s="376"/>
      <c r="H885" s="376"/>
    </row>
    <row r="886" spans="2:8">
      <c r="B886" s="136"/>
      <c r="G886" s="376"/>
      <c r="H886" s="376"/>
    </row>
    <row r="887" spans="2:8">
      <c r="B887" s="136"/>
      <c r="G887" s="376"/>
      <c r="H887" s="376"/>
    </row>
    <row r="888" spans="2:8">
      <c r="B888" s="136"/>
      <c r="G888" s="376"/>
      <c r="H888" s="376"/>
    </row>
    <row r="889" spans="2:8">
      <c r="B889" s="136"/>
      <c r="G889" s="376"/>
      <c r="H889" s="376"/>
    </row>
    <row r="890" spans="2:8">
      <c r="B890" s="136"/>
      <c r="G890" s="376"/>
      <c r="H890" s="376"/>
    </row>
    <row r="891" spans="2:8">
      <c r="B891" s="136"/>
      <c r="G891" s="376"/>
      <c r="H891" s="376"/>
    </row>
    <row r="892" spans="2:8">
      <c r="B892" s="136"/>
      <c r="G892" s="376"/>
      <c r="H892" s="376"/>
    </row>
    <row r="893" spans="2:8">
      <c r="B893" s="136"/>
      <c r="G893" s="376"/>
      <c r="H893" s="376"/>
    </row>
    <row r="894" spans="2:8">
      <c r="B894" s="136"/>
      <c r="G894" s="376"/>
      <c r="H894" s="376"/>
    </row>
    <row r="895" spans="2:8">
      <c r="B895" s="136"/>
      <c r="G895" s="376"/>
      <c r="H895" s="376"/>
    </row>
    <row r="896" spans="2:8">
      <c r="B896" s="136"/>
      <c r="G896" s="376"/>
      <c r="H896" s="376"/>
    </row>
    <row r="897" spans="2:8">
      <c r="B897" s="136"/>
      <c r="G897" s="376"/>
      <c r="H897" s="376"/>
    </row>
    <row r="898" spans="2:8">
      <c r="B898" s="136"/>
      <c r="G898" s="376"/>
      <c r="H898" s="376"/>
    </row>
    <row r="899" spans="2:8">
      <c r="B899" s="136"/>
      <c r="G899" s="376"/>
      <c r="H899" s="376"/>
    </row>
    <row r="900" spans="2:8">
      <c r="B900" s="136"/>
      <c r="G900" s="376"/>
      <c r="H900" s="376"/>
    </row>
    <row r="901" spans="2:8">
      <c r="B901" s="136"/>
      <c r="G901" s="376"/>
      <c r="H901" s="376"/>
    </row>
    <row r="902" spans="2:8">
      <c r="B902" s="136"/>
      <c r="G902" s="376"/>
      <c r="H902" s="376"/>
    </row>
    <row r="903" spans="2:8">
      <c r="B903" s="136"/>
      <c r="G903" s="376"/>
      <c r="H903" s="376"/>
    </row>
    <row r="904" spans="2:8">
      <c r="B904" s="136"/>
      <c r="G904" s="376"/>
      <c r="H904" s="376"/>
    </row>
    <row r="905" spans="2:8">
      <c r="B905" s="136"/>
      <c r="G905" s="376"/>
      <c r="H905" s="376"/>
    </row>
    <row r="906" spans="2:8">
      <c r="B906" s="136"/>
      <c r="G906" s="376"/>
      <c r="H906" s="376"/>
    </row>
    <row r="907" spans="2:8">
      <c r="B907" s="136"/>
      <c r="G907" s="376"/>
      <c r="H907" s="376"/>
    </row>
    <row r="908" spans="2:8">
      <c r="B908" s="136"/>
      <c r="G908" s="376"/>
      <c r="H908" s="376"/>
    </row>
    <row r="909" spans="2:8">
      <c r="B909" s="136"/>
      <c r="G909" s="376"/>
      <c r="H909" s="376"/>
    </row>
    <row r="910" spans="2:8">
      <c r="B910" s="136"/>
      <c r="G910" s="376"/>
      <c r="H910" s="376"/>
    </row>
    <row r="911" spans="2:8">
      <c r="B911" s="136"/>
      <c r="G911" s="376"/>
      <c r="H911" s="376"/>
    </row>
    <row r="912" spans="2:8">
      <c r="B912" s="136"/>
      <c r="G912" s="376"/>
      <c r="H912" s="376"/>
    </row>
    <row r="913" spans="2:8">
      <c r="B913" s="136"/>
      <c r="G913" s="376"/>
      <c r="H913" s="376"/>
    </row>
    <row r="914" spans="2:8">
      <c r="B914" s="136"/>
      <c r="G914" s="376"/>
      <c r="H914" s="376"/>
    </row>
    <row r="915" spans="2:8">
      <c r="B915" s="136"/>
      <c r="G915" s="376"/>
      <c r="H915" s="376"/>
    </row>
    <row r="916" spans="2:8">
      <c r="B916" s="136"/>
      <c r="G916" s="376"/>
      <c r="H916" s="376"/>
    </row>
    <row r="917" spans="2:8">
      <c r="B917" s="136"/>
      <c r="G917" s="376"/>
      <c r="H917" s="376"/>
    </row>
    <row r="918" spans="2:8">
      <c r="B918" s="136"/>
      <c r="G918" s="376"/>
      <c r="H918" s="376"/>
    </row>
    <row r="919" spans="2:8">
      <c r="B919" s="136"/>
      <c r="G919" s="376"/>
      <c r="H919" s="376"/>
    </row>
    <row r="920" spans="2:8">
      <c r="B920" s="136"/>
      <c r="G920" s="376"/>
      <c r="H920" s="376"/>
    </row>
    <row r="921" spans="2:8">
      <c r="B921" s="136"/>
      <c r="G921" s="376"/>
      <c r="H921" s="376"/>
    </row>
    <row r="922" spans="2:8">
      <c r="B922" s="136"/>
      <c r="G922" s="376"/>
      <c r="H922" s="376"/>
    </row>
    <row r="923" spans="2:8">
      <c r="B923" s="136"/>
      <c r="G923" s="376"/>
      <c r="H923" s="376"/>
    </row>
    <row r="924" spans="2:8">
      <c r="B924" s="136"/>
      <c r="G924" s="376"/>
      <c r="H924" s="376"/>
    </row>
    <row r="925" spans="2:8">
      <c r="B925" s="136"/>
      <c r="G925" s="376"/>
      <c r="H925" s="376"/>
    </row>
    <row r="926" spans="2:8">
      <c r="B926" s="136"/>
      <c r="G926" s="376"/>
      <c r="H926" s="376"/>
    </row>
    <row r="927" spans="2:8">
      <c r="B927" s="136"/>
      <c r="G927" s="376"/>
      <c r="H927" s="376"/>
    </row>
    <row r="928" spans="2:8">
      <c r="B928" s="136"/>
      <c r="G928" s="376"/>
      <c r="H928" s="376"/>
    </row>
    <row r="929" spans="2:8">
      <c r="B929" s="136"/>
      <c r="G929" s="376"/>
      <c r="H929" s="376"/>
    </row>
    <row r="930" spans="2:8">
      <c r="B930" s="136"/>
      <c r="G930" s="376"/>
      <c r="H930" s="376"/>
    </row>
    <row r="931" spans="2:8">
      <c r="B931" s="136"/>
      <c r="G931" s="376"/>
      <c r="H931" s="376"/>
    </row>
    <row r="932" spans="2:8">
      <c r="B932" s="136"/>
      <c r="G932" s="376"/>
      <c r="H932" s="376"/>
    </row>
    <row r="933" spans="2:8">
      <c r="B933" s="136"/>
      <c r="G933" s="376"/>
      <c r="H933" s="376"/>
    </row>
    <row r="934" spans="2:8">
      <c r="B934" s="136"/>
      <c r="G934" s="376"/>
      <c r="H934" s="376"/>
    </row>
    <row r="935" spans="2:8">
      <c r="B935" s="136"/>
      <c r="G935" s="376"/>
      <c r="H935" s="376"/>
    </row>
    <row r="936" spans="2:8">
      <c r="B936" s="136"/>
      <c r="G936" s="376"/>
      <c r="H936" s="376"/>
    </row>
    <row r="937" spans="2:8">
      <c r="B937" s="136"/>
      <c r="G937" s="376"/>
      <c r="H937" s="376"/>
    </row>
    <row r="938" spans="2:8">
      <c r="B938" s="136"/>
      <c r="G938" s="376"/>
      <c r="H938" s="376"/>
    </row>
    <row r="939" spans="2:8">
      <c r="B939" s="136"/>
      <c r="G939" s="376"/>
      <c r="H939" s="376"/>
    </row>
    <row r="940" spans="2:8">
      <c r="B940" s="136"/>
      <c r="G940" s="376"/>
      <c r="H940" s="376"/>
    </row>
    <row r="941" spans="2:8">
      <c r="B941" s="136"/>
      <c r="G941" s="376"/>
      <c r="H941" s="376"/>
    </row>
    <row r="942" spans="2:8">
      <c r="B942" s="136"/>
      <c r="G942" s="376"/>
      <c r="H942" s="376"/>
    </row>
    <row r="943" spans="2:8">
      <c r="B943" s="136"/>
      <c r="G943" s="376"/>
      <c r="H943" s="376"/>
    </row>
    <row r="944" spans="2:8">
      <c r="B944" s="136"/>
      <c r="G944" s="376"/>
      <c r="H944" s="376"/>
    </row>
    <row r="945" spans="2:8">
      <c r="B945" s="136"/>
      <c r="G945" s="376"/>
      <c r="H945" s="376"/>
    </row>
    <row r="946" spans="2:8">
      <c r="B946" s="136"/>
      <c r="G946" s="376"/>
      <c r="H946" s="376"/>
    </row>
    <row r="947" spans="2:8">
      <c r="B947" s="136"/>
      <c r="G947" s="376"/>
      <c r="H947" s="376"/>
    </row>
    <row r="948" spans="2:8">
      <c r="B948" s="136"/>
      <c r="G948" s="376"/>
      <c r="H948" s="376"/>
    </row>
    <row r="949" spans="2:8">
      <c r="B949" s="136"/>
      <c r="G949" s="376"/>
      <c r="H949" s="376"/>
    </row>
    <row r="950" spans="2:8">
      <c r="B950" s="136"/>
      <c r="G950" s="376"/>
      <c r="H950" s="376"/>
    </row>
    <row r="951" spans="2:8">
      <c r="B951" s="136"/>
      <c r="G951" s="376"/>
      <c r="H951" s="376"/>
    </row>
    <row r="952" spans="2:8">
      <c r="B952" s="136"/>
      <c r="G952" s="376"/>
      <c r="H952" s="376"/>
    </row>
    <row r="953" spans="2:8">
      <c r="B953" s="136"/>
      <c r="G953" s="376"/>
      <c r="H953" s="376"/>
    </row>
    <row r="954" spans="2:8">
      <c r="B954" s="136"/>
      <c r="G954" s="376"/>
      <c r="H954" s="376"/>
    </row>
    <row r="955" spans="2:8">
      <c r="B955" s="136"/>
      <c r="G955" s="376"/>
      <c r="H955" s="376"/>
    </row>
    <row r="956" spans="2:8">
      <c r="B956" s="136"/>
      <c r="G956" s="376"/>
      <c r="H956" s="376"/>
    </row>
    <row r="957" spans="2:8">
      <c r="B957" s="136"/>
      <c r="G957" s="376"/>
      <c r="H957" s="376"/>
    </row>
    <row r="958" spans="2:8">
      <c r="B958" s="136"/>
      <c r="G958" s="376"/>
      <c r="H958" s="376"/>
    </row>
    <row r="959" spans="2:8">
      <c r="B959" s="136"/>
      <c r="G959" s="376"/>
      <c r="H959" s="376"/>
    </row>
    <row r="960" spans="2:8">
      <c r="B960" s="136"/>
      <c r="G960" s="376"/>
      <c r="H960" s="376"/>
    </row>
    <row r="961" spans="2:8">
      <c r="B961" s="136"/>
      <c r="G961" s="376"/>
      <c r="H961" s="376"/>
    </row>
    <row r="962" spans="2:8">
      <c r="B962" s="136"/>
      <c r="G962" s="376"/>
      <c r="H962" s="376"/>
    </row>
    <row r="963" spans="2:8">
      <c r="B963" s="136"/>
      <c r="G963" s="376"/>
      <c r="H963" s="376"/>
    </row>
    <row r="964" spans="2:8">
      <c r="B964" s="136"/>
      <c r="G964" s="376"/>
      <c r="H964" s="376"/>
    </row>
    <row r="965" spans="2:8">
      <c r="B965" s="136"/>
      <c r="G965" s="376"/>
      <c r="H965" s="376"/>
    </row>
    <row r="966" spans="2:8">
      <c r="B966" s="136"/>
      <c r="G966" s="376"/>
      <c r="H966" s="376"/>
    </row>
    <row r="967" spans="2:8">
      <c r="B967" s="136"/>
      <c r="G967" s="376"/>
      <c r="H967" s="376"/>
    </row>
    <row r="968" spans="2:8">
      <c r="B968" s="136"/>
      <c r="G968" s="376"/>
      <c r="H968" s="376"/>
    </row>
    <row r="969" spans="2:8">
      <c r="B969" s="136"/>
      <c r="G969" s="376"/>
      <c r="H969" s="376"/>
    </row>
    <row r="970" spans="2:8">
      <c r="B970" s="136"/>
      <c r="G970" s="376"/>
      <c r="H970" s="376"/>
    </row>
    <row r="971" spans="2:8">
      <c r="B971" s="136"/>
      <c r="G971" s="376"/>
      <c r="H971" s="376"/>
    </row>
    <row r="972" spans="2:8">
      <c r="B972" s="136"/>
      <c r="G972" s="376"/>
      <c r="H972" s="376"/>
    </row>
    <row r="973" spans="2:8">
      <c r="B973" s="136"/>
      <c r="G973" s="376"/>
      <c r="H973" s="376"/>
    </row>
    <row r="974" spans="2:8">
      <c r="B974" s="136"/>
      <c r="G974" s="376"/>
      <c r="H974" s="376"/>
    </row>
    <row r="975" spans="2:8">
      <c r="B975" s="136"/>
      <c r="G975" s="376"/>
      <c r="H975" s="376"/>
    </row>
    <row r="976" spans="2:8">
      <c r="B976" s="136"/>
      <c r="G976" s="376"/>
      <c r="H976" s="376"/>
    </row>
    <row r="977" spans="2:8">
      <c r="B977" s="136"/>
      <c r="G977" s="376"/>
      <c r="H977" s="376"/>
    </row>
    <row r="978" spans="2:8">
      <c r="B978" s="136"/>
      <c r="G978" s="376"/>
      <c r="H978" s="376"/>
    </row>
    <row r="979" spans="2:8">
      <c r="B979" s="136"/>
      <c r="G979" s="376"/>
      <c r="H979" s="376"/>
    </row>
    <row r="980" spans="2:8">
      <c r="B980" s="136"/>
      <c r="G980" s="376"/>
      <c r="H980" s="376"/>
    </row>
    <row r="981" spans="2:8">
      <c r="B981" s="136"/>
      <c r="G981" s="376"/>
      <c r="H981" s="376"/>
    </row>
    <row r="982" spans="2:8">
      <c r="B982" s="136"/>
      <c r="G982" s="376"/>
      <c r="H982" s="376"/>
    </row>
    <row r="983" spans="2:8">
      <c r="B983" s="136"/>
      <c r="G983" s="376"/>
      <c r="H983" s="376"/>
    </row>
    <row r="984" spans="2:8">
      <c r="B984" s="136"/>
      <c r="G984" s="376"/>
      <c r="H984" s="376"/>
    </row>
    <row r="985" spans="2:8">
      <c r="B985" s="136"/>
      <c r="G985" s="376"/>
      <c r="H985" s="376"/>
    </row>
    <row r="986" spans="2:8">
      <c r="B986" s="136"/>
      <c r="G986" s="376"/>
      <c r="H986" s="376"/>
    </row>
    <row r="987" spans="2:8">
      <c r="B987" s="136"/>
      <c r="G987" s="376"/>
      <c r="H987" s="376"/>
    </row>
    <row r="988" spans="2:8">
      <c r="B988" s="136"/>
      <c r="G988" s="376"/>
      <c r="H988" s="376"/>
    </row>
    <row r="989" spans="2:8">
      <c r="B989" s="136"/>
      <c r="G989" s="376"/>
      <c r="H989" s="376"/>
    </row>
    <row r="990" spans="2:8">
      <c r="B990" s="136"/>
      <c r="G990" s="376"/>
      <c r="H990" s="376"/>
    </row>
    <row r="991" spans="2:8">
      <c r="B991" s="136"/>
      <c r="G991" s="376"/>
      <c r="H991" s="376"/>
    </row>
    <row r="992" spans="2:8">
      <c r="B992" s="136"/>
      <c r="G992" s="376"/>
      <c r="H992" s="376"/>
    </row>
    <row r="993" spans="2:8">
      <c r="B993" s="136"/>
      <c r="G993" s="376"/>
      <c r="H993" s="376"/>
    </row>
    <row r="994" spans="2:8">
      <c r="B994" s="136"/>
      <c r="G994" s="376"/>
      <c r="H994" s="376"/>
    </row>
    <row r="995" spans="2:8">
      <c r="B995" s="136"/>
      <c r="G995" s="376"/>
      <c r="H995" s="376"/>
    </row>
    <row r="996" spans="2:8">
      <c r="B996" s="136"/>
      <c r="G996" s="376"/>
      <c r="H996" s="376"/>
    </row>
    <row r="997" spans="2:8">
      <c r="B997" s="136"/>
      <c r="G997" s="376"/>
      <c r="H997" s="376"/>
    </row>
    <row r="998" spans="2:8">
      <c r="B998" s="136"/>
      <c r="G998" s="376"/>
      <c r="H998" s="376"/>
    </row>
    <row r="999" spans="2:8">
      <c r="B999" s="136"/>
      <c r="G999" s="376"/>
      <c r="H999" s="376"/>
    </row>
    <row r="1000" spans="2:8">
      <c r="B1000" s="136"/>
      <c r="G1000" s="376"/>
      <c r="H1000" s="376"/>
    </row>
    <row r="1001" spans="2:8">
      <c r="B1001" s="136"/>
      <c r="G1001" s="376"/>
      <c r="H1001" s="376"/>
    </row>
    <row r="1002" spans="2:8">
      <c r="B1002" s="136"/>
      <c r="G1002" s="376"/>
      <c r="H1002" s="376"/>
    </row>
    <row r="1003" spans="2:8">
      <c r="B1003" s="136"/>
      <c r="G1003" s="376"/>
      <c r="H1003" s="376"/>
    </row>
    <row r="1004" spans="2:8">
      <c r="B1004" s="136"/>
      <c r="G1004" s="376"/>
      <c r="H1004" s="376"/>
    </row>
    <row r="1005" spans="2:8">
      <c r="B1005" s="136"/>
      <c r="G1005" s="376"/>
      <c r="H1005" s="376"/>
    </row>
    <row r="1006" spans="2:8">
      <c r="B1006" s="136"/>
      <c r="G1006" s="376"/>
      <c r="H1006" s="376"/>
    </row>
    <row r="1007" spans="2:8">
      <c r="B1007" s="136"/>
      <c r="G1007" s="376"/>
      <c r="H1007" s="376"/>
    </row>
    <row r="1008" spans="2:8">
      <c r="B1008" s="136"/>
      <c r="G1008" s="376"/>
      <c r="H1008" s="376"/>
    </row>
    <row r="1009" spans="2:8">
      <c r="B1009" s="136"/>
      <c r="G1009" s="376"/>
      <c r="H1009" s="376"/>
    </row>
    <row r="1010" spans="2:8">
      <c r="B1010" s="136"/>
      <c r="G1010" s="376"/>
      <c r="H1010" s="376"/>
    </row>
    <row r="1011" spans="2:8">
      <c r="B1011" s="136"/>
      <c r="G1011" s="376"/>
      <c r="H1011" s="376"/>
    </row>
    <row r="1012" spans="2:8">
      <c r="B1012" s="136"/>
      <c r="G1012" s="376"/>
      <c r="H1012" s="376"/>
    </row>
    <row r="1013" spans="2:8">
      <c r="B1013" s="136"/>
      <c r="G1013" s="376"/>
      <c r="H1013" s="376"/>
    </row>
    <row r="1014" spans="2:8">
      <c r="B1014" s="136"/>
      <c r="G1014" s="376"/>
      <c r="H1014" s="376"/>
    </row>
    <row r="1015" spans="2:8">
      <c r="B1015" s="136"/>
      <c r="G1015" s="376"/>
      <c r="H1015" s="376"/>
    </row>
    <row r="1016" spans="2:8">
      <c r="B1016" s="136"/>
      <c r="G1016" s="376"/>
      <c r="H1016" s="376"/>
    </row>
    <row r="1017" spans="2:8">
      <c r="B1017" s="136"/>
      <c r="G1017" s="376"/>
      <c r="H1017" s="376"/>
    </row>
    <row r="1018" spans="2:8">
      <c r="B1018" s="136"/>
      <c r="G1018" s="376"/>
      <c r="H1018" s="376"/>
    </row>
    <row r="1019" spans="2:8">
      <c r="B1019" s="136"/>
      <c r="G1019" s="376"/>
      <c r="H1019" s="376"/>
    </row>
    <row r="1020" spans="2:8">
      <c r="B1020" s="136"/>
      <c r="G1020" s="376"/>
      <c r="H1020" s="376"/>
    </row>
    <row r="1021" spans="2:8">
      <c r="B1021" s="136"/>
      <c r="G1021" s="376"/>
      <c r="H1021" s="376"/>
    </row>
    <row r="1022" spans="2:8">
      <c r="B1022" s="136"/>
      <c r="G1022" s="376"/>
      <c r="H1022" s="376"/>
    </row>
    <row r="1023" spans="2:8">
      <c r="B1023" s="136"/>
      <c r="G1023" s="376"/>
      <c r="H1023" s="376"/>
    </row>
    <row r="1024" spans="2:8">
      <c r="B1024" s="136"/>
      <c r="G1024" s="376"/>
      <c r="H1024" s="376"/>
    </row>
    <row r="1025" spans="2:8">
      <c r="B1025" s="136"/>
      <c r="G1025" s="376"/>
      <c r="H1025" s="376"/>
    </row>
    <row r="1026" spans="2:8">
      <c r="B1026" s="136"/>
      <c r="G1026" s="376"/>
      <c r="H1026" s="376"/>
    </row>
    <row r="1027" spans="2:8">
      <c r="B1027" s="136"/>
      <c r="G1027" s="376"/>
      <c r="H1027" s="376"/>
    </row>
    <row r="1028" spans="2:8">
      <c r="B1028" s="136"/>
      <c r="G1028" s="376"/>
      <c r="H1028" s="376"/>
    </row>
    <row r="1029" spans="2:8">
      <c r="B1029" s="136"/>
      <c r="G1029" s="376"/>
      <c r="H1029" s="376"/>
    </row>
    <row r="1030" spans="2:8">
      <c r="B1030" s="136"/>
      <c r="G1030" s="376"/>
      <c r="H1030" s="376"/>
    </row>
    <row r="1031" spans="2:8">
      <c r="B1031" s="136"/>
      <c r="G1031" s="376"/>
      <c r="H1031" s="376"/>
    </row>
    <row r="1032" spans="2:8">
      <c r="B1032" s="136"/>
      <c r="G1032" s="376"/>
      <c r="H1032" s="376"/>
    </row>
    <row r="1033" spans="2:8">
      <c r="B1033" s="136"/>
      <c r="G1033" s="376"/>
      <c r="H1033" s="376"/>
    </row>
    <row r="1034" spans="2:8">
      <c r="B1034" s="136"/>
      <c r="G1034" s="376"/>
      <c r="H1034" s="376"/>
    </row>
    <row r="1035" spans="2:8">
      <c r="B1035" s="136"/>
      <c r="G1035" s="376"/>
      <c r="H1035" s="376"/>
    </row>
    <row r="1036" spans="2:8">
      <c r="B1036" s="136"/>
      <c r="G1036" s="376"/>
      <c r="H1036" s="376"/>
    </row>
    <row r="1037" spans="2:8">
      <c r="B1037" s="136"/>
      <c r="G1037" s="376"/>
      <c r="H1037" s="376"/>
    </row>
    <row r="1038" spans="2:8">
      <c r="B1038" s="136"/>
      <c r="G1038" s="376"/>
      <c r="H1038" s="376"/>
    </row>
    <row r="1039" spans="2:8">
      <c r="B1039" s="136"/>
      <c r="G1039" s="376"/>
      <c r="H1039" s="376"/>
    </row>
    <row r="1040" spans="2:8">
      <c r="B1040" s="136"/>
      <c r="G1040" s="376"/>
      <c r="H1040" s="376"/>
    </row>
    <row r="1041" spans="2:8">
      <c r="B1041" s="136"/>
      <c r="G1041" s="376"/>
      <c r="H1041" s="376"/>
    </row>
    <row r="1042" spans="2:8">
      <c r="B1042" s="136"/>
      <c r="G1042" s="376"/>
      <c r="H1042" s="376"/>
    </row>
    <row r="1043" spans="2:8">
      <c r="B1043" s="136"/>
      <c r="G1043" s="376"/>
      <c r="H1043" s="376"/>
    </row>
    <row r="1044" spans="2:8">
      <c r="B1044" s="136"/>
      <c r="G1044" s="376"/>
      <c r="H1044" s="376"/>
    </row>
    <row r="1045" spans="2:8">
      <c r="B1045" s="136"/>
      <c r="G1045" s="376"/>
      <c r="H1045" s="376"/>
    </row>
    <row r="1046" spans="2:8">
      <c r="B1046" s="136"/>
      <c r="G1046" s="376"/>
      <c r="H1046" s="376"/>
    </row>
    <row r="1047" spans="2:8">
      <c r="B1047" s="136"/>
      <c r="G1047" s="376"/>
      <c r="H1047" s="376"/>
    </row>
    <row r="1048" spans="2:8">
      <c r="B1048" s="136"/>
      <c r="G1048" s="376"/>
      <c r="H1048" s="376"/>
    </row>
    <row r="1049" spans="2:8">
      <c r="B1049" s="136"/>
      <c r="G1049" s="376"/>
      <c r="H1049" s="376"/>
    </row>
    <row r="1050" spans="2:8">
      <c r="B1050" s="136"/>
      <c r="G1050" s="376"/>
      <c r="H1050" s="376"/>
    </row>
    <row r="1051" spans="2:8">
      <c r="B1051" s="136"/>
      <c r="G1051" s="376"/>
      <c r="H1051" s="376"/>
    </row>
    <row r="1052" spans="2:8">
      <c r="B1052" s="136"/>
      <c r="G1052" s="376"/>
      <c r="H1052" s="376"/>
    </row>
    <row r="1053" spans="2:8">
      <c r="B1053" s="136"/>
      <c r="G1053" s="376"/>
      <c r="H1053" s="376"/>
    </row>
    <row r="1054" spans="2:8">
      <c r="B1054" s="136"/>
      <c r="G1054" s="376"/>
      <c r="H1054" s="376"/>
    </row>
    <row r="1055" spans="2:8">
      <c r="B1055" s="136"/>
      <c r="G1055" s="376"/>
      <c r="H1055" s="376"/>
    </row>
    <row r="1056" spans="2:8">
      <c r="B1056" s="136"/>
      <c r="G1056" s="376"/>
      <c r="H1056" s="376"/>
    </row>
    <row r="1057" spans="2:8">
      <c r="B1057" s="136"/>
      <c r="G1057" s="376"/>
      <c r="H1057" s="376"/>
    </row>
    <row r="1058" spans="2:8">
      <c r="B1058" s="136"/>
      <c r="G1058" s="376"/>
      <c r="H1058" s="376"/>
    </row>
    <row r="1059" spans="2:8">
      <c r="B1059" s="136"/>
      <c r="G1059" s="376"/>
      <c r="H1059" s="376"/>
    </row>
    <row r="1060" spans="2:8">
      <c r="B1060" s="136"/>
      <c r="G1060" s="376"/>
      <c r="H1060" s="376"/>
    </row>
    <row r="1061" spans="2:8">
      <c r="B1061" s="136"/>
      <c r="G1061" s="376"/>
      <c r="H1061" s="376"/>
    </row>
    <row r="1062" spans="2:8">
      <c r="B1062" s="136"/>
      <c r="G1062" s="376"/>
      <c r="H1062" s="376"/>
    </row>
    <row r="1063" spans="2:8">
      <c r="B1063" s="136"/>
      <c r="G1063" s="376"/>
      <c r="H1063" s="376"/>
    </row>
    <row r="1064" spans="2:8">
      <c r="B1064" s="136"/>
      <c r="G1064" s="376"/>
      <c r="H1064" s="376"/>
    </row>
    <row r="1065" spans="2:8">
      <c r="B1065" s="136"/>
      <c r="F1065" s="136"/>
    </row>
    <row r="1066" spans="2:8">
      <c r="B1066" s="136"/>
      <c r="F1066" s="136"/>
    </row>
  </sheetData>
  <autoFilter ref="A2:FO271"/>
  <conditionalFormatting sqref="B271:B1048576 B1:B231">
    <cfRule type="duplicateValues" dxfId="11" priority="2"/>
  </conditionalFormatting>
  <conditionalFormatting sqref="B232:B237">
    <cfRule type="duplicateValues" dxfId="10" priority="3"/>
  </conditionalFormatting>
  <conditionalFormatting sqref="B238:B270">
    <cfRule type="duplicateValues" dxfId="9" priority="4"/>
  </conditionalFormatting>
  <pageMargins left="0.3" right="0.5" top="0.35" bottom="0.37986111111111098" header="0.51180555555555496" footer="0.51180555555555496"/>
  <pageSetup paperSize="9" firstPageNumber="0" fitToHeight="3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T173"/>
  <sheetViews>
    <sheetView topLeftCell="C136" zoomScale="110" zoomScaleNormal="110" workbookViewId="0">
      <selection activeCell="F145" sqref="F145:M152"/>
    </sheetView>
  </sheetViews>
  <sheetFormatPr defaultRowHeight="15"/>
  <cols>
    <col min="1" max="1" width="8.7109375" customWidth="1"/>
    <col min="2" max="2" width="6.28515625" style="136" customWidth="1"/>
    <col min="3" max="3" width="9.140625" style="136" customWidth="1"/>
    <col min="4" max="4" width="13.42578125" customWidth="1"/>
    <col min="5" max="5" width="14.42578125" style="136" customWidth="1"/>
    <col min="6" max="6" width="40.28515625" customWidth="1"/>
    <col min="7" max="11" width="9.140625" hidden="1" customWidth="1"/>
    <col min="12" max="12" width="11.5703125" hidden="1" customWidth="1"/>
    <col min="13" max="13" width="15.42578125" style="379" customWidth="1"/>
    <col min="14" max="14" width="11.28515625" style="136" customWidth="1"/>
    <col min="15" max="15" width="17.42578125" customWidth="1"/>
    <col min="16" max="16" width="13.7109375" customWidth="1"/>
    <col min="17" max="17" width="13.85546875" customWidth="1"/>
    <col min="18" max="18" width="14.5703125" customWidth="1"/>
    <col min="19" max="19" width="12.7109375" customWidth="1"/>
    <col min="20" max="20" width="9.28515625" bestFit="1" customWidth="1"/>
    <col min="21" max="1025" width="8.7109375" customWidth="1"/>
  </cols>
  <sheetData>
    <row r="1" spans="2:18">
      <c r="B1" s="1298" t="s">
        <v>886</v>
      </c>
      <c r="C1" s="1298"/>
      <c r="D1" s="1298"/>
      <c r="E1" s="1298"/>
      <c r="F1" s="1298"/>
      <c r="G1" s="1298"/>
      <c r="H1" s="1298"/>
      <c r="I1" s="1298"/>
      <c r="J1" s="1298"/>
      <c r="K1" s="1298"/>
      <c r="L1" s="1298"/>
      <c r="M1" s="1298"/>
      <c r="N1" s="1298"/>
      <c r="O1" s="1298"/>
      <c r="P1" s="1298"/>
      <c r="Q1" s="1298"/>
      <c r="R1" s="1298"/>
    </row>
    <row r="2" spans="2:18">
      <c r="B2" s="1299" t="s">
        <v>887</v>
      </c>
      <c r="C2" s="1299"/>
      <c r="D2" s="1299"/>
      <c r="E2" s="1299"/>
      <c r="F2" s="1299"/>
      <c r="G2" s="1299"/>
      <c r="H2" s="1299"/>
      <c r="I2" s="1299"/>
      <c r="J2" s="1299"/>
      <c r="K2" s="1299"/>
      <c r="L2" s="1299"/>
      <c r="M2" s="1299"/>
      <c r="N2" s="1299"/>
      <c r="O2" s="222"/>
      <c r="P2" s="448" t="str">
        <f>'CIRCLE INPUT'!Q3</f>
        <v>OCT.2024</v>
      </c>
      <c r="R2" s="449"/>
    </row>
    <row r="3" spans="2:18" ht="33" customHeight="1">
      <c r="B3" s="450" t="s">
        <v>888</v>
      </c>
      <c r="C3" s="451" t="s">
        <v>889</v>
      </c>
      <c r="D3" s="452" t="s">
        <v>890</v>
      </c>
      <c r="E3" s="450" t="s">
        <v>891</v>
      </c>
      <c r="F3" s="453" t="s">
        <v>892</v>
      </c>
      <c r="G3" s="452" t="s">
        <v>893</v>
      </c>
      <c r="H3" s="452" t="s">
        <v>894</v>
      </c>
      <c r="I3" s="452" t="s">
        <v>895</v>
      </c>
      <c r="J3" s="453" t="s">
        <v>896</v>
      </c>
      <c r="K3" s="453" t="s">
        <v>135</v>
      </c>
      <c r="L3" s="453"/>
      <c r="M3" s="454" t="s">
        <v>897</v>
      </c>
      <c r="N3" s="450"/>
      <c r="O3" s="450" t="s">
        <v>898</v>
      </c>
      <c r="P3" s="452" t="s">
        <v>899</v>
      </c>
      <c r="Q3" s="452" t="s">
        <v>900</v>
      </c>
      <c r="R3" s="452" t="s">
        <v>901</v>
      </c>
    </row>
    <row r="4" spans="2:18" ht="15" customHeight="1">
      <c r="B4" s="329">
        <v>1</v>
      </c>
      <c r="C4" s="354" t="s">
        <v>196</v>
      </c>
      <c r="D4" s="455">
        <v>596308</v>
      </c>
      <c r="E4" s="354">
        <v>600</v>
      </c>
      <c r="F4" s="456" t="s">
        <v>902</v>
      </c>
      <c r="G4" s="133"/>
      <c r="H4" s="133"/>
      <c r="I4" s="133"/>
      <c r="J4" s="133"/>
      <c r="K4" s="133"/>
      <c r="L4" s="133"/>
      <c r="M4" s="457">
        <f>'RAO HT'!I115</f>
        <v>164456</v>
      </c>
      <c r="N4" s="1300">
        <f>SUM(M4:M23)</f>
        <v>914507</v>
      </c>
      <c r="O4" s="1286" t="s">
        <v>903</v>
      </c>
      <c r="P4" s="1286" t="s">
        <v>904</v>
      </c>
      <c r="Q4" s="1286" t="s">
        <v>905</v>
      </c>
      <c r="R4" s="1286" t="s">
        <v>80</v>
      </c>
    </row>
    <row r="5" spans="2:18">
      <c r="B5" s="329">
        <v>2</v>
      </c>
      <c r="C5" s="354" t="s">
        <v>196</v>
      </c>
      <c r="D5" s="133">
        <v>596253</v>
      </c>
      <c r="E5" s="181">
        <v>125</v>
      </c>
      <c r="F5" s="456" t="s">
        <v>906</v>
      </c>
      <c r="G5" s="133"/>
      <c r="H5" s="133"/>
      <c r="I5" s="133"/>
      <c r="J5" s="133"/>
      <c r="K5" s="133"/>
      <c r="L5" s="133"/>
      <c r="M5" s="457">
        <f>'RAO HT'!I83</f>
        <v>4458</v>
      </c>
      <c r="N5" s="1300"/>
      <c r="O5" s="1286"/>
      <c r="P5" s="1286"/>
      <c r="Q5" s="1286"/>
      <c r="R5" s="1286"/>
    </row>
    <row r="6" spans="2:18">
      <c r="B6" s="329">
        <v>3</v>
      </c>
      <c r="C6" s="354" t="s">
        <v>196</v>
      </c>
      <c r="D6" s="459">
        <v>596309</v>
      </c>
      <c r="E6" s="329">
        <v>150</v>
      </c>
      <c r="F6" s="456" t="s">
        <v>907</v>
      </c>
      <c r="G6" s="459"/>
      <c r="H6" s="459"/>
      <c r="I6" s="459"/>
      <c r="J6" s="459"/>
      <c r="K6" s="459"/>
      <c r="L6" s="459"/>
      <c r="M6" s="457">
        <f>'RAO HT'!I116</f>
        <v>25910</v>
      </c>
      <c r="N6" s="1300"/>
      <c r="O6" s="1286"/>
      <c r="P6" s="1286"/>
      <c r="Q6" s="1286"/>
      <c r="R6" s="1286"/>
    </row>
    <row r="7" spans="2:18">
      <c r="B7" s="329">
        <v>5</v>
      </c>
      <c r="C7" s="354" t="s">
        <v>196</v>
      </c>
      <c r="D7" s="459">
        <v>596342</v>
      </c>
      <c r="E7" s="329">
        <v>100</v>
      </c>
      <c r="F7" s="456" t="s">
        <v>908</v>
      </c>
      <c r="G7" s="459"/>
      <c r="H7" s="459"/>
      <c r="I7" s="459"/>
      <c r="J7" s="459"/>
      <c r="K7" s="459"/>
      <c r="L7" s="459"/>
      <c r="M7" s="457">
        <f>'RAO HT'!I143</f>
        <v>6095</v>
      </c>
      <c r="N7" s="1300"/>
      <c r="O7" s="1286"/>
      <c r="P7" s="1286"/>
      <c r="Q7" s="1286"/>
      <c r="R7" s="1286"/>
    </row>
    <row r="8" spans="2:18">
      <c r="B8" s="329">
        <v>6</v>
      </c>
      <c r="C8" s="354" t="s">
        <v>196</v>
      </c>
      <c r="D8" s="133">
        <v>596338</v>
      </c>
      <c r="E8" s="181">
        <v>225</v>
      </c>
      <c r="F8" s="456" t="s">
        <v>909</v>
      </c>
      <c r="G8" s="133"/>
      <c r="H8" s="133"/>
      <c r="I8" s="133"/>
      <c r="J8" s="133"/>
      <c r="K8" s="133"/>
      <c r="L8" s="133"/>
      <c r="M8" s="457">
        <f>'RAO HT'!I141</f>
        <v>29253</v>
      </c>
      <c r="N8" s="1300"/>
      <c r="O8" s="1286"/>
      <c r="P8" s="1286"/>
      <c r="Q8" s="1286"/>
      <c r="R8" s="1286"/>
    </row>
    <row r="9" spans="2:18">
      <c r="B9" s="329">
        <v>7</v>
      </c>
      <c r="C9" s="354" t="s">
        <v>196</v>
      </c>
      <c r="D9" s="133">
        <v>596346</v>
      </c>
      <c r="E9" s="181">
        <v>100</v>
      </c>
      <c r="F9" s="456" t="s">
        <v>910</v>
      </c>
      <c r="G9" s="133"/>
      <c r="H9" s="133"/>
      <c r="I9" s="133"/>
      <c r="J9" s="133"/>
      <c r="K9" s="133"/>
      <c r="L9" s="133"/>
      <c r="M9" s="460">
        <f>'RAO HT'!I146</f>
        <v>11074</v>
      </c>
      <c r="N9" s="1300"/>
      <c r="O9" s="1286"/>
      <c r="P9" s="1286"/>
      <c r="Q9" s="1286"/>
      <c r="R9" s="1286"/>
    </row>
    <row r="10" spans="2:18">
      <c r="B10" s="329">
        <v>8</v>
      </c>
      <c r="C10" s="354" t="s">
        <v>196</v>
      </c>
      <c r="D10" s="461">
        <v>5673000000</v>
      </c>
      <c r="E10" s="462">
        <v>100</v>
      </c>
      <c r="F10" s="463" t="s">
        <v>911</v>
      </c>
      <c r="G10" s="464"/>
      <c r="H10" s="464"/>
      <c r="I10" s="464"/>
      <c r="J10" s="464"/>
      <c r="K10" s="464"/>
      <c r="L10" s="464"/>
      <c r="M10" s="460">
        <f>'RAO HT'!I199</f>
        <v>16158</v>
      </c>
      <c r="N10" s="1300"/>
      <c r="O10" s="1286"/>
      <c r="P10" s="1286"/>
      <c r="Q10" s="1286"/>
      <c r="R10" s="1286"/>
    </row>
    <row r="11" spans="2:18" s="1" customFormat="1" ht="25.5">
      <c r="B11" s="329">
        <v>9</v>
      </c>
      <c r="C11" s="354" t="s">
        <v>196</v>
      </c>
      <c r="D11" s="465">
        <v>7630000000</v>
      </c>
      <c r="E11" s="466">
        <v>100</v>
      </c>
      <c r="F11" s="467" t="s">
        <v>912</v>
      </c>
      <c r="G11" s="468"/>
      <c r="H11" s="468"/>
      <c r="I11" s="468"/>
      <c r="J11" s="468"/>
      <c r="K11" s="468"/>
      <c r="L11" s="468"/>
      <c r="M11" s="469">
        <f>'RAO HT'!I200</f>
        <v>5665</v>
      </c>
      <c r="N11" s="1300"/>
      <c r="O11" s="1286"/>
      <c r="P11" s="1286"/>
      <c r="Q11" s="1286"/>
      <c r="R11" s="1286"/>
    </row>
    <row r="12" spans="2:18">
      <c r="B12" s="329">
        <v>10</v>
      </c>
      <c r="C12" s="354" t="s">
        <v>196</v>
      </c>
      <c r="D12" s="459">
        <v>8733000000</v>
      </c>
      <c r="E12" s="329">
        <v>150</v>
      </c>
      <c r="F12" s="470" t="s">
        <v>913</v>
      </c>
      <c r="G12" s="471"/>
      <c r="H12" s="471"/>
      <c r="I12" s="471"/>
      <c r="J12" s="471"/>
      <c r="K12" s="471"/>
      <c r="L12" s="471"/>
      <c r="M12" s="472">
        <f>'RAO HT'!I196</f>
        <v>91563</v>
      </c>
      <c r="N12" s="1300"/>
      <c r="O12" s="1286"/>
      <c r="P12" s="1286"/>
      <c r="Q12" s="1286"/>
      <c r="R12" s="1286"/>
    </row>
    <row r="13" spans="2:18">
      <c r="B13" s="329">
        <v>11</v>
      </c>
      <c r="C13" s="354" t="s">
        <v>196</v>
      </c>
      <c r="D13" s="461">
        <v>2900000000</v>
      </c>
      <c r="E13" s="462">
        <v>100</v>
      </c>
      <c r="F13" s="456" t="s">
        <v>914</v>
      </c>
      <c r="G13" s="464"/>
      <c r="H13" s="464"/>
      <c r="I13" s="464"/>
      <c r="J13" s="464"/>
      <c r="K13" s="464"/>
      <c r="L13" s="464"/>
      <c r="M13" s="472">
        <f>'RAO HT'!I193</f>
        <v>0</v>
      </c>
      <c r="N13" s="1300"/>
      <c r="O13" s="1286"/>
      <c r="P13" s="1286"/>
      <c r="Q13" s="1286"/>
      <c r="R13" s="1286"/>
    </row>
    <row r="14" spans="2:18">
      <c r="B14" s="329">
        <v>12</v>
      </c>
      <c r="C14" s="354" t="s">
        <v>196</v>
      </c>
      <c r="D14" s="473">
        <v>9018971255</v>
      </c>
      <c r="E14" s="462"/>
      <c r="F14" s="456" t="s">
        <v>915</v>
      </c>
      <c r="G14" s="464"/>
      <c r="H14" s="464"/>
      <c r="I14" s="464"/>
      <c r="J14" s="464"/>
      <c r="K14" s="464"/>
      <c r="L14" s="464"/>
      <c r="M14" s="472">
        <f>'RAO HT'!I204</f>
        <v>207170</v>
      </c>
      <c r="N14" s="1300"/>
      <c r="O14" s="1286"/>
      <c r="P14" s="1286"/>
      <c r="Q14" s="1286"/>
      <c r="R14" s="1286"/>
    </row>
    <row r="15" spans="2:18">
      <c r="B15" s="329">
        <v>13</v>
      </c>
      <c r="C15" s="354" t="s">
        <v>196</v>
      </c>
      <c r="D15" s="461">
        <v>596406</v>
      </c>
      <c r="E15" s="462"/>
      <c r="F15" s="456" t="s">
        <v>916</v>
      </c>
      <c r="G15" s="464"/>
      <c r="H15" s="464"/>
      <c r="I15" s="464"/>
      <c r="J15" s="464"/>
      <c r="K15" s="464"/>
      <c r="L15" s="464"/>
      <c r="M15" s="472">
        <f>'RAO HT'!I186</f>
        <v>73263</v>
      </c>
      <c r="N15" s="1300"/>
      <c r="O15" s="1286"/>
      <c r="P15" s="1286"/>
      <c r="Q15" s="1286"/>
      <c r="R15" s="1286"/>
    </row>
    <row r="16" spans="2:18" ht="15.75">
      <c r="B16" s="329">
        <v>14</v>
      </c>
      <c r="C16" s="354" t="s">
        <v>196</v>
      </c>
      <c r="D16" s="461"/>
      <c r="E16" s="462"/>
      <c r="F16" s="474" t="s">
        <v>917</v>
      </c>
      <c r="G16" s="464"/>
      <c r="H16" s="464"/>
      <c r="I16" s="464"/>
      <c r="J16" s="464"/>
      <c r="K16" s="464"/>
      <c r="L16" s="464"/>
      <c r="M16" s="472">
        <f>'RAO HT'!I209</f>
        <v>55164</v>
      </c>
      <c r="N16" s="1300"/>
      <c r="O16" s="1286"/>
      <c r="P16" s="1286"/>
      <c r="Q16" s="1286"/>
      <c r="R16" s="1286"/>
    </row>
    <row r="17" spans="2:18">
      <c r="B17" s="329">
        <v>15</v>
      </c>
      <c r="C17" s="354" t="s">
        <v>196</v>
      </c>
      <c r="D17" s="461"/>
      <c r="E17" s="462"/>
      <c r="F17" s="475" t="s">
        <v>918</v>
      </c>
      <c r="G17" s="464"/>
      <c r="H17" s="464"/>
      <c r="I17" s="464"/>
      <c r="J17" s="464"/>
      <c r="K17" s="464"/>
      <c r="L17" s="464"/>
      <c r="M17" s="472">
        <f>'RAO HT'!I212</f>
        <v>3105</v>
      </c>
      <c r="N17" s="1300"/>
      <c r="O17" s="1286"/>
      <c r="P17" s="1286"/>
      <c r="Q17" s="1286"/>
      <c r="R17" s="1286"/>
    </row>
    <row r="18" spans="2:18">
      <c r="B18" s="329">
        <v>16</v>
      </c>
      <c r="C18" s="354" t="s">
        <v>196</v>
      </c>
      <c r="D18" s="461"/>
      <c r="E18" s="462"/>
      <c r="F18" s="475" t="s">
        <v>789</v>
      </c>
      <c r="G18" s="464"/>
      <c r="H18" s="464"/>
      <c r="I18" s="464"/>
      <c r="J18" s="464"/>
      <c r="K18" s="464"/>
      <c r="L18" s="464"/>
      <c r="M18" s="472">
        <f>'RAO HT'!I224</f>
        <v>6621</v>
      </c>
      <c r="N18" s="1300"/>
      <c r="O18" s="1286"/>
      <c r="P18" s="1286"/>
      <c r="Q18" s="1286"/>
      <c r="R18" s="1286"/>
    </row>
    <row r="19" spans="2:18">
      <c r="B19" s="329"/>
      <c r="C19" s="354"/>
      <c r="D19" s="461"/>
      <c r="E19" s="462"/>
      <c r="F19" s="475" t="s">
        <v>797</v>
      </c>
      <c r="G19" s="464"/>
      <c r="H19" s="464"/>
      <c r="I19" s="464"/>
      <c r="J19" s="464"/>
      <c r="K19" s="464"/>
      <c r="L19" s="464"/>
      <c r="M19" s="472">
        <f>'RAO HT'!I225</f>
        <v>72111</v>
      </c>
      <c r="N19" s="1300"/>
      <c r="O19" s="1286"/>
      <c r="P19" s="1286"/>
      <c r="Q19" s="1286"/>
      <c r="R19" s="1286"/>
    </row>
    <row r="20" spans="2:18">
      <c r="B20" s="329"/>
      <c r="C20" s="354"/>
      <c r="D20" s="476" t="s">
        <v>811</v>
      </c>
      <c r="E20" s="462"/>
      <c r="F20" s="441" t="s">
        <v>812</v>
      </c>
      <c r="G20" s="464"/>
      <c r="H20" s="464"/>
      <c r="I20" s="464"/>
      <c r="J20" s="464"/>
      <c r="K20" s="464"/>
      <c r="L20" s="464"/>
      <c r="M20" s="472">
        <f>'RAO HT'!I232</f>
        <v>0</v>
      </c>
      <c r="N20" s="1300"/>
      <c r="O20" s="1286"/>
      <c r="P20" s="1286"/>
      <c r="Q20" s="1286"/>
      <c r="R20" s="1286"/>
    </row>
    <row r="21" spans="2:18">
      <c r="B21" s="329"/>
      <c r="C21" s="354"/>
      <c r="D21" s="476" t="s">
        <v>873</v>
      </c>
      <c r="E21" s="462"/>
      <c r="F21" s="441" t="s">
        <v>874</v>
      </c>
      <c r="G21" s="464"/>
      <c r="H21" s="464"/>
      <c r="I21" s="464"/>
      <c r="J21" s="464"/>
      <c r="K21" s="464"/>
      <c r="L21" s="464"/>
      <c r="M21" s="472">
        <f>'RAO HT'!I263</f>
        <v>11723</v>
      </c>
      <c r="N21" s="1300"/>
      <c r="O21" s="1286"/>
      <c r="P21" s="1286"/>
      <c r="Q21" s="1286"/>
      <c r="R21" s="1286"/>
    </row>
    <row r="22" spans="2:18">
      <c r="B22" s="329"/>
      <c r="C22" s="354"/>
      <c r="D22" s="476" t="s">
        <v>877</v>
      </c>
      <c r="E22" s="462"/>
      <c r="F22" s="441" t="s">
        <v>878</v>
      </c>
      <c r="G22" s="464"/>
      <c r="H22" s="464"/>
      <c r="I22" s="464"/>
      <c r="J22" s="464"/>
      <c r="K22" s="464"/>
      <c r="L22" s="464"/>
      <c r="M22" s="472">
        <f>'RAO HT'!I265</f>
        <v>17420</v>
      </c>
      <c r="N22" s="1300"/>
      <c r="O22" s="1286"/>
      <c r="P22" s="1286"/>
      <c r="Q22" s="1286"/>
      <c r="R22" s="1286"/>
    </row>
    <row r="23" spans="2:18">
      <c r="B23" s="329">
        <v>17</v>
      </c>
      <c r="C23" s="354" t="s">
        <v>196</v>
      </c>
      <c r="D23" s="476">
        <v>596404</v>
      </c>
      <c r="E23" s="462"/>
      <c r="F23" s="456" t="s">
        <v>919</v>
      </c>
      <c r="G23" s="464"/>
      <c r="H23" s="464"/>
      <c r="I23" s="464"/>
      <c r="J23" s="464"/>
      <c r="K23" s="464"/>
      <c r="L23" s="464"/>
      <c r="M23" s="472">
        <f>'RAO HT'!I184</f>
        <v>113298</v>
      </c>
      <c r="N23" s="1300"/>
      <c r="O23" s="1286"/>
      <c r="P23" s="1286"/>
      <c r="Q23" s="1286"/>
      <c r="R23" s="1286"/>
    </row>
    <row r="24" spans="2:18" ht="15" customHeight="1">
      <c r="B24" s="329">
        <v>18</v>
      </c>
      <c r="C24" s="354" t="s">
        <v>196</v>
      </c>
      <c r="D24" s="133">
        <v>596153</v>
      </c>
      <c r="E24" s="181">
        <v>700</v>
      </c>
      <c r="F24" s="456" t="s">
        <v>920</v>
      </c>
      <c r="G24" s="133"/>
      <c r="H24" s="133"/>
      <c r="I24" s="133"/>
      <c r="J24" s="133"/>
      <c r="K24" s="133"/>
      <c r="L24" s="133"/>
      <c r="M24" s="457">
        <f>'RAO HT'!I44</f>
        <v>95896</v>
      </c>
      <c r="N24" s="1291">
        <f>SUM(M24:M29)</f>
        <v>231186</v>
      </c>
      <c r="O24" s="1286" t="s">
        <v>921</v>
      </c>
      <c r="P24" s="1286"/>
      <c r="Q24" s="1286" t="s">
        <v>921</v>
      </c>
      <c r="R24" s="1286"/>
    </row>
    <row r="25" spans="2:18">
      <c r="B25" s="329">
        <v>19</v>
      </c>
      <c r="C25" s="354" t="s">
        <v>196</v>
      </c>
      <c r="D25" s="133">
        <v>596296</v>
      </c>
      <c r="E25" s="181">
        <v>160</v>
      </c>
      <c r="F25" s="456" t="s">
        <v>922</v>
      </c>
      <c r="G25" s="133"/>
      <c r="H25" s="133"/>
      <c r="I25" s="133"/>
      <c r="J25" s="133"/>
      <c r="K25" s="133"/>
      <c r="L25" s="133"/>
      <c r="M25" s="457">
        <f>'RAO HT'!I106</f>
        <v>30119</v>
      </c>
      <c r="N25" s="1291"/>
      <c r="O25" s="1286"/>
      <c r="P25" s="1286"/>
      <c r="Q25" s="1286"/>
      <c r="R25" s="1286"/>
    </row>
    <row r="26" spans="2:18" ht="26.25">
      <c r="B26" s="329"/>
      <c r="C26" s="354" t="s">
        <v>196</v>
      </c>
      <c r="D26" s="133" t="s">
        <v>801</v>
      </c>
      <c r="E26" s="181"/>
      <c r="F26" s="456" t="s">
        <v>802</v>
      </c>
      <c r="G26" s="133"/>
      <c r="H26" s="133"/>
      <c r="I26" s="133"/>
      <c r="J26" s="133"/>
      <c r="K26" s="133"/>
      <c r="L26" s="133"/>
      <c r="M26" s="457">
        <f>'RAO HT'!I227</f>
        <v>28323</v>
      </c>
      <c r="N26" s="1291"/>
      <c r="O26" s="1286"/>
      <c r="P26" s="1286"/>
      <c r="Q26" s="478"/>
      <c r="R26" s="458"/>
    </row>
    <row r="27" spans="2:18">
      <c r="B27" s="329"/>
      <c r="C27" s="354" t="s">
        <v>196</v>
      </c>
      <c r="D27" s="133" t="s">
        <v>803</v>
      </c>
      <c r="E27" s="181"/>
      <c r="F27" s="456" t="s">
        <v>804</v>
      </c>
      <c r="G27" s="133"/>
      <c r="H27" s="133"/>
      <c r="I27" s="133"/>
      <c r="J27" s="133"/>
      <c r="K27" s="133"/>
      <c r="L27" s="133"/>
      <c r="M27" s="457">
        <f>'RAO HT'!I228</f>
        <v>11523</v>
      </c>
      <c r="N27" s="1291"/>
      <c r="O27" s="1286"/>
      <c r="P27" s="1286"/>
      <c r="Q27" s="478"/>
      <c r="R27" s="458"/>
    </row>
    <row r="28" spans="2:18">
      <c r="B28" s="329"/>
      <c r="C28" s="354" t="s">
        <v>196</v>
      </c>
      <c r="D28" s="133" t="s">
        <v>805</v>
      </c>
      <c r="E28" s="181"/>
      <c r="F28" s="456" t="s">
        <v>806</v>
      </c>
      <c r="G28" s="133"/>
      <c r="H28" s="133"/>
      <c r="I28" s="133"/>
      <c r="J28" s="133"/>
      <c r="K28" s="133"/>
      <c r="L28" s="133"/>
      <c r="M28" s="457">
        <f>'RAO HT'!I229</f>
        <v>16446</v>
      </c>
      <c r="N28" s="1291"/>
      <c r="O28" s="1286"/>
      <c r="P28" s="1286"/>
      <c r="Q28" s="478"/>
      <c r="R28" s="458"/>
    </row>
    <row r="29" spans="2:18">
      <c r="B29" s="329">
        <v>20</v>
      </c>
      <c r="C29" s="354" t="s">
        <v>196</v>
      </c>
      <c r="D29" s="479">
        <v>596375</v>
      </c>
      <c r="E29" s="480">
        <v>100</v>
      </c>
      <c r="F29" s="481" t="s">
        <v>923</v>
      </c>
      <c r="G29" s="133"/>
      <c r="H29" s="133"/>
      <c r="I29" s="133"/>
      <c r="J29" s="133"/>
      <c r="K29" s="133"/>
      <c r="L29" s="133"/>
      <c r="M29" s="457">
        <f>'RAO HT'!I156</f>
        <v>48879</v>
      </c>
      <c r="N29" s="1291"/>
      <c r="O29" s="1286"/>
      <c r="P29" s="1286"/>
      <c r="Q29" s="482" t="s">
        <v>924</v>
      </c>
      <c r="R29" s="458" t="s">
        <v>82</v>
      </c>
    </row>
    <row r="30" spans="2:18">
      <c r="B30" s="329"/>
      <c r="C30" s="354"/>
      <c r="D30" s="483" t="s">
        <v>849</v>
      </c>
      <c r="E30" s="484"/>
      <c r="F30" s="481" t="s">
        <v>850</v>
      </c>
      <c r="G30" s="133"/>
      <c r="H30" s="133"/>
      <c r="I30" s="133"/>
      <c r="J30" s="133"/>
      <c r="K30" s="133"/>
      <c r="L30" s="133"/>
      <c r="M30" s="457">
        <f>'RAO HT'!I251</f>
        <v>7224</v>
      </c>
      <c r="N30" s="485">
        <f>M30</f>
        <v>7224</v>
      </c>
      <c r="O30" s="486" t="s">
        <v>925</v>
      </c>
      <c r="P30" s="478" t="s">
        <v>926</v>
      </c>
      <c r="Q30" s="482"/>
      <c r="R30" s="458"/>
    </row>
    <row r="31" spans="2:18">
      <c r="B31" s="329"/>
      <c r="C31" s="354"/>
      <c r="D31" s="483" t="s">
        <v>867</v>
      </c>
      <c r="E31" s="484"/>
      <c r="F31" s="481" t="s">
        <v>868</v>
      </c>
      <c r="G31" s="133"/>
      <c r="H31" s="133"/>
      <c r="I31" s="133"/>
      <c r="J31" s="133"/>
      <c r="K31" s="133"/>
      <c r="L31" s="133"/>
      <c r="M31" s="457">
        <f>'RAO HT'!I260</f>
        <v>306120</v>
      </c>
      <c r="N31" s="485">
        <f>M31</f>
        <v>306120</v>
      </c>
      <c r="O31" s="486" t="s">
        <v>927</v>
      </c>
      <c r="P31" s="478" t="s">
        <v>928</v>
      </c>
      <c r="Q31" s="482"/>
      <c r="R31" s="458"/>
    </row>
    <row r="32" spans="2:18" ht="15" customHeight="1">
      <c r="B32" s="329">
        <v>21</v>
      </c>
      <c r="C32" s="354" t="s">
        <v>196</v>
      </c>
      <c r="D32" s="461">
        <v>7956000000</v>
      </c>
      <c r="E32" s="462">
        <v>380</v>
      </c>
      <c r="F32" s="456" t="s">
        <v>929</v>
      </c>
      <c r="G32" s="133"/>
      <c r="H32" s="133"/>
      <c r="I32" s="133"/>
      <c r="J32" s="133"/>
      <c r="K32" s="133"/>
      <c r="L32" s="133"/>
      <c r="M32" s="457">
        <f>'RAO HT'!I201</f>
        <v>96022</v>
      </c>
      <c r="N32" s="1296">
        <f>M32+M33+M34+M35+M36</f>
        <v>513052</v>
      </c>
      <c r="O32" s="1286" t="s">
        <v>930</v>
      </c>
      <c r="P32" s="1286" t="s">
        <v>931</v>
      </c>
      <c r="Q32" s="1286" t="s">
        <v>932</v>
      </c>
      <c r="R32" s="1286" t="s">
        <v>80</v>
      </c>
    </row>
    <row r="33" spans="2:19">
      <c r="B33" s="329">
        <v>22</v>
      </c>
      <c r="C33" s="354" t="s">
        <v>196</v>
      </c>
      <c r="D33" s="133">
        <v>596228</v>
      </c>
      <c r="E33" s="181">
        <v>1500</v>
      </c>
      <c r="F33" s="488" t="s">
        <v>933</v>
      </c>
      <c r="G33" s="133"/>
      <c r="H33" s="133"/>
      <c r="I33" s="133"/>
      <c r="J33" s="133"/>
      <c r="K33" s="133"/>
      <c r="L33" s="133"/>
      <c r="M33" s="489">
        <f>'RAO HT'!I73</f>
        <v>255623</v>
      </c>
      <c r="N33" s="1296"/>
      <c r="O33" s="1286"/>
      <c r="P33" s="1286"/>
      <c r="Q33" s="1286"/>
      <c r="R33" s="1286"/>
    </row>
    <row r="34" spans="2:19">
      <c r="B34" s="329">
        <v>23</v>
      </c>
      <c r="C34" s="354" t="s">
        <v>196</v>
      </c>
      <c r="D34" s="133">
        <v>596165</v>
      </c>
      <c r="E34" s="181">
        <v>250</v>
      </c>
      <c r="F34" s="456" t="s">
        <v>934</v>
      </c>
      <c r="G34" s="133"/>
      <c r="H34" s="133"/>
      <c r="I34" s="133"/>
      <c r="J34" s="133"/>
      <c r="K34" s="133"/>
      <c r="L34" s="133"/>
      <c r="M34" s="490">
        <f>'RAO HT'!I50</f>
        <v>0</v>
      </c>
      <c r="N34" s="1296"/>
      <c r="O34" s="1286"/>
      <c r="P34" s="1286"/>
      <c r="Q34" s="1286"/>
      <c r="R34" s="1286"/>
    </row>
    <row r="35" spans="2:19">
      <c r="B35" s="329">
        <v>24</v>
      </c>
      <c r="C35" s="354" t="s">
        <v>196</v>
      </c>
      <c r="D35" s="133">
        <v>596388</v>
      </c>
      <c r="E35" s="181">
        <v>100</v>
      </c>
      <c r="F35" s="133" t="s">
        <v>935</v>
      </c>
      <c r="G35" s="133"/>
      <c r="H35" s="133"/>
      <c r="I35" s="133"/>
      <c r="J35" s="133"/>
      <c r="K35" s="133"/>
      <c r="L35" s="133"/>
      <c r="M35" s="490">
        <f>'RAO HT'!I168</f>
        <v>16971</v>
      </c>
      <c r="N35" s="1296"/>
      <c r="O35" s="1286"/>
      <c r="P35" s="1286"/>
      <c r="Q35" s="1286"/>
      <c r="R35" s="1286"/>
    </row>
    <row r="36" spans="2:19">
      <c r="B36" s="329">
        <v>25</v>
      </c>
      <c r="C36" s="354" t="s">
        <v>196</v>
      </c>
      <c r="D36" s="133">
        <v>574012</v>
      </c>
      <c r="E36" s="181">
        <v>350</v>
      </c>
      <c r="F36" s="488" t="s">
        <v>936</v>
      </c>
      <c r="G36" s="133"/>
      <c r="H36" s="133"/>
      <c r="I36" s="133"/>
      <c r="J36" s="133"/>
      <c r="K36" s="133"/>
      <c r="L36" s="133"/>
      <c r="M36" s="491">
        <f>'RAO HT'!I17</f>
        <v>144436</v>
      </c>
      <c r="N36" s="1296"/>
      <c r="O36" s="1286"/>
      <c r="P36" s="1286"/>
      <c r="Q36" s="1286"/>
      <c r="R36" s="1286"/>
    </row>
    <row r="37" spans="2:19">
      <c r="B37" s="329">
        <v>26</v>
      </c>
      <c r="C37" s="354" t="s">
        <v>196</v>
      </c>
      <c r="D37" s="133">
        <v>596311</v>
      </c>
      <c r="E37" s="181">
        <v>100</v>
      </c>
      <c r="F37" s="456" t="s">
        <v>937</v>
      </c>
      <c r="G37" s="133"/>
      <c r="H37" s="133" t="s">
        <v>15</v>
      </c>
      <c r="I37" s="133"/>
      <c r="J37" s="133"/>
      <c r="K37" s="133"/>
      <c r="L37" s="133"/>
      <c r="M37" s="490">
        <f>'RAO HT'!I117</f>
        <v>16917</v>
      </c>
      <c r="N37" s="487">
        <f>M37</f>
        <v>16917</v>
      </c>
      <c r="O37" s="458" t="s">
        <v>218</v>
      </c>
      <c r="P37" s="1286"/>
      <c r="Q37" s="458" t="s">
        <v>938</v>
      </c>
      <c r="R37" s="1286"/>
    </row>
    <row r="38" spans="2:19" ht="15" customHeight="1">
      <c r="B38" s="329">
        <v>27</v>
      </c>
      <c r="C38" s="354" t="s">
        <v>196</v>
      </c>
      <c r="D38" s="133">
        <v>7225000000</v>
      </c>
      <c r="E38" s="181">
        <v>250</v>
      </c>
      <c r="F38" s="456" t="s">
        <v>939</v>
      </c>
      <c r="G38" s="133"/>
      <c r="H38" s="133"/>
      <c r="I38" s="133"/>
      <c r="J38" s="133"/>
      <c r="K38" s="133"/>
      <c r="L38" s="133"/>
      <c r="M38" s="490">
        <f>'RAO HT'!I195</f>
        <v>41425</v>
      </c>
      <c r="N38" s="1297">
        <f>M38+M39</f>
        <v>86230</v>
      </c>
      <c r="O38" s="1286" t="s">
        <v>940</v>
      </c>
      <c r="P38" s="1286" t="s">
        <v>941</v>
      </c>
      <c r="Q38" s="354" t="s">
        <v>156</v>
      </c>
      <c r="R38" s="1286"/>
    </row>
    <row r="39" spans="2:19" ht="15" customHeight="1">
      <c r="B39" s="329">
        <v>28</v>
      </c>
      <c r="C39" s="354" t="s">
        <v>196</v>
      </c>
      <c r="D39" s="133">
        <v>596257</v>
      </c>
      <c r="E39" s="181">
        <v>100</v>
      </c>
      <c r="F39" s="456" t="s">
        <v>942</v>
      </c>
      <c r="G39" s="133"/>
      <c r="H39" s="133"/>
      <c r="I39" s="133"/>
      <c r="J39" s="133"/>
      <c r="K39" s="133"/>
      <c r="L39" s="133"/>
      <c r="M39" s="492">
        <f>'RAO HT'!I85</f>
        <v>44805</v>
      </c>
      <c r="N39" s="1297"/>
      <c r="O39" s="1286"/>
      <c r="P39" s="1286"/>
      <c r="Q39" s="493" t="s">
        <v>943</v>
      </c>
      <c r="R39" s="1286" t="s">
        <v>81</v>
      </c>
      <c r="S39">
        <v>5935560</v>
      </c>
    </row>
    <row r="40" spans="2:19" ht="15" customHeight="1">
      <c r="B40" s="329">
        <v>29</v>
      </c>
      <c r="C40" s="354" t="s">
        <v>196</v>
      </c>
      <c r="D40" s="133">
        <v>596215</v>
      </c>
      <c r="E40" s="181">
        <v>253</v>
      </c>
      <c r="F40" s="456" t="s">
        <v>944</v>
      </c>
      <c r="G40" s="133"/>
      <c r="H40" s="133"/>
      <c r="I40" s="133"/>
      <c r="J40" s="133"/>
      <c r="K40" s="133"/>
      <c r="L40" s="133"/>
      <c r="M40" s="494">
        <f>'RAO HT'!I69</f>
        <v>62921</v>
      </c>
      <c r="N40" s="1291">
        <f>SUM(M40:M48)</f>
        <v>651564</v>
      </c>
      <c r="O40" s="1286" t="s">
        <v>945</v>
      </c>
      <c r="P40" s="1286" t="s">
        <v>946</v>
      </c>
      <c r="Q40" s="1286" t="s">
        <v>947</v>
      </c>
      <c r="R40" s="1286"/>
    </row>
    <row r="41" spans="2:19">
      <c r="B41" s="329">
        <v>30</v>
      </c>
      <c r="C41" s="354" t="s">
        <v>196</v>
      </c>
      <c r="D41" s="133">
        <v>596306</v>
      </c>
      <c r="E41" s="181">
        <v>100</v>
      </c>
      <c r="F41" s="456" t="s">
        <v>948</v>
      </c>
      <c r="G41" s="133"/>
      <c r="H41" s="133"/>
      <c r="I41" s="133"/>
      <c r="J41" s="133"/>
      <c r="K41" s="133"/>
      <c r="L41" s="133"/>
      <c r="M41" s="494">
        <f>'RAO HT'!I113</f>
        <v>0</v>
      </c>
      <c r="N41" s="1291"/>
      <c r="O41" s="1286"/>
      <c r="P41" s="1286"/>
      <c r="Q41" s="1286"/>
      <c r="R41" s="1286"/>
    </row>
    <row r="42" spans="2:19">
      <c r="B42" s="329">
        <v>31</v>
      </c>
      <c r="C42" s="354" t="s">
        <v>196</v>
      </c>
      <c r="D42" s="133">
        <v>596205</v>
      </c>
      <c r="E42" s="181">
        <v>475</v>
      </c>
      <c r="F42" s="488" t="s">
        <v>949</v>
      </c>
      <c r="G42" s="133"/>
      <c r="H42" s="133"/>
      <c r="I42" s="133"/>
      <c r="J42" s="133"/>
      <c r="K42" s="133"/>
      <c r="L42" s="133"/>
      <c r="M42" s="494">
        <f>'RAO HT'!I64</f>
        <v>0</v>
      </c>
      <c r="N42" s="1291"/>
      <c r="O42" s="1286"/>
      <c r="P42" s="1286"/>
      <c r="Q42" s="1286"/>
      <c r="R42" s="1286"/>
    </row>
    <row r="43" spans="2:19">
      <c r="B43" s="329">
        <v>32</v>
      </c>
      <c r="C43" s="354" t="s">
        <v>196</v>
      </c>
      <c r="D43" s="133">
        <v>596214</v>
      </c>
      <c r="E43" s="181">
        <v>300</v>
      </c>
      <c r="F43" s="488" t="s">
        <v>950</v>
      </c>
      <c r="G43" s="133"/>
      <c r="H43" s="133"/>
      <c r="I43" s="133"/>
      <c r="J43" s="133"/>
      <c r="K43" s="133"/>
      <c r="L43" s="133"/>
      <c r="M43" s="494">
        <f>'RAO HT'!I68</f>
        <v>105551</v>
      </c>
      <c r="N43" s="1291"/>
      <c r="O43" s="1286"/>
      <c r="P43" s="1286"/>
      <c r="Q43" s="1286"/>
      <c r="R43" s="1286"/>
    </row>
    <row r="44" spans="2:19">
      <c r="B44" s="329">
        <v>33</v>
      </c>
      <c r="C44" s="354" t="s">
        <v>196</v>
      </c>
      <c r="D44" s="133">
        <v>596301</v>
      </c>
      <c r="E44" s="181">
        <v>375</v>
      </c>
      <c r="F44" s="456" t="s">
        <v>951</v>
      </c>
      <c r="G44" s="133"/>
      <c r="H44" s="133"/>
      <c r="I44" s="133"/>
      <c r="J44" s="133"/>
      <c r="K44" s="133"/>
      <c r="L44" s="133"/>
      <c r="M44" s="494">
        <f>'RAO HT'!I110</f>
        <v>168657</v>
      </c>
      <c r="N44" s="1291"/>
      <c r="O44" s="1286"/>
      <c r="P44" s="1286"/>
      <c r="Q44" s="1286"/>
      <c r="R44" s="1286"/>
    </row>
    <row r="45" spans="2:19">
      <c r="B45" s="329">
        <v>34</v>
      </c>
      <c r="C45" s="354" t="s">
        <v>196</v>
      </c>
      <c r="D45" s="133">
        <v>596190</v>
      </c>
      <c r="E45" s="181">
        <v>525</v>
      </c>
      <c r="F45" s="488" t="s">
        <v>952</v>
      </c>
      <c r="G45" s="133"/>
      <c r="H45" s="133"/>
      <c r="I45" s="133"/>
      <c r="J45" s="133"/>
      <c r="K45" s="133"/>
      <c r="L45" s="133"/>
      <c r="M45" s="494">
        <f>'RAO HT'!I61</f>
        <v>103787</v>
      </c>
      <c r="N45" s="1291"/>
      <c r="O45" s="1286"/>
      <c r="P45" s="1286"/>
      <c r="Q45" s="1286"/>
      <c r="R45" s="1286"/>
    </row>
    <row r="46" spans="2:19">
      <c r="B46" s="329">
        <v>35</v>
      </c>
      <c r="C46" s="354" t="s">
        <v>196</v>
      </c>
      <c r="D46" s="461">
        <v>4889000000</v>
      </c>
      <c r="E46" s="462">
        <v>350</v>
      </c>
      <c r="F46" s="470" t="s">
        <v>953</v>
      </c>
      <c r="G46" s="133"/>
      <c r="H46" s="133"/>
      <c r="I46" s="133"/>
      <c r="J46" s="133"/>
      <c r="K46" s="133"/>
      <c r="L46" s="133"/>
      <c r="M46" s="495">
        <f>'RAO HT'!I194</f>
        <v>53085</v>
      </c>
      <c r="N46" s="1291"/>
      <c r="O46" s="1286"/>
      <c r="P46" s="1286"/>
      <c r="Q46" s="1286"/>
      <c r="R46" s="1286"/>
    </row>
    <row r="47" spans="2:19">
      <c r="B47" s="329"/>
      <c r="C47" s="354"/>
      <c r="D47" s="440" t="s">
        <v>823</v>
      </c>
      <c r="E47" s="462"/>
      <c r="F47" s="470" t="s">
        <v>824</v>
      </c>
      <c r="G47" s="133"/>
      <c r="H47" s="133"/>
      <c r="I47" s="133"/>
      <c r="J47" s="133"/>
      <c r="K47" s="133"/>
      <c r="L47" s="133"/>
      <c r="M47" s="495">
        <f>'RAO HT'!I238</f>
        <v>99261</v>
      </c>
      <c r="N47" s="1291"/>
      <c r="O47" s="1286"/>
      <c r="P47" s="1286"/>
      <c r="Q47" s="1286"/>
      <c r="R47" s="1286"/>
    </row>
    <row r="48" spans="2:19">
      <c r="B48" s="329">
        <v>36</v>
      </c>
      <c r="C48" s="354" t="s">
        <v>196</v>
      </c>
      <c r="D48" s="473">
        <v>5210932103</v>
      </c>
      <c r="E48" s="462"/>
      <c r="F48" s="470" t="s">
        <v>759</v>
      </c>
      <c r="G48" s="133"/>
      <c r="H48" s="133"/>
      <c r="I48" s="133"/>
      <c r="J48" s="133"/>
      <c r="K48" s="133"/>
      <c r="L48" s="133"/>
      <c r="M48" s="495">
        <f>'RAO HT'!I206</f>
        <v>58302</v>
      </c>
      <c r="N48" s="1291"/>
      <c r="O48" s="1286"/>
      <c r="P48" s="1286"/>
      <c r="Q48" s="1286"/>
      <c r="R48" s="1286"/>
    </row>
    <row r="49" spans="2:18" ht="23.25">
      <c r="B49" s="329"/>
      <c r="C49" s="354" t="s">
        <v>196</v>
      </c>
      <c r="D49" s="496" t="s">
        <v>851</v>
      </c>
      <c r="E49" s="462"/>
      <c r="F49" s="470" t="s">
        <v>852</v>
      </c>
      <c r="G49" s="133"/>
      <c r="H49" s="133"/>
      <c r="I49" s="133"/>
      <c r="J49" s="133"/>
      <c r="K49" s="133"/>
      <c r="L49" s="133"/>
      <c r="M49" s="495">
        <f>'RAO HT'!I252</f>
        <v>25352</v>
      </c>
      <c r="N49" s="477">
        <f>M49</f>
        <v>25352</v>
      </c>
      <c r="O49" s="497" t="s">
        <v>304</v>
      </c>
      <c r="P49" s="458" t="s">
        <v>946</v>
      </c>
      <c r="Q49" s="458" t="s">
        <v>947</v>
      </c>
      <c r="R49" s="1286"/>
    </row>
    <row r="50" spans="2:18" s="1" customFormat="1" ht="15" customHeight="1">
      <c r="B50" s="329">
        <v>37</v>
      </c>
      <c r="C50" s="354" t="s">
        <v>196</v>
      </c>
      <c r="D50" s="498">
        <v>596394</v>
      </c>
      <c r="E50" s="499">
        <v>135</v>
      </c>
      <c r="F50" s="215" t="s">
        <v>954</v>
      </c>
      <c r="G50" s="500"/>
      <c r="H50" s="500"/>
      <c r="I50" s="500"/>
      <c r="J50" s="500"/>
      <c r="K50" s="500"/>
      <c r="L50" s="500"/>
      <c r="M50" s="495">
        <f>'RAO HT'!I174</f>
        <v>42341</v>
      </c>
      <c r="N50" s="1291">
        <f>M50+M51+M52</f>
        <v>261413</v>
      </c>
      <c r="O50" s="1286" t="s">
        <v>955</v>
      </c>
      <c r="P50" s="1288" t="s">
        <v>931</v>
      </c>
      <c r="Q50" s="1288" t="s">
        <v>956</v>
      </c>
      <c r="R50" s="1286" t="s">
        <v>324</v>
      </c>
    </row>
    <row r="51" spans="2:18" s="1" customFormat="1">
      <c r="B51" s="329">
        <v>38</v>
      </c>
      <c r="C51" s="354" t="s">
        <v>196</v>
      </c>
      <c r="D51" s="498">
        <v>596405</v>
      </c>
      <c r="E51" s="499"/>
      <c r="F51" s="215" t="s">
        <v>957</v>
      </c>
      <c r="G51" s="500"/>
      <c r="H51" s="500"/>
      <c r="I51" s="500"/>
      <c r="J51" s="500"/>
      <c r="K51" s="500"/>
      <c r="L51" s="500"/>
      <c r="M51" s="495">
        <f>'RAO HT'!I185</f>
        <v>101757</v>
      </c>
      <c r="N51" s="1291"/>
      <c r="O51" s="1286"/>
      <c r="P51" s="1288"/>
      <c r="Q51" s="1288"/>
      <c r="R51" s="1286"/>
    </row>
    <row r="52" spans="2:18" s="1" customFormat="1">
      <c r="B52" s="329"/>
      <c r="C52" s="354" t="s">
        <v>196</v>
      </c>
      <c r="D52" s="498" t="s">
        <v>843</v>
      </c>
      <c r="E52" s="499"/>
      <c r="F52" s="215" t="s">
        <v>844</v>
      </c>
      <c r="G52" s="500"/>
      <c r="H52" s="500"/>
      <c r="I52" s="500"/>
      <c r="J52" s="500"/>
      <c r="K52" s="500"/>
      <c r="L52" s="500"/>
      <c r="M52" s="495">
        <f>'RAO HT'!I248</f>
        <v>117315</v>
      </c>
      <c r="N52" s="1291"/>
      <c r="O52" s="478"/>
      <c r="P52" s="501"/>
      <c r="Q52" s="1288"/>
      <c r="R52" s="1286"/>
    </row>
    <row r="53" spans="2:18">
      <c r="B53" s="329">
        <v>39</v>
      </c>
      <c r="C53" s="354" t="s">
        <v>196</v>
      </c>
      <c r="D53" s="133">
        <v>596321</v>
      </c>
      <c r="E53" s="181">
        <v>100</v>
      </c>
      <c r="F53" s="456" t="s">
        <v>958</v>
      </c>
      <c r="G53" s="133"/>
      <c r="H53" s="133"/>
      <c r="I53" s="133"/>
      <c r="J53" s="133"/>
      <c r="K53" s="133"/>
      <c r="L53" s="133"/>
      <c r="M53" s="495">
        <f>'RAO HT'!I126</f>
        <v>32592</v>
      </c>
      <c r="N53" s="477">
        <f>SUM(M53)</f>
        <v>32592</v>
      </c>
      <c r="O53" s="458" t="s">
        <v>220</v>
      </c>
      <c r="P53" s="502" t="s">
        <v>931</v>
      </c>
      <c r="Q53" s="1288"/>
      <c r="R53" s="1286"/>
    </row>
    <row r="54" spans="2:18" ht="15" customHeight="1">
      <c r="B54" s="329">
        <v>40</v>
      </c>
      <c r="C54" s="354" t="s">
        <v>196</v>
      </c>
      <c r="D54" s="133">
        <v>596143</v>
      </c>
      <c r="E54" s="181">
        <v>1400</v>
      </c>
      <c r="F54" s="456" t="s">
        <v>959</v>
      </c>
      <c r="G54" s="133"/>
      <c r="H54" s="133"/>
      <c r="I54" s="133"/>
      <c r="J54" s="133"/>
      <c r="K54" s="133"/>
      <c r="L54" s="133"/>
      <c r="M54" s="503">
        <f>'RAO HT'!I38</f>
        <v>317244</v>
      </c>
      <c r="N54" s="504">
        <f>M54</f>
        <v>317244</v>
      </c>
      <c r="O54" s="505" t="s">
        <v>960</v>
      </c>
      <c r="P54" s="1286" t="s">
        <v>961</v>
      </c>
      <c r="Q54" s="1286" t="s">
        <v>962</v>
      </c>
      <c r="R54" s="1286"/>
    </row>
    <row r="55" spans="2:18" ht="15" customHeight="1">
      <c r="B55" s="329">
        <v>41</v>
      </c>
      <c r="C55" s="354" t="s">
        <v>196</v>
      </c>
      <c r="D55" s="133">
        <v>596327</v>
      </c>
      <c r="E55" s="181">
        <v>430</v>
      </c>
      <c r="F55" s="456" t="s">
        <v>963</v>
      </c>
      <c r="G55" s="133"/>
      <c r="H55" s="133"/>
      <c r="I55" s="133"/>
      <c r="J55" s="133"/>
      <c r="K55" s="133"/>
      <c r="L55" s="133"/>
      <c r="M55" s="186">
        <f>'RAO HT'!I132</f>
        <v>94458</v>
      </c>
      <c r="N55" s="1291">
        <f>SUM(M55:M59)</f>
        <v>2113666</v>
      </c>
      <c r="O55" s="1286" t="s">
        <v>964</v>
      </c>
      <c r="P55" s="1286"/>
      <c r="Q55" s="1286"/>
      <c r="R55" s="1286"/>
    </row>
    <row r="56" spans="2:18">
      <c r="B56" s="329">
        <v>42</v>
      </c>
      <c r="C56" s="354" t="s">
        <v>196</v>
      </c>
      <c r="D56" s="133">
        <v>596317</v>
      </c>
      <c r="E56" s="181">
        <v>500</v>
      </c>
      <c r="F56" s="456" t="s">
        <v>965</v>
      </c>
      <c r="G56" s="133"/>
      <c r="H56" s="133"/>
      <c r="I56" s="133"/>
      <c r="J56" s="133"/>
      <c r="K56" s="133"/>
      <c r="L56" s="133"/>
      <c r="M56" s="503">
        <f>'RAO HT'!I122</f>
        <v>2260</v>
      </c>
      <c r="N56" s="1291"/>
      <c r="O56" s="1286"/>
      <c r="P56" s="1286"/>
      <c r="Q56" s="1286"/>
      <c r="R56" s="1286"/>
    </row>
    <row r="57" spans="2:18">
      <c r="B57" s="329">
        <v>43</v>
      </c>
      <c r="C57" s="354" t="s">
        <v>196</v>
      </c>
      <c r="D57" s="133"/>
      <c r="E57" s="181"/>
      <c r="F57" s="475" t="s">
        <v>966</v>
      </c>
      <c r="G57" s="133"/>
      <c r="H57" s="133"/>
      <c r="I57" s="133"/>
      <c r="J57" s="133"/>
      <c r="K57" s="133"/>
      <c r="L57" s="133"/>
      <c r="M57" s="503">
        <f>'RAO HT'!I213</f>
        <v>366780</v>
      </c>
      <c r="N57" s="1291"/>
      <c r="O57" s="1286"/>
      <c r="P57" s="1286"/>
      <c r="Q57" s="1286"/>
      <c r="R57" s="1286"/>
    </row>
    <row r="58" spans="2:18">
      <c r="B58" s="329"/>
      <c r="C58" s="354"/>
      <c r="D58" s="133"/>
      <c r="E58" s="181"/>
      <c r="F58" s="475" t="s">
        <v>789</v>
      </c>
      <c r="G58" s="133"/>
      <c r="H58" s="133"/>
      <c r="I58" s="133"/>
      <c r="J58" s="133"/>
      <c r="K58" s="133"/>
      <c r="L58" s="133"/>
      <c r="M58" s="503">
        <f>'RAO HT'!I221</f>
        <v>1393290</v>
      </c>
      <c r="N58" s="1291"/>
      <c r="O58" s="1286"/>
      <c r="P58" s="1286"/>
      <c r="Q58" s="1286"/>
      <c r="R58" s="1286"/>
    </row>
    <row r="59" spans="2:18">
      <c r="B59" s="329">
        <v>44</v>
      </c>
      <c r="C59" s="354" t="s">
        <v>196</v>
      </c>
      <c r="D59" s="133">
        <v>596251</v>
      </c>
      <c r="E59" s="181">
        <v>400</v>
      </c>
      <c r="F59" s="506" t="s">
        <v>967</v>
      </c>
      <c r="G59" s="133"/>
      <c r="H59" s="133"/>
      <c r="I59" s="133"/>
      <c r="J59" s="133"/>
      <c r="K59" s="133"/>
      <c r="L59" s="133"/>
      <c r="M59" s="503">
        <f>'RAO HT'!I82</f>
        <v>256878</v>
      </c>
      <c r="N59" s="1291"/>
      <c r="O59" s="1286"/>
      <c r="P59" s="1286"/>
      <c r="Q59" s="1286"/>
      <c r="R59" s="1286"/>
    </row>
    <row r="60" spans="2:18">
      <c r="B60" s="329">
        <v>45</v>
      </c>
      <c r="C60" s="354" t="s">
        <v>196</v>
      </c>
      <c r="D60" s="133">
        <v>502066</v>
      </c>
      <c r="E60" s="181">
        <v>2450</v>
      </c>
      <c r="F60" s="456" t="s">
        <v>968</v>
      </c>
      <c r="G60" s="133"/>
      <c r="H60" s="133"/>
      <c r="I60" s="133"/>
      <c r="J60" s="133"/>
      <c r="K60" s="133"/>
      <c r="L60" s="133"/>
      <c r="M60" s="507">
        <f>'RAO HT'!I3</f>
        <v>1095240</v>
      </c>
      <c r="N60" s="477">
        <f>M60</f>
        <v>1095240</v>
      </c>
      <c r="O60" s="458" t="s">
        <v>969</v>
      </c>
      <c r="P60" s="458" t="s">
        <v>931</v>
      </c>
      <c r="Q60" s="458" t="s">
        <v>956</v>
      </c>
      <c r="R60" s="1286"/>
    </row>
    <row r="61" spans="2:18" ht="15" customHeight="1">
      <c r="B61" s="329">
        <v>46</v>
      </c>
      <c r="C61" s="354" t="s">
        <v>196</v>
      </c>
      <c r="D61" s="133">
        <v>596174</v>
      </c>
      <c r="E61" s="181">
        <v>230</v>
      </c>
      <c r="F61" s="456" t="s">
        <v>970</v>
      </c>
      <c r="G61" s="133"/>
      <c r="H61" s="133"/>
      <c r="I61" s="133"/>
      <c r="J61" s="133"/>
      <c r="K61" s="133"/>
      <c r="L61" s="133"/>
      <c r="M61" s="503">
        <f>'RAO HT'!I54</f>
        <v>198414</v>
      </c>
      <c r="N61" s="477">
        <f>M61</f>
        <v>198414</v>
      </c>
      <c r="O61" s="1286" t="s">
        <v>971</v>
      </c>
      <c r="P61" s="1286" t="s">
        <v>972</v>
      </c>
      <c r="Q61" s="458" t="s">
        <v>973</v>
      </c>
      <c r="R61" s="1286"/>
    </row>
    <row r="62" spans="2:18" ht="15" customHeight="1">
      <c r="B62" s="329">
        <v>47</v>
      </c>
      <c r="C62" s="354" t="s">
        <v>196</v>
      </c>
      <c r="D62" s="133">
        <v>596095</v>
      </c>
      <c r="E62" s="181">
        <v>150</v>
      </c>
      <c r="F62" s="456" t="s">
        <v>974</v>
      </c>
      <c r="G62" s="133"/>
      <c r="H62" s="133"/>
      <c r="I62" s="133"/>
      <c r="J62" s="133"/>
      <c r="K62" s="133"/>
      <c r="L62" s="133"/>
      <c r="M62" s="508">
        <f>'RAO HT'!I24</f>
        <v>52809</v>
      </c>
      <c r="N62" s="1291">
        <f>M62+M63+M64+M65+M67+M66</f>
        <v>668454</v>
      </c>
      <c r="O62" s="1286"/>
      <c r="P62" s="1286"/>
      <c r="Q62" s="1286" t="s">
        <v>924</v>
      </c>
      <c r="R62" s="1295" t="s">
        <v>82</v>
      </c>
    </row>
    <row r="63" spans="2:18">
      <c r="B63" s="329">
        <v>48</v>
      </c>
      <c r="C63" s="354" t="s">
        <v>196</v>
      </c>
      <c r="D63" s="133">
        <v>596284</v>
      </c>
      <c r="E63" s="181">
        <v>570</v>
      </c>
      <c r="F63" s="456" t="s">
        <v>975</v>
      </c>
      <c r="G63" s="133"/>
      <c r="H63" s="133"/>
      <c r="I63" s="133"/>
      <c r="J63" s="133"/>
      <c r="K63" s="133"/>
      <c r="L63" s="133"/>
      <c r="M63" s="508">
        <f>'RAO HT'!I99</f>
        <v>19008</v>
      </c>
      <c r="N63" s="1291"/>
      <c r="O63" s="1286"/>
      <c r="P63" s="1286"/>
      <c r="Q63" s="1286"/>
      <c r="R63" s="1295"/>
    </row>
    <row r="64" spans="2:18">
      <c r="B64" s="329">
        <v>49</v>
      </c>
      <c r="C64" s="354" t="s">
        <v>196</v>
      </c>
      <c r="D64" s="133">
        <v>596147</v>
      </c>
      <c r="E64" s="181">
        <v>2500</v>
      </c>
      <c r="F64" s="456" t="s">
        <v>976</v>
      </c>
      <c r="G64" s="133"/>
      <c r="H64" s="133"/>
      <c r="I64" s="133"/>
      <c r="J64" s="133"/>
      <c r="K64" s="133"/>
      <c r="L64" s="133"/>
      <c r="M64" s="508">
        <f>'RAO HT'!I40</f>
        <v>343455</v>
      </c>
      <c r="N64" s="1291"/>
      <c r="O64" s="1286"/>
      <c r="P64" s="1286"/>
      <c r="Q64" s="1286"/>
      <c r="R64" s="1295"/>
    </row>
    <row r="65" spans="2:18">
      <c r="B65" s="329">
        <v>50</v>
      </c>
      <c r="C65" s="354" t="s">
        <v>196</v>
      </c>
      <c r="D65" s="133">
        <v>596113</v>
      </c>
      <c r="E65" s="181">
        <v>200</v>
      </c>
      <c r="F65" s="456" t="s">
        <v>977</v>
      </c>
      <c r="G65" s="133"/>
      <c r="H65" s="133"/>
      <c r="I65" s="133"/>
      <c r="J65" s="133"/>
      <c r="K65" s="133"/>
      <c r="L65" s="133"/>
      <c r="M65" s="508">
        <f>'RAO HT'!I28</f>
        <v>27444</v>
      </c>
      <c r="N65" s="1291"/>
      <c r="O65" s="1286"/>
      <c r="P65" s="1286"/>
      <c r="Q65" s="1286"/>
      <c r="R65" s="1295"/>
    </row>
    <row r="66" spans="2:18">
      <c r="B66" s="329"/>
      <c r="C66" s="354" t="s">
        <v>196</v>
      </c>
      <c r="D66" s="476" t="s">
        <v>815</v>
      </c>
      <c r="E66" s="510"/>
      <c r="F66" s="456" t="s">
        <v>816</v>
      </c>
      <c r="G66" s="133"/>
      <c r="H66" s="133"/>
      <c r="I66" s="133"/>
      <c r="J66" s="133"/>
      <c r="K66" s="133"/>
      <c r="L66" s="133"/>
      <c r="M66" s="508">
        <f>'RAO HT'!I234</f>
        <v>71847</v>
      </c>
      <c r="N66" s="1291"/>
      <c r="O66" s="1286"/>
      <c r="P66" s="1286"/>
      <c r="Q66" s="478"/>
      <c r="R66" s="1295"/>
    </row>
    <row r="67" spans="2:18">
      <c r="B67" s="329">
        <v>51</v>
      </c>
      <c r="C67" s="354" t="s">
        <v>196</v>
      </c>
      <c r="D67" s="476">
        <v>596379</v>
      </c>
      <c r="E67" s="510">
        <v>300</v>
      </c>
      <c r="F67" s="456" t="s">
        <v>978</v>
      </c>
      <c r="G67" s="133"/>
      <c r="H67" s="133"/>
      <c r="I67" s="133"/>
      <c r="J67" s="133"/>
      <c r="K67" s="133"/>
      <c r="L67" s="133"/>
      <c r="M67" s="508">
        <f>'RAO HT'!I160</f>
        <v>153891</v>
      </c>
      <c r="N67" s="1291"/>
      <c r="O67" s="1286"/>
      <c r="P67" s="1286"/>
      <c r="Q67" s="426" t="s">
        <v>979</v>
      </c>
      <c r="R67" s="1295"/>
    </row>
    <row r="68" spans="2:18" ht="15.75" customHeight="1">
      <c r="B68" s="329">
        <v>52</v>
      </c>
      <c r="C68" s="354" t="s">
        <v>196</v>
      </c>
      <c r="D68" s="476">
        <v>596372</v>
      </c>
      <c r="E68" s="510">
        <v>200</v>
      </c>
      <c r="F68" s="511" t="s">
        <v>980</v>
      </c>
      <c r="G68" s="508" t="str">
        <f>'RAO HT'!D154</f>
        <v>SRS Vilas Hotels (P) Ltd</v>
      </c>
      <c r="H68" s="508" t="str">
        <f>'RAO HT'!E154</f>
        <v>EAST</v>
      </c>
      <c r="I68" s="508">
        <f>'RAO HT'!F154</f>
        <v>33</v>
      </c>
      <c r="J68" s="508">
        <f>'RAO HT'!G154</f>
        <v>0</v>
      </c>
      <c r="K68" s="508">
        <f>'RAO HT'!H154</f>
        <v>0</v>
      </c>
      <c r="L68" s="508"/>
      <c r="M68" s="508">
        <f>'RAO HT'!I154</f>
        <v>34835</v>
      </c>
      <c r="N68" s="1288">
        <f>SUM(M68:M74)</f>
        <v>964769</v>
      </c>
      <c r="O68" s="1288" t="s">
        <v>162</v>
      </c>
      <c r="P68" s="1286"/>
      <c r="Q68" s="426" t="s">
        <v>924</v>
      </c>
      <c r="R68" s="1295"/>
    </row>
    <row r="69" spans="2:18" ht="15" customHeight="1">
      <c r="B69" s="329">
        <v>53</v>
      </c>
      <c r="C69" s="354" t="s">
        <v>196</v>
      </c>
      <c r="D69" s="461">
        <v>6412000000</v>
      </c>
      <c r="E69" s="462">
        <v>300</v>
      </c>
      <c r="F69" s="456" t="s">
        <v>981</v>
      </c>
      <c r="G69" s="464"/>
      <c r="H69" s="464"/>
      <c r="I69" s="464"/>
      <c r="J69" s="464"/>
      <c r="K69" s="464"/>
      <c r="L69" s="464"/>
      <c r="M69" s="508">
        <f>'RAO HT'!I190</f>
        <v>63816</v>
      </c>
      <c r="N69" s="1288"/>
      <c r="O69" s="1288"/>
      <c r="P69" s="1286"/>
      <c r="Q69" s="1286" t="s">
        <v>979</v>
      </c>
      <c r="R69" s="1295"/>
    </row>
    <row r="70" spans="2:18">
      <c r="B70" s="329">
        <v>54</v>
      </c>
      <c r="C70" s="354" t="s">
        <v>196</v>
      </c>
      <c r="D70" s="461">
        <v>2848000000</v>
      </c>
      <c r="E70" s="462">
        <v>100</v>
      </c>
      <c r="F70" s="456" t="s">
        <v>982</v>
      </c>
      <c r="G70" s="464"/>
      <c r="H70" s="464"/>
      <c r="I70" s="464"/>
      <c r="J70" s="464"/>
      <c r="K70" s="464"/>
      <c r="L70" s="464"/>
      <c r="M70" s="508">
        <f>'RAO HT'!I188</f>
        <v>7343</v>
      </c>
      <c r="N70" s="1288"/>
      <c r="O70" s="1288"/>
      <c r="P70" s="1286"/>
      <c r="Q70" s="1286"/>
      <c r="R70" s="1295"/>
    </row>
    <row r="71" spans="2:18">
      <c r="B71" s="329">
        <v>55</v>
      </c>
      <c r="C71" s="354" t="s">
        <v>196</v>
      </c>
      <c r="D71" s="461"/>
      <c r="E71" s="462"/>
      <c r="F71" s="475" t="s">
        <v>983</v>
      </c>
      <c r="G71" s="464"/>
      <c r="H71" s="464"/>
      <c r="I71" s="464"/>
      <c r="J71" s="464"/>
      <c r="K71" s="464"/>
      <c r="L71" s="464"/>
      <c r="M71" s="508">
        <f>'RAO HT'!I215</f>
        <v>34962</v>
      </c>
      <c r="N71" s="1288"/>
      <c r="O71" s="1288"/>
      <c r="P71" s="1286"/>
      <c r="Q71" s="1286"/>
      <c r="R71" s="1295"/>
    </row>
    <row r="72" spans="2:18">
      <c r="B72" s="329">
        <v>56</v>
      </c>
      <c r="C72" s="354" t="s">
        <v>196</v>
      </c>
      <c r="D72" s="133">
        <v>596233</v>
      </c>
      <c r="E72" s="181">
        <v>800</v>
      </c>
      <c r="F72" s="456" t="s">
        <v>984</v>
      </c>
      <c r="G72" s="133"/>
      <c r="H72" s="133"/>
      <c r="I72" s="133"/>
      <c r="J72" s="133"/>
      <c r="K72" s="133"/>
      <c r="L72" s="133"/>
      <c r="M72" s="508">
        <f>'RAO HT'!I76</f>
        <v>140080</v>
      </c>
      <c r="N72" s="1288"/>
      <c r="O72" s="1288"/>
      <c r="P72" s="1286"/>
      <c r="Q72" s="1286"/>
      <c r="R72" s="1295"/>
    </row>
    <row r="73" spans="2:18">
      <c r="B73" s="329"/>
      <c r="C73" s="354" t="s">
        <v>196</v>
      </c>
      <c r="D73" s="133"/>
      <c r="E73" s="181"/>
      <c r="F73" s="456" t="s">
        <v>800</v>
      </c>
      <c r="G73" s="133"/>
      <c r="H73" s="133"/>
      <c r="I73" s="133"/>
      <c r="J73" s="133"/>
      <c r="K73" s="133"/>
      <c r="L73" s="133"/>
      <c r="M73" s="508">
        <f>'RAO HT'!I226</f>
        <v>217668</v>
      </c>
      <c r="N73" s="1288"/>
      <c r="O73" s="1288"/>
      <c r="P73" s="1286"/>
      <c r="Q73" s="1286"/>
      <c r="R73" s="1295"/>
    </row>
    <row r="74" spans="2:18">
      <c r="B74" s="329">
        <v>57</v>
      </c>
      <c r="C74" s="354" t="s">
        <v>196</v>
      </c>
      <c r="D74" s="149">
        <v>596385</v>
      </c>
      <c r="E74" s="242">
        <v>1500</v>
      </c>
      <c r="F74" s="133" t="s">
        <v>985</v>
      </c>
      <c r="G74" s="133"/>
      <c r="H74" s="133"/>
      <c r="I74" s="133"/>
      <c r="J74" s="133"/>
      <c r="K74" s="133"/>
      <c r="L74" s="133"/>
      <c r="M74" s="508">
        <f>'RAO HT'!I165</f>
        <v>466065</v>
      </c>
      <c r="N74" s="1288"/>
      <c r="O74" s="1288"/>
      <c r="P74" s="1286"/>
      <c r="Q74" s="1286"/>
      <c r="R74" s="1295"/>
    </row>
    <row r="75" spans="2:18" ht="18.75" customHeight="1">
      <c r="B75" s="329">
        <v>58</v>
      </c>
      <c r="C75" s="354" t="s">
        <v>196</v>
      </c>
      <c r="D75" s="133">
        <v>596371</v>
      </c>
      <c r="E75" s="181">
        <v>100</v>
      </c>
      <c r="F75" s="513" t="s">
        <v>986</v>
      </c>
      <c r="G75" s="507" t="e">
        <f>'RAO HT'!#REF!</f>
        <v>#REF!</v>
      </c>
      <c r="H75" s="507" t="e">
        <f>'RAO HT'!#REF!</f>
        <v>#REF!</v>
      </c>
      <c r="I75" s="507" t="e">
        <f>'RAO HT'!#REF!</f>
        <v>#REF!</v>
      </c>
      <c r="J75" s="507" t="e">
        <f>'RAO HT'!#REF!</f>
        <v>#REF!</v>
      </c>
      <c r="K75" s="507" t="e">
        <f>'RAO HT'!#REF!</f>
        <v>#REF!</v>
      </c>
      <c r="L75" s="507"/>
      <c r="M75" s="507">
        <f>'RAO HT'!I153</f>
        <v>34943</v>
      </c>
      <c r="N75" s="1291">
        <f>SUM(M75:M80)</f>
        <v>399914</v>
      </c>
      <c r="O75" s="1286" t="s">
        <v>987</v>
      </c>
      <c r="P75" s="1286"/>
      <c r="Q75" s="1288" t="s">
        <v>924</v>
      </c>
      <c r="R75" s="1295"/>
    </row>
    <row r="76" spans="2:18">
      <c r="B76" s="329">
        <v>59</v>
      </c>
      <c r="C76" s="354" t="s">
        <v>196</v>
      </c>
      <c r="D76" s="133">
        <v>596108</v>
      </c>
      <c r="E76" s="181">
        <v>200</v>
      </c>
      <c r="F76" s="456" t="s">
        <v>988</v>
      </c>
      <c r="G76" s="133"/>
      <c r="H76" s="133"/>
      <c r="I76" s="133"/>
      <c r="J76" s="133"/>
      <c r="K76" s="133"/>
      <c r="L76" s="133"/>
      <c r="M76" s="508">
        <f>'RAO HT'!I27</f>
        <v>172728</v>
      </c>
      <c r="N76" s="1291"/>
      <c r="O76" s="1286"/>
      <c r="P76" s="1286"/>
      <c r="Q76" s="1288"/>
      <c r="R76" s="1295"/>
    </row>
    <row r="77" spans="2:18">
      <c r="B77" s="329">
        <v>60</v>
      </c>
      <c r="C77" s="354" t="s">
        <v>196</v>
      </c>
      <c r="D77" s="133">
        <v>596159</v>
      </c>
      <c r="E77" s="181">
        <v>300</v>
      </c>
      <c r="F77" s="456" t="s">
        <v>989</v>
      </c>
      <c r="G77" s="133"/>
      <c r="H77" s="133"/>
      <c r="I77" s="133"/>
      <c r="J77" s="133"/>
      <c r="K77" s="133"/>
      <c r="L77" s="133"/>
      <c r="M77" s="508">
        <f>'RAO HT'!I47</f>
        <v>52689</v>
      </c>
      <c r="N77" s="1291"/>
      <c r="O77" s="1286"/>
      <c r="P77" s="1286"/>
      <c r="Q77" s="1288"/>
      <c r="R77" s="1295"/>
    </row>
    <row r="78" spans="2:18">
      <c r="B78" s="329">
        <v>61</v>
      </c>
      <c r="C78" s="354" t="s">
        <v>196</v>
      </c>
      <c r="D78" s="133">
        <v>548005</v>
      </c>
      <c r="E78" s="181">
        <v>350</v>
      </c>
      <c r="F78" s="456" t="s">
        <v>990</v>
      </c>
      <c r="G78" s="133"/>
      <c r="H78" s="133"/>
      <c r="I78" s="133"/>
      <c r="J78" s="133"/>
      <c r="K78" s="133"/>
      <c r="L78" s="133"/>
      <c r="M78" s="508">
        <f>'RAO HT'!I10</f>
        <v>105804</v>
      </c>
      <c r="N78" s="1291"/>
      <c r="O78" s="1286"/>
      <c r="P78" s="1286"/>
      <c r="Q78" s="509" t="s">
        <v>210</v>
      </c>
      <c r="R78" s="1295"/>
    </row>
    <row r="79" spans="2:18">
      <c r="B79" s="329">
        <v>62</v>
      </c>
      <c r="C79" s="354" t="s">
        <v>196</v>
      </c>
      <c r="D79" s="133">
        <v>596340</v>
      </c>
      <c r="E79" s="181">
        <v>225</v>
      </c>
      <c r="F79" s="456" t="s">
        <v>991</v>
      </c>
      <c r="G79" s="133"/>
      <c r="H79" s="133"/>
      <c r="I79" s="133"/>
      <c r="J79" s="133"/>
      <c r="K79" s="133"/>
      <c r="L79" s="133"/>
      <c r="M79" s="508">
        <f>'RAO HT'!I142</f>
        <v>32907</v>
      </c>
      <c r="N79" s="1291"/>
      <c r="O79" s="1286"/>
      <c r="P79" s="1286"/>
      <c r="Q79" s="458" t="s">
        <v>924</v>
      </c>
      <c r="R79" s="1295"/>
    </row>
    <row r="80" spans="2:18">
      <c r="B80" s="329">
        <v>63</v>
      </c>
      <c r="C80" s="354" t="s">
        <v>196</v>
      </c>
      <c r="D80" s="133">
        <v>596345</v>
      </c>
      <c r="E80" s="181">
        <v>100</v>
      </c>
      <c r="F80" s="514" t="s">
        <v>992</v>
      </c>
      <c r="G80" s="133"/>
      <c r="H80" s="133"/>
      <c r="I80" s="133"/>
      <c r="J80" s="133"/>
      <c r="K80" s="133"/>
      <c r="L80" s="133"/>
      <c r="M80" s="508">
        <f>'RAO HT'!I145</f>
        <v>843</v>
      </c>
      <c r="N80" s="1291"/>
      <c r="O80" s="1286"/>
      <c r="P80" s="1286"/>
      <c r="Q80" s="458" t="s">
        <v>979</v>
      </c>
      <c r="R80" s="1295"/>
    </row>
    <row r="81" spans="2:18" ht="15" customHeight="1">
      <c r="B81" s="329">
        <v>64</v>
      </c>
      <c r="C81" s="354" t="s">
        <v>196</v>
      </c>
      <c r="D81" s="133">
        <v>573018</v>
      </c>
      <c r="E81" s="181">
        <v>3700</v>
      </c>
      <c r="F81" s="456" t="s">
        <v>993</v>
      </c>
      <c r="G81" s="133"/>
      <c r="H81" s="133"/>
      <c r="I81" s="133"/>
      <c r="J81" s="133"/>
      <c r="K81" s="133"/>
      <c r="L81" s="133"/>
      <c r="M81" s="508">
        <f>'RAO HT'!I14</f>
        <v>1661280</v>
      </c>
      <c r="N81" s="1291">
        <f>M81+M82</f>
        <v>1741917</v>
      </c>
      <c r="O81" s="1286" t="s">
        <v>994</v>
      </c>
      <c r="P81" s="1286"/>
      <c r="Q81" s="1286" t="s">
        <v>210</v>
      </c>
      <c r="R81" s="1295"/>
    </row>
    <row r="82" spans="2:18">
      <c r="B82" s="329">
        <v>65</v>
      </c>
      <c r="C82" s="354" t="s">
        <v>196</v>
      </c>
      <c r="D82" s="133">
        <v>596254</v>
      </c>
      <c r="E82" s="181">
        <v>350</v>
      </c>
      <c r="F82" s="456" t="s">
        <v>995</v>
      </c>
      <c r="G82" s="133"/>
      <c r="H82" s="133"/>
      <c r="I82" s="133"/>
      <c r="J82" s="133"/>
      <c r="K82" s="133"/>
      <c r="L82" s="133"/>
      <c r="M82" s="472">
        <f>'RAO HT'!I84</f>
        <v>80637</v>
      </c>
      <c r="N82" s="1291"/>
      <c r="O82" s="1286"/>
      <c r="P82" s="1286"/>
      <c r="Q82" s="1286"/>
      <c r="R82" s="1295"/>
    </row>
    <row r="83" spans="2:18" ht="15" customHeight="1">
      <c r="B83" s="329">
        <v>66</v>
      </c>
      <c r="C83" s="354" t="s">
        <v>196</v>
      </c>
      <c r="D83" s="133">
        <v>596315</v>
      </c>
      <c r="E83" s="181">
        <v>225</v>
      </c>
      <c r="F83" s="456" t="s">
        <v>996</v>
      </c>
      <c r="G83" s="133"/>
      <c r="H83" s="133"/>
      <c r="I83" s="133"/>
      <c r="J83" s="133"/>
      <c r="K83" s="133"/>
      <c r="L83" s="133"/>
      <c r="M83" s="508">
        <f>'RAO HT'!I121</f>
        <v>125796</v>
      </c>
      <c r="N83" s="1291">
        <f>M83+M84+M85+M86+M87+M90+M88+M89</f>
        <v>719549</v>
      </c>
      <c r="O83" s="1286" t="s">
        <v>997</v>
      </c>
      <c r="P83" s="1286"/>
      <c r="Q83" s="458" t="s">
        <v>998</v>
      </c>
      <c r="R83" s="1295"/>
    </row>
    <row r="84" spans="2:18" ht="15" customHeight="1">
      <c r="B84" s="329">
        <v>67</v>
      </c>
      <c r="C84" s="354" t="s">
        <v>196</v>
      </c>
      <c r="D84" s="133">
        <v>596292</v>
      </c>
      <c r="E84" s="181">
        <v>700</v>
      </c>
      <c r="F84" s="456" t="s">
        <v>999</v>
      </c>
      <c r="G84" s="133"/>
      <c r="H84" s="133"/>
      <c r="I84" s="133"/>
      <c r="J84" s="133"/>
      <c r="K84" s="133"/>
      <c r="L84" s="133"/>
      <c r="M84" s="508">
        <f>'RAO HT'!I103</f>
        <v>204381</v>
      </c>
      <c r="N84" s="1291"/>
      <c r="O84" s="1286"/>
      <c r="P84" s="1286"/>
      <c r="Q84" s="1286" t="s">
        <v>924</v>
      </c>
      <c r="R84" s="1295"/>
    </row>
    <row r="85" spans="2:18">
      <c r="B85" s="329">
        <v>68</v>
      </c>
      <c r="C85" s="354" t="s">
        <v>196</v>
      </c>
      <c r="D85" s="133">
        <v>596378</v>
      </c>
      <c r="E85" s="181">
        <v>100</v>
      </c>
      <c r="F85" s="456" t="s">
        <v>1000</v>
      </c>
      <c r="G85" s="133"/>
      <c r="H85" s="133"/>
      <c r="I85" s="133"/>
      <c r="J85" s="133"/>
      <c r="K85" s="133"/>
      <c r="L85" s="133"/>
      <c r="M85" s="508">
        <f>'RAO HT'!I159</f>
        <v>75749</v>
      </c>
      <c r="N85" s="1291"/>
      <c r="O85" s="1286"/>
      <c r="P85" s="1286"/>
      <c r="Q85" s="1286"/>
      <c r="R85" s="1295"/>
    </row>
    <row r="86" spans="2:18">
      <c r="B86" s="329">
        <v>69</v>
      </c>
      <c r="C86" s="354" t="s">
        <v>196</v>
      </c>
      <c r="D86" s="149">
        <v>596386</v>
      </c>
      <c r="E86" s="242">
        <v>100</v>
      </c>
      <c r="F86" s="133" t="s">
        <v>1001</v>
      </c>
      <c r="G86" s="133"/>
      <c r="H86" s="133"/>
      <c r="I86" s="133"/>
      <c r="J86" s="133"/>
      <c r="K86" s="133"/>
      <c r="L86" s="133"/>
      <c r="M86" s="508">
        <f>'RAO HT'!I166</f>
        <v>233418</v>
      </c>
      <c r="N86" s="1291"/>
      <c r="O86" s="1286"/>
      <c r="P86" s="1286"/>
      <c r="Q86" s="1286"/>
      <c r="R86" s="1295"/>
    </row>
    <row r="87" spans="2:18" ht="15" customHeight="1">
      <c r="B87" s="329">
        <v>70</v>
      </c>
      <c r="C87" s="354" t="s">
        <v>196</v>
      </c>
      <c r="D87" s="149">
        <v>596393</v>
      </c>
      <c r="E87" s="242">
        <v>100</v>
      </c>
      <c r="F87" s="133" t="s">
        <v>1002</v>
      </c>
      <c r="G87" s="133"/>
      <c r="H87" s="133"/>
      <c r="I87" s="133"/>
      <c r="J87" s="133"/>
      <c r="K87" s="133"/>
      <c r="L87" s="133"/>
      <c r="M87" s="508">
        <f>'RAO HT'!I173</f>
        <v>4742</v>
      </c>
      <c r="N87" s="1291"/>
      <c r="O87" s="1286"/>
      <c r="P87" s="1286"/>
      <c r="Q87" s="1286" t="s">
        <v>1003</v>
      </c>
      <c r="R87" s="1295"/>
    </row>
    <row r="88" spans="2:18">
      <c r="B88" s="329">
        <v>71</v>
      </c>
      <c r="C88" s="354" t="s">
        <v>196</v>
      </c>
      <c r="D88" s="515"/>
      <c r="E88" s="516"/>
      <c r="F88" s="133" t="s">
        <v>1004</v>
      </c>
      <c r="G88" s="133"/>
      <c r="H88" s="133"/>
      <c r="I88" s="133"/>
      <c r="J88" s="133"/>
      <c r="K88" s="133"/>
      <c r="L88" s="133"/>
      <c r="M88" s="508">
        <f>'RAO HT'!I208</f>
        <v>55550</v>
      </c>
      <c r="N88" s="1291"/>
      <c r="O88" s="1286"/>
      <c r="P88" s="1286"/>
      <c r="Q88" s="1286"/>
      <c r="R88" s="1295"/>
    </row>
    <row r="89" spans="2:18">
      <c r="B89" s="329">
        <v>72</v>
      </c>
      <c r="C89" s="354" t="s">
        <v>196</v>
      </c>
      <c r="D89" s="515" t="str">
        <f>'RAO HT'!B218</f>
        <v>H2421000104</v>
      </c>
      <c r="E89" s="516"/>
      <c r="F89" s="390" t="s">
        <v>783</v>
      </c>
      <c r="G89" s="133"/>
      <c r="H89" s="133"/>
      <c r="I89" s="133"/>
      <c r="J89" s="133"/>
      <c r="K89" s="133"/>
      <c r="L89" s="133"/>
      <c r="M89" s="508">
        <f>'RAO HT'!I218</f>
        <v>6425</v>
      </c>
      <c r="N89" s="1291"/>
      <c r="O89" s="1286"/>
      <c r="P89" s="1286"/>
      <c r="Q89" s="1286"/>
      <c r="R89" s="1295"/>
    </row>
    <row r="90" spans="2:18">
      <c r="B90" s="329">
        <v>73</v>
      </c>
      <c r="C90" s="354" t="s">
        <v>196</v>
      </c>
      <c r="D90" s="476">
        <v>596399</v>
      </c>
      <c r="E90" s="510">
        <v>100</v>
      </c>
      <c r="F90" s="133" t="s">
        <v>1005</v>
      </c>
      <c r="G90" s="133"/>
      <c r="H90" s="133"/>
      <c r="I90" s="133"/>
      <c r="J90" s="133"/>
      <c r="K90" s="133"/>
      <c r="L90" s="133"/>
      <c r="M90" s="508">
        <f>'RAO HT'!I179</f>
        <v>13488</v>
      </c>
      <c r="N90" s="1291"/>
      <c r="O90" s="1286"/>
      <c r="P90" s="1286"/>
      <c r="Q90" s="1286"/>
      <c r="R90" s="1295"/>
    </row>
    <row r="91" spans="2:18" ht="15.75">
      <c r="B91" s="329">
        <v>74</v>
      </c>
      <c r="C91" s="354" t="s">
        <v>196</v>
      </c>
      <c r="D91" s="133">
        <v>596105</v>
      </c>
      <c r="E91" s="181">
        <v>550</v>
      </c>
      <c r="F91" s="456" t="s">
        <v>1006</v>
      </c>
      <c r="G91" s="133"/>
      <c r="H91" s="133"/>
      <c r="I91" s="133"/>
      <c r="J91" s="133"/>
      <c r="K91" s="133"/>
      <c r="L91" s="133"/>
      <c r="M91" s="517">
        <f>'RAO HT'!I26</f>
        <v>85842</v>
      </c>
      <c r="N91" s="518">
        <f>M91</f>
        <v>85842</v>
      </c>
      <c r="O91" s="458" t="s">
        <v>1007</v>
      </c>
      <c r="P91" s="1286"/>
      <c r="Q91" s="458" t="s">
        <v>924</v>
      </c>
      <c r="R91" s="1295"/>
    </row>
    <row r="92" spans="2:18" ht="15.75">
      <c r="B92" s="1234"/>
      <c r="C92" s="354" t="s">
        <v>196</v>
      </c>
      <c r="D92" s="315" t="s">
        <v>3133</v>
      </c>
      <c r="E92" s="1232"/>
      <c r="F92" s="456" t="s">
        <v>3135</v>
      </c>
      <c r="G92" s="315"/>
      <c r="H92" s="315"/>
      <c r="I92" s="315"/>
      <c r="J92" s="315"/>
      <c r="K92" s="315"/>
      <c r="L92" s="315"/>
      <c r="M92" s="517">
        <f>'RAO HT'!I270</f>
        <v>42948</v>
      </c>
      <c r="N92" s="1293">
        <f>M92+M93</f>
        <v>1188464</v>
      </c>
      <c r="O92" s="1233"/>
      <c r="P92" s="1286"/>
      <c r="Q92" s="1233"/>
      <c r="R92" s="1295"/>
    </row>
    <row r="93" spans="2:18">
      <c r="B93" s="329">
        <v>75</v>
      </c>
      <c r="C93" s="354" t="s">
        <v>196</v>
      </c>
      <c r="D93" s="133">
        <v>573017</v>
      </c>
      <c r="E93" s="181">
        <v>3600</v>
      </c>
      <c r="F93" s="456" t="s">
        <v>1008</v>
      </c>
      <c r="G93" s="133"/>
      <c r="H93" s="133"/>
      <c r="I93" s="133"/>
      <c r="J93" s="133"/>
      <c r="K93" s="133"/>
      <c r="L93" s="133"/>
      <c r="M93" s="508">
        <f>'RAO HT'!I13</f>
        <v>1145516</v>
      </c>
      <c r="N93" s="1294"/>
      <c r="O93" s="458" t="s">
        <v>1009</v>
      </c>
      <c r="P93" s="1286"/>
      <c r="Q93" s="458" t="s">
        <v>210</v>
      </c>
      <c r="R93" s="1295"/>
    </row>
    <row r="94" spans="2:18" ht="15" customHeight="1">
      <c r="B94" s="329">
        <v>76</v>
      </c>
      <c r="C94" s="354" t="s">
        <v>196</v>
      </c>
      <c r="D94" s="133">
        <v>596213</v>
      </c>
      <c r="E94" s="181">
        <v>550</v>
      </c>
      <c r="F94" s="456" t="s">
        <v>1010</v>
      </c>
      <c r="G94" s="133"/>
      <c r="H94" s="133"/>
      <c r="I94" s="133"/>
      <c r="J94" s="133"/>
      <c r="K94" s="133"/>
      <c r="L94" s="133"/>
      <c r="M94" s="472">
        <f>'RAO HT'!I67</f>
        <v>250888</v>
      </c>
      <c r="N94" s="1287">
        <f>SUM(M94:M101)</f>
        <v>662898</v>
      </c>
      <c r="O94" s="1288" t="s">
        <v>1011</v>
      </c>
      <c r="P94" s="1286" t="s">
        <v>1012</v>
      </c>
      <c r="Q94" s="1286" t="s">
        <v>1013</v>
      </c>
      <c r="R94" s="1295"/>
    </row>
    <row r="95" spans="2:18">
      <c r="B95" s="329">
        <v>77</v>
      </c>
      <c r="C95" s="354" t="s">
        <v>196</v>
      </c>
      <c r="D95" s="461">
        <v>6590000000</v>
      </c>
      <c r="E95" s="462">
        <v>150</v>
      </c>
      <c r="F95" s="456" t="s">
        <v>1014</v>
      </c>
      <c r="G95" s="133"/>
      <c r="H95" s="133"/>
      <c r="I95" s="133"/>
      <c r="J95" s="133"/>
      <c r="K95" s="133"/>
      <c r="L95" s="133"/>
      <c r="M95" s="472">
        <f>'RAO HT'!I191</f>
        <v>72437</v>
      </c>
      <c r="N95" s="1287"/>
      <c r="O95" s="1288"/>
      <c r="P95" s="1286"/>
      <c r="Q95" s="1286"/>
      <c r="R95" s="1295"/>
    </row>
    <row r="96" spans="2:18">
      <c r="B96" s="329">
        <v>78</v>
      </c>
      <c r="C96" s="354" t="s">
        <v>196</v>
      </c>
      <c r="D96" s="461"/>
      <c r="E96" s="462"/>
      <c r="F96" s="475" t="s">
        <v>1015</v>
      </c>
      <c r="G96" s="133"/>
      <c r="H96" s="133"/>
      <c r="I96" s="133"/>
      <c r="J96" s="133"/>
      <c r="K96" s="133"/>
      <c r="L96" s="133"/>
      <c r="M96" s="472">
        <f>'RAO HT'!I214</f>
        <v>134604</v>
      </c>
      <c r="N96" s="1287"/>
      <c r="O96" s="1288"/>
      <c r="P96" s="1286"/>
      <c r="Q96" s="1286"/>
      <c r="R96" s="1295"/>
    </row>
    <row r="97" spans="2:18">
      <c r="B97" s="329">
        <v>79</v>
      </c>
      <c r="C97" s="354"/>
      <c r="D97" s="461"/>
      <c r="E97" s="462"/>
      <c r="F97" s="133" t="s">
        <v>785</v>
      </c>
      <c r="G97" s="133"/>
      <c r="H97" s="133"/>
      <c r="I97" s="133"/>
      <c r="J97" s="133"/>
      <c r="K97" s="133"/>
      <c r="L97" s="133"/>
      <c r="M97" s="472">
        <f>'RAO HT'!I219</f>
        <v>53129</v>
      </c>
      <c r="N97" s="1287"/>
      <c r="O97" s="1288"/>
      <c r="P97" s="1286"/>
      <c r="Q97" s="1286"/>
      <c r="R97" s="1295"/>
    </row>
    <row r="98" spans="2:18">
      <c r="B98" s="329"/>
      <c r="C98" s="354"/>
      <c r="D98" s="461"/>
      <c r="E98" s="462"/>
      <c r="F98" s="133" t="s">
        <v>793</v>
      </c>
      <c r="G98" s="133"/>
      <c r="H98" s="133"/>
      <c r="I98" s="133"/>
      <c r="J98" s="133"/>
      <c r="K98" s="133"/>
      <c r="L98" s="133"/>
      <c r="M98" s="472">
        <f>'RAO HT'!I223</f>
        <v>27732</v>
      </c>
      <c r="N98" s="1287"/>
      <c r="O98" s="1288"/>
      <c r="P98" s="1286"/>
      <c r="Q98" s="1286"/>
      <c r="R98" s="1295"/>
    </row>
    <row r="99" spans="2:18">
      <c r="B99" s="329"/>
      <c r="C99" s="354"/>
      <c r="D99" s="520" t="s">
        <v>831</v>
      </c>
      <c r="E99" s="462"/>
      <c r="F99" s="133" t="s">
        <v>832</v>
      </c>
      <c r="G99" s="133"/>
      <c r="H99" s="133"/>
      <c r="I99" s="133"/>
      <c r="J99" s="133"/>
      <c r="K99" s="133"/>
      <c r="L99" s="133"/>
      <c r="M99" s="472">
        <f>'RAO HT'!I242</f>
        <v>30380</v>
      </c>
      <c r="N99" s="1287"/>
      <c r="O99" s="1288"/>
      <c r="P99" s="1286"/>
      <c r="Q99" s="1286"/>
      <c r="R99" s="1295"/>
    </row>
    <row r="100" spans="2:18">
      <c r="B100" s="329"/>
      <c r="C100" s="354"/>
      <c r="D100" s="520" t="s">
        <v>847</v>
      </c>
      <c r="E100" s="462"/>
      <c r="F100" s="133" t="s">
        <v>848</v>
      </c>
      <c r="G100" s="133"/>
      <c r="H100" s="133"/>
      <c r="I100" s="133"/>
      <c r="J100" s="133"/>
      <c r="K100" s="133"/>
      <c r="L100" s="133"/>
      <c r="M100" s="472">
        <f>'RAO HT'!I250</f>
        <v>64410</v>
      </c>
      <c r="N100" s="1287"/>
      <c r="O100" s="1288"/>
      <c r="P100" s="1286"/>
      <c r="Q100" s="1286"/>
      <c r="R100" s="1295"/>
    </row>
    <row r="101" spans="2:18">
      <c r="B101" s="329">
        <v>80</v>
      </c>
      <c r="C101" s="354" t="s">
        <v>196</v>
      </c>
      <c r="D101" s="476">
        <v>596396</v>
      </c>
      <c r="E101" s="510">
        <v>150</v>
      </c>
      <c r="F101" s="133" t="s">
        <v>1016</v>
      </c>
      <c r="G101" s="133"/>
      <c r="H101" s="133"/>
      <c r="I101" s="133"/>
      <c r="J101" s="133"/>
      <c r="K101" s="133"/>
      <c r="L101" s="133"/>
      <c r="M101" s="472">
        <f>'RAO HT'!I176</f>
        <v>29318</v>
      </c>
      <c r="N101" s="1287"/>
      <c r="O101" s="1288"/>
      <c r="P101" s="1286"/>
      <c r="Q101" s="1286"/>
      <c r="R101" s="1295"/>
    </row>
    <row r="102" spans="2:18" ht="15" customHeight="1">
      <c r="B102" s="329">
        <v>81</v>
      </c>
      <c r="C102" s="354" t="s">
        <v>196</v>
      </c>
      <c r="D102" s="133">
        <v>565009</v>
      </c>
      <c r="E102" s="181">
        <v>125</v>
      </c>
      <c r="F102" s="456" t="s">
        <v>1017</v>
      </c>
      <c r="G102" s="133"/>
      <c r="H102" s="133"/>
      <c r="I102" s="133"/>
      <c r="J102" s="133"/>
      <c r="K102" s="133"/>
      <c r="L102" s="133"/>
      <c r="M102" s="489">
        <f>'RAO HT'!I12</f>
        <v>6896</v>
      </c>
      <c r="N102" s="1287">
        <f>SUM(M102:M113)</f>
        <v>802501</v>
      </c>
      <c r="O102" s="1286" t="s">
        <v>1018</v>
      </c>
      <c r="P102" s="1286"/>
      <c r="Q102" s="1286"/>
      <c r="R102" s="1295"/>
    </row>
    <row r="103" spans="2:18">
      <c r="B103" s="329">
        <v>82</v>
      </c>
      <c r="C103" s="354" t="s">
        <v>196</v>
      </c>
      <c r="D103" s="133">
        <v>596117</v>
      </c>
      <c r="E103" s="181">
        <v>500</v>
      </c>
      <c r="F103" s="456" t="s">
        <v>1019</v>
      </c>
      <c r="G103" s="133"/>
      <c r="H103" s="133"/>
      <c r="I103" s="133"/>
      <c r="J103" s="133"/>
      <c r="K103" s="133"/>
      <c r="L103" s="133"/>
      <c r="M103" s="489">
        <f>'RAO HT'!I29</f>
        <v>225369</v>
      </c>
      <c r="N103" s="1287"/>
      <c r="O103" s="1286"/>
      <c r="P103" s="1286"/>
      <c r="Q103" s="1286"/>
      <c r="R103" s="1295"/>
    </row>
    <row r="104" spans="2:18">
      <c r="B104" s="329">
        <v>83</v>
      </c>
      <c r="C104" s="354" t="s">
        <v>196</v>
      </c>
      <c r="D104" s="133">
        <v>596202</v>
      </c>
      <c r="E104" s="181">
        <v>150</v>
      </c>
      <c r="F104" s="456" t="s">
        <v>1020</v>
      </c>
      <c r="G104" s="133"/>
      <c r="H104" s="133"/>
      <c r="I104" s="133"/>
      <c r="J104" s="133"/>
      <c r="K104" s="133"/>
      <c r="L104" s="133"/>
      <c r="M104" s="489">
        <f>'RAO HT'!I63</f>
        <v>14999</v>
      </c>
      <c r="N104" s="1287"/>
      <c r="O104" s="1286"/>
      <c r="P104" s="1286"/>
      <c r="Q104" s="1286"/>
      <c r="R104" s="1295"/>
    </row>
    <row r="105" spans="2:18">
      <c r="B105" s="329">
        <v>84</v>
      </c>
      <c r="C105" s="354" t="s">
        <v>196</v>
      </c>
      <c r="D105" s="133">
        <v>596293</v>
      </c>
      <c r="E105" s="181">
        <v>100</v>
      </c>
      <c r="F105" s="456" t="s">
        <v>1021</v>
      </c>
      <c r="G105" s="133"/>
      <c r="H105" s="133"/>
      <c r="I105" s="133"/>
      <c r="J105" s="133"/>
      <c r="K105" s="133"/>
      <c r="L105" s="133"/>
      <c r="M105" s="492">
        <f>'RAO HT'!I104</f>
        <v>42105</v>
      </c>
      <c r="N105" s="1287"/>
      <c r="O105" s="1286"/>
      <c r="P105" s="1286"/>
      <c r="Q105" s="1286"/>
      <c r="R105" s="1295"/>
    </row>
    <row r="106" spans="2:18">
      <c r="B106" s="329">
        <v>85</v>
      </c>
      <c r="C106" s="354" t="s">
        <v>196</v>
      </c>
      <c r="D106" s="133">
        <v>595029</v>
      </c>
      <c r="E106" s="181">
        <v>125</v>
      </c>
      <c r="F106" s="521" t="s">
        <v>1022</v>
      </c>
      <c r="G106" s="133"/>
      <c r="H106" s="133"/>
      <c r="I106" s="133"/>
      <c r="J106" s="133"/>
      <c r="K106" s="133"/>
      <c r="L106" s="133"/>
      <c r="M106" s="489">
        <f>'RAO HT'!I20</f>
        <v>10929</v>
      </c>
      <c r="N106" s="1287"/>
      <c r="O106" s="1286"/>
      <c r="P106" s="1286"/>
      <c r="Q106" s="1286"/>
      <c r="R106" s="1295"/>
    </row>
    <row r="107" spans="2:18">
      <c r="B107" s="329">
        <v>86</v>
      </c>
      <c r="C107" s="354" t="s">
        <v>196</v>
      </c>
      <c r="D107" s="133">
        <v>596277</v>
      </c>
      <c r="E107" s="181">
        <v>200</v>
      </c>
      <c r="F107" s="521" t="s">
        <v>1023</v>
      </c>
      <c r="G107" s="133"/>
      <c r="H107" s="133"/>
      <c r="I107" s="133"/>
      <c r="J107" s="133"/>
      <c r="K107" s="133"/>
      <c r="L107" s="133"/>
      <c r="M107" s="489">
        <f>'RAO HT'!I96</f>
        <v>49291</v>
      </c>
      <c r="N107" s="1287"/>
      <c r="O107" s="1286"/>
      <c r="P107" s="1286"/>
      <c r="Q107" s="1286"/>
      <c r="R107" s="1295"/>
    </row>
    <row r="108" spans="2:18" s="1" customFormat="1" ht="22.5" customHeight="1">
      <c r="B108" s="329">
        <v>87</v>
      </c>
      <c r="C108" s="354" t="s">
        <v>196</v>
      </c>
      <c r="D108" s="215">
        <v>504033</v>
      </c>
      <c r="E108" s="220">
        <v>225</v>
      </c>
      <c r="F108" s="522" t="s">
        <v>1024</v>
      </c>
      <c r="G108" s="500"/>
      <c r="H108" s="500"/>
      <c r="I108" s="500"/>
      <c r="J108" s="500"/>
      <c r="K108" s="500"/>
      <c r="L108" s="500"/>
      <c r="M108" s="489">
        <f>'RAO HT'!I6</f>
        <v>339550</v>
      </c>
      <c r="N108" s="1287"/>
      <c r="O108" s="1286"/>
      <c r="P108" s="1286"/>
      <c r="Q108" s="1286"/>
      <c r="R108" s="1295"/>
    </row>
    <row r="109" spans="2:18">
      <c r="B109" s="329">
        <v>88</v>
      </c>
      <c r="C109" s="354" t="s">
        <v>196</v>
      </c>
      <c r="D109" s="133">
        <v>596179</v>
      </c>
      <c r="E109" s="181">
        <v>80</v>
      </c>
      <c r="F109" s="521" t="s">
        <v>1025</v>
      </c>
      <c r="G109" s="133"/>
      <c r="H109" s="133"/>
      <c r="I109" s="133"/>
      <c r="J109" s="133"/>
      <c r="K109" s="133"/>
      <c r="L109" s="133"/>
      <c r="M109" s="489">
        <f>'RAO HT'!I57</f>
        <v>0</v>
      </c>
      <c r="N109" s="1287"/>
      <c r="O109" s="1286"/>
      <c r="P109" s="1286"/>
      <c r="Q109" s="1286"/>
      <c r="R109" s="1295"/>
    </row>
    <row r="110" spans="2:18">
      <c r="B110" s="329">
        <v>89</v>
      </c>
      <c r="C110" s="354" t="s">
        <v>196</v>
      </c>
      <c r="D110" s="133">
        <v>596367</v>
      </c>
      <c r="E110" s="181">
        <v>150</v>
      </c>
      <c r="F110" s="521" t="s">
        <v>1026</v>
      </c>
      <c r="G110" s="133"/>
      <c r="H110" s="133"/>
      <c r="I110" s="133"/>
      <c r="J110" s="133"/>
      <c r="K110" s="133"/>
      <c r="L110" s="133"/>
      <c r="M110" s="489">
        <f>'RAO HT'!I149</f>
        <v>59036</v>
      </c>
      <c r="N110" s="1287"/>
      <c r="O110" s="1286"/>
      <c r="P110" s="1286"/>
      <c r="Q110" s="1286"/>
      <c r="R110" s="1295"/>
    </row>
    <row r="111" spans="2:18">
      <c r="B111" s="329">
        <v>90</v>
      </c>
      <c r="C111" s="354" t="s">
        <v>196</v>
      </c>
      <c r="D111" s="133">
        <v>596368</v>
      </c>
      <c r="E111" s="181">
        <v>150</v>
      </c>
      <c r="F111" s="521" t="s">
        <v>1027</v>
      </c>
      <c r="G111" s="133"/>
      <c r="H111" s="133"/>
      <c r="I111" s="133"/>
      <c r="J111" s="133"/>
      <c r="K111" s="133"/>
      <c r="L111" s="133"/>
      <c r="M111" s="489">
        <f>'RAO HT'!I150</f>
        <v>9123</v>
      </c>
      <c r="N111" s="1287"/>
      <c r="O111" s="1286"/>
      <c r="P111" s="1286"/>
      <c r="Q111" s="1286"/>
      <c r="R111" s="1295"/>
    </row>
    <row r="112" spans="2:18">
      <c r="B112" s="329">
        <v>91</v>
      </c>
      <c r="C112" s="354"/>
      <c r="D112" s="133" t="str">
        <f>'RAO HT'!B217</f>
        <v>H2421000085</v>
      </c>
      <c r="E112" s="181"/>
      <c r="F112" s="523" t="s">
        <v>781</v>
      </c>
      <c r="G112" s="133"/>
      <c r="H112" s="133"/>
      <c r="I112" s="133"/>
      <c r="J112" s="133"/>
      <c r="K112" s="133"/>
      <c r="L112" s="133"/>
      <c r="M112" s="489">
        <f>'RAO HT'!I217</f>
        <v>27849</v>
      </c>
      <c r="N112" s="1287"/>
      <c r="O112" s="1286"/>
      <c r="P112" s="1286"/>
      <c r="Q112" s="1286"/>
      <c r="R112" s="1295"/>
    </row>
    <row r="113" spans="2:18" ht="15.75">
      <c r="B113" s="329">
        <v>92</v>
      </c>
      <c r="C113" s="354" t="s">
        <v>196</v>
      </c>
      <c r="D113" s="133">
        <v>596370</v>
      </c>
      <c r="E113" s="181">
        <v>100</v>
      </c>
      <c r="F113" s="456" t="s">
        <v>1028</v>
      </c>
      <c r="G113" s="133"/>
      <c r="H113" s="133"/>
      <c r="I113" s="133"/>
      <c r="J113" s="133"/>
      <c r="K113" s="133"/>
      <c r="L113" s="133"/>
      <c r="M113" s="524">
        <f>'RAO HT'!I152</f>
        <v>17354</v>
      </c>
      <c r="N113" s="1287"/>
      <c r="O113" s="1286"/>
      <c r="P113" s="1286"/>
      <c r="Q113" s="1286"/>
      <c r="R113" s="1295"/>
    </row>
    <row r="114" spans="2:18" ht="15.75">
      <c r="B114" s="329">
        <v>93</v>
      </c>
      <c r="C114" s="354" t="s">
        <v>196</v>
      </c>
      <c r="D114" s="476">
        <v>596391</v>
      </c>
      <c r="E114" s="510">
        <v>450</v>
      </c>
      <c r="F114" s="133" t="s">
        <v>1029</v>
      </c>
      <c r="G114" s="133"/>
      <c r="H114" s="133"/>
      <c r="I114" s="133"/>
      <c r="J114" s="133"/>
      <c r="K114" s="133"/>
      <c r="L114" s="133"/>
      <c r="M114" s="524">
        <f>'RAO HT'!I171</f>
        <v>58436</v>
      </c>
      <c r="N114" s="519">
        <f>M114</f>
        <v>58436</v>
      </c>
      <c r="O114" s="1286"/>
      <c r="P114" s="1286"/>
      <c r="Q114" s="525" t="s">
        <v>962</v>
      </c>
      <c r="R114" s="525" t="s">
        <v>83</v>
      </c>
    </row>
    <row r="115" spans="2:18" ht="15" customHeight="1">
      <c r="B115" s="329">
        <v>94</v>
      </c>
      <c r="C115" s="354" t="s">
        <v>196</v>
      </c>
      <c r="D115" s="133">
        <v>596289</v>
      </c>
      <c r="E115" s="181">
        <v>350</v>
      </c>
      <c r="F115" s="456" t="s">
        <v>1030</v>
      </c>
      <c r="G115" s="133"/>
      <c r="H115" s="133"/>
      <c r="I115" s="133"/>
      <c r="J115" s="133"/>
      <c r="K115" s="133"/>
      <c r="L115" s="133"/>
      <c r="M115" s="508">
        <f>'RAO HT'!I102</f>
        <v>121479</v>
      </c>
      <c r="N115" s="1287">
        <f>SUM(M115:M124)</f>
        <v>530371</v>
      </c>
      <c r="O115" s="1286" t="s">
        <v>1031</v>
      </c>
      <c r="P115" s="1286"/>
      <c r="Q115" s="1292" t="s">
        <v>1013</v>
      </c>
      <c r="R115" s="1286" t="s">
        <v>82</v>
      </c>
    </row>
    <row r="116" spans="2:18">
      <c r="B116" s="329">
        <v>95</v>
      </c>
      <c r="C116" s="354" t="s">
        <v>196</v>
      </c>
      <c r="D116" s="133">
        <v>596332</v>
      </c>
      <c r="E116" s="181">
        <v>125</v>
      </c>
      <c r="F116" s="456" t="s">
        <v>1032</v>
      </c>
      <c r="G116" s="133"/>
      <c r="H116" s="133"/>
      <c r="I116" s="133"/>
      <c r="J116" s="133"/>
      <c r="K116" s="133"/>
      <c r="L116" s="133"/>
      <c r="M116" s="508">
        <f>'RAO HT'!I136</f>
        <v>23044</v>
      </c>
      <c r="N116" s="1287"/>
      <c r="O116" s="1286"/>
      <c r="P116" s="1286"/>
      <c r="Q116" s="1292"/>
      <c r="R116" s="1286"/>
    </row>
    <row r="117" spans="2:18">
      <c r="B117" s="329">
        <v>96</v>
      </c>
      <c r="C117" s="354" t="s">
        <v>196</v>
      </c>
      <c r="D117" s="133">
        <v>596126</v>
      </c>
      <c r="E117" s="181">
        <v>150</v>
      </c>
      <c r="F117" s="526" t="s">
        <v>1033</v>
      </c>
      <c r="G117" s="133"/>
      <c r="H117" s="133"/>
      <c r="I117" s="133"/>
      <c r="J117" s="133"/>
      <c r="K117" s="133"/>
      <c r="L117" s="133"/>
      <c r="M117" s="508">
        <f>'RAO HT'!I30</f>
        <v>12132</v>
      </c>
      <c r="N117" s="1287"/>
      <c r="O117" s="1286"/>
      <c r="P117" s="1286"/>
      <c r="Q117" s="1292"/>
      <c r="R117" s="1286"/>
    </row>
    <row r="118" spans="2:18">
      <c r="B118" s="329">
        <v>97</v>
      </c>
      <c r="C118" s="354" t="s">
        <v>196</v>
      </c>
      <c r="D118" s="527">
        <v>596246</v>
      </c>
      <c r="E118" s="528">
        <v>100</v>
      </c>
      <c r="F118" s="456" t="s">
        <v>1034</v>
      </c>
      <c r="G118" s="133"/>
      <c r="H118" s="133"/>
      <c r="I118" s="133"/>
      <c r="J118" s="133"/>
      <c r="K118" s="133"/>
      <c r="L118" s="133"/>
      <c r="M118" s="508">
        <f>'RAO HT'!I80</f>
        <v>18216</v>
      </c>
      <c r="N118" s="1287"/>
      <c r="O118" s="1286"/>
      <c r="P118" s="1286"/>
      <c r="Q118" s="1292"/>
      <c r="R118" s="1286"/>
    </row>
    <row r="119" spans="2:18">
      <c r="B119" s="329">
        <v>98</v>
      </c>
      <c r="C119" s="354" t="s">
        <v>196</v>
      </c>
      <c r="D119" s="133">
        <v>539004</v>
      </c>
      <c r="E119" s="181">
        <v>330</v>
      </c>
      <c r="F119" s="456" t="s">
        <v>1035</v>
      </c>
      <c r="G119" s="133"/>
      <c r="H119" s="133"/>
      <c r="I119" s="133"/>
      <c r="J119" s="133"/>
      <c r="K119" s="133"/>
      <c r="L119" s="133"/>
      <c r="M119" s="508">
        <f>'RAO HT'!I9</f>
        <v>48326</v>
      </c>
      <c r="N119" s="1287"/>
      <c r="O119" s="1286"/>
      <c r="P119" s="1286"/>
      <c r="Q119" s="1292"/>
      <c r="R119" s="1286"/>
    </row>
    <row r="120" spans="2:18">
      <c r="B120" s="329">
        <v>99</v>
      </c>
      <c r="C120" s="354" t="s">
        <v>196</v>
      </c>
      <c r="D120" s="133">
        <v>560007</v>
      </c>
      <c r="E120" s="181">
        <v>1100</v>
      </c>
      <c r="F120" s="456" t="s">
        <v>1036</v>
      </c>
      <c r="G120" s="133"/>
      <c r="H120" s="133"/>
      <c r="I120" s="133"/>
      <c r="J120" s="133"/>
      <c r="K120" s="133"/>
      <c r="L120" s="133"/>
      <c r="M120" s="508">
        <f>'RAO HT'!I11</f>
        <v>254522</v>
      </c>
      <c r="N120" s="1287"/>
      <c r="O120" s="1286"/>
      <c r="P120" s="1286"/>
      <c r="Q120" s="1292"/>
      <c r="R120" s="1286"/>
    </row>
    <row r="121" spans="2:18">
      <c r="B121" s="329">
        <v>100</v>
      </c>
      <c r="C121" s="354" t="s">
        <v>196</v>
      </c>
      <c r="D121" s="133">
        <v>596262</v>
      </c>
      <c r="E121" s="181">
        <v>100</v>
      </c>
      <c r="F121" s="456" t="s">
        <v>1037</v>
      </c>
      <c r="G121" s="133"/>
      <c r="H121" s="133"/>
      <c r="I121" s="133"/>
      <c r="J121" s="133"/>
      <c r="K121" s="133"/>
      <c r="L121" s="133"/>
      <c r="M121" s="489">
        <f>'RAO HT'!I88</f>
        <v>6336</v>
      </c>
      <c r="N121" s="1287"/>
      <c r="O121" s="1286"/>
      <c r="P121" s="1286"/>
      <c r="Q121" s="1292"/>
      <c r="R121" s="1286"/>
    </row>
    <row r="122" spans="2:18" ht="30">
      <c r="B122" s="329">
        <v>101</v>
      </c>
      <c r="C122" s="354" t="s">
        <v>196</v>
      </c>
      <c r="D122" s="476">
        <v>596395</v>
      </c>
      <c r="E122" s="510">
        <v>100</v>
      </c>
      <c r="F122" s="425" t="s">
        <v>1038</v>
      </c>
      <c r="G122" s="133"/>
      <c r="H122" s="133"/>
      <c r="I122" s="133"/>
      <c r="J122" s="133"/>
      <c r="K122" s="133"/>
      <c r="L122" s="133"/>
      <c r="M122" s="489">
        <f>'RAO HT'!I175</f>
        <v>34686</v>
      </c>
      <c r="N122" s="1287"/>
      <c r="O122" s="1286"/>
      <c r="P122" s="1286"/>
      <c r="Q122" s="1292"/>
      <c r="R122" s="1286"/>
    </row>
    <row r="123" spans="2:18">
      <c r="B123" s="329"/>
      <c r="C123" s="354" t="s">
        <v>196</v>
      </c>
      <c r="D123" s="476" t="s">
        <v>839</v>
      </c>
      <c r="E123" s="510"/>
      <c r="F123" s="425" t="s">
        <v>840</v>
      </c>
      <c r="G123" s="133"/>
      <c r="H123" s="133"/>
      <c r="I123" s="133"/>
      <c r="J123" s="133"/>
      <c r="K123" s="133"/>
      <c r="L123" s="133"/>
      <c r="M123" s="489">
        <f>'RAO HT'!I246</f>
        <v>11630</v>
      </c>
      <c r="N123" s="1287"/>
      <c r="O123" s="1286"/>
      <c r="P123" s="1286"/>
      <c r="Q123" s="1292"/>
      <c r="R123" s="1286"/>
    </row>
    <row r="124" spans="2:18">
      <c r="B124" s="329">
        <v>102</v>
      </c>
      <c r="C124" s="354" t="s">
        <v>196</v>
      </c>
      <c r="D124" s="476">
        <v>596397</v>
      </c>
      <c r="E124" s="510">
        <v>110</v>
      </c>
      <c r="F124" s="133" t="s">
        <v>1039</v>
      </c>
      <c r="G124" s="133"/>
      <c r="H124" s="133"/>
      <c r="I124" s="133"/>
      <c r="J124" s="133"/>
      <c r="K124" s="133"/>
      <c r="L124" s="133"/>
      <c r="M124" s="489">
        <f>'RAO HT'!I177</f>
        <v>0</v>
      </c>
      <c r="N124" s="1287"/>
      <c r="O124" s="1286"/>
      <c r="P124" s="1286"/>
      <c r="Q124" s="1292"/>
      <c r="R124" s="1286"/>
    </row>
    <row r="125" spans="2:18" ht="15" customHeight="1">
      <c r="B125" s="329">
        <v>103</v>
      </c>
      <c r="C125" s="354" t="s">
        <v>196</v>
      </c>
      <c r="D125" s="133">
        <v>596247</v>
      </c>
      <c r="E125" s="181">
        <v>700</v>
      </c>
      <c r="F125" s="456" t="s">
        <v>1040</v>
      </c>
      <c r="G125" s="133"/>
      <c r="H125" s="133"/>
      <c r="I125" s="133"/>
      <c r="J125" s="133"/>
      <c r="K125" s="133"/>
      <c r="L125" s="133"/>
      <c r="M125" s="503">
        <f>'RAO HT'!I81</f>
        <v>0</v>
      </c>
      <c r="N125" s="1287">
        <f>SUM(M125:M128)</f>
        <v>729048</v>
      </c>
      <c r="O125" s="1286" t="s">
        <v>961</v>
      </c>
      <c r="P125" s="1286"/>
      <c r="Q125" s="1288" t="s">
        <v>1041</v>
      </c>
      <c r="R125" s="1289" t="s">
        <v>83</v>
      </c>
    </row>
    <row r="126" spans="2:18">
      <c r="B126" s="329">
        <v>104</v>
      </c>
      <c r="C126" s="354" t="s">
        <v>196</v>
      </c>
      <c r="D126" s="133">
        <v>596307</v>
      </c>
      <c r="E126" s="181">
        <v>150</v>
      </c>
      <c r="F126" s="529" t="s">
        <v>1042</v>
      </c>
      <c r="G126" s="133"/>
      <c r="H126" s="133"/>
      <c r="I126" s="133"/>
      <c r="J126" s="133"/>
      <c r="K126" s="133"/>
      <c r="L126" s="133"/>
      <c r="M126" s="530">
        <f>'RAO HT'!I114</f>
        <v>30765</v>
      </c>
      <c r="N126" s="1287"/>
      <c r="O126" s="1286"/>
      <c r="P126" s="1286"/>
      <c r="Q126" s="1288"/>
      <c r="R126" s="1289"/>
    </row>
    <row r="127" spans="2:18">
      <c r="B127" s="329">
        <v>105</v>
      </c>
      <c r="C127" s="354" t="s">
        <v>196</v>
      </c>
      <c r="D127" s="133">
        <v>596232</v>
      </c>
      <c r="E127" s="181">
        <v>600</v>
      </c>
      <c r="F127" s="471" t="s">
        <v>1043</v>
      </c>
      <c r="G127" s="531"/>
      <c r="H127" s="133"/>
      <c r="I127" s="133"/>
      <c r="J127" s="133"/>
      <c r="K127" s="133"/>
      <c r="L127" s="133"/>
      <c r="M127" s="532">
        <f>'RAO HT'!I75</f>
        <v>695994</v>
      </c>
      <c r="N127" s="1287"/>
      <c r="O127" s="1286"/>
      <c r="P127" s="1286"/>
      <c r="Q127" s="1288"/>
      <c r="R127" s="1289"/>
    </row>
    <row r="128" spans="2:18">
      <c r="B128" s="329">
        <v>106</v>
      </c>
      <c r="C128" s="354" t="s">
        <v>196</v>
      </c>
      <c r="D128" s="476">
        <v>596398</v>
      </c>
      <c r="E128" s="510">
        <v>100</v>
      </c>
      <c r="F128" s="133" t="s">
        <v>1044</v>
      </c>
      <c r="G128" s="533"/>
      <c r="H128" s="426"/>
      <c r="I128" s="426"/>
      <c r="J128" s="426"/>
      <c r="K128" s="426"/>
      <c r="L128" s="426"/>
      <c r="M128" s="532">
        <f>'RAO HT'!I178</f>
        <v>2289</v>
      </c>
      <c r="N128" s="1287"/>
      <c r="O128" s="1286"/>
      <c r="P128" s="1286"/>
      <c r="Q128" s="1288"/>
      <c r="R128" s="1289"/>
    </row>
    <row r="129" spans="2:20">
      <c r="B129" s="329">
        <v>107</v>
      </c>
      <c r="C129" s="354" t="s">
        <v>196</v>
      </c>
      <c r="D129" s="476"/>
      <c r="E129" s="534">
        <v>500</v>
      </c>
      <c r="F129" s="426" t="s">
        <v>779</v>
      </c>
      <c r="G129" s="533"/>
      <c r="H129" s="426"/>
      <c r="I129" s="426"/>
      <c r="J129" s="426"/>
      <c r="K129" s="426"/>
      <c r="L129" s="426"/>
      <c r="M129" s="508">
        <f>'RAO HT'!I216</f>
        <v>52386</v>
      </c>
      <c r="N129" s="1287">
        <f>SUM(M129:M132)</f>
        <v>181732</v>
      </c>
      <c r="O129" s="1290" t="s">
        <v>1045</v>
      </c>
      <c r="P129" s="1286"/>
      <c r="Q129" s="525" t="s">
        <v>962</v>
      </c>
      <c r="R129" s="1289"/>
    </row>
    <row r="130" spans="2:20">
      <c r="B130" s="329"/>
      <c r="C130" s="354" t="s">
        <v>196</v>
      </c>
      <c r="D130" s="476" t="s">
        <v>855</v>
      </c>
      <c r="E130" s="535"/>
      <c r="F130" s="426" t="s">
        <v>856</v>
      </c>
      <c r="G130" s="533"/>
      <c r="H130" s="426"/>
      <c r="I130" s="426"/>
      <c r="J130" s="426"/>
      <c r="K130" s="426"/>
      <c r="L130" s="426"/>
      <c r="M130" s="508">
        <f>'RAO HT'!I254</f>
        <v>11618</v>
      </c>
      <c r="N130" s="1287"/>
      <c r="O130" s="1290"/>
      <c r="P130" s="486"/>
      <c r="Q130" s="482"/>
      <c r="R130" s="1289"/>
    </row>
    <row r="131" spans="2:20">
      <c r="B131" s="329"/>
      <c r="C131" s="354" t="s">
        <v>196</v>
      </c>
      <c r="D131" s="476" t="s">
        <v>859</v>
      </c>
      <c r="E131" s="535"/>
      <c r="F131" s="426" t="s">
        <v>860</v>
      </c>
      <c r="G131" s="533"/>
      <c r="H131" s="426"/>
      <c r="I131" s="426"/>
      <c r="J131" s="426"/>
      <c r="K131" s="426"/>
      <c r="L131" s="426"/>
      <c r="M131" s="508">
        <f>'RAO HT'!I256</f>
        <v>72156</v>
      </c>
      <c r="N131" s="1287"/>
      <c r="O131" s="1290"/>
      <c r="P131" s="486"/>
      <c r="Q131" s="482"/>
      <c r="R131" s="1289"/>
    </row>
    <row r="132" spans="2:20">
      <c r="B132" s="329">
        <v>108</v>
      </c>
      <c r="C132" s="354" t="s">
        <v>196</v>
      </c>
      <c r="D132" s="476" t="s">
        <v>833</v>
      </c>
      <c r="E132" s="535"/>
      <c r="F132" s="426" t="s">
        <v>834</v>
      </c>
      <c r="G132" s="533"/>
      <c r="H132" s="426"/>
      <c r="I132" s="426"/>
      <c r="J132" s="426"/>
      <c r="K132" s="426"/>
      <c r="L132" s="426"/>
      <c r="M132" s="508">
        <f>'RAO HT'!I243</f>
        <v>45572</v>
      </c>
      <c r="N132" s="1287"/>
      <c r="O132" s="1290"/>
      <c r="P132" s="486"/>
      <c r="Q132" s="482"/>
      <c r="R132" s="1289"/>
    </row>
    <row r="133" spans="2:20" ht="26.25" customHeight="1">
      <c r="B133" s="329">
        <v>109</v>
      </c>
      <c r="C133" s="354" t="s">
        <v>196</v>
      </c>
      <c r="D133" s="476"/>
      <c r="E133" s="510"/>
      <c r="F133" s="536" t="s">
        <v>1046</v>
      </c>
      <c r="G133" s="533"/>
      <c r="H133" s="426"/>
      <c r="I133" s="426"/>
      <c r="J133" s="426"/>
      <c r="K133" s="426"/>
      <c r="L133" s="426"/>
      <c r="M133" s="508">
        <f>'RAO HT'!I211</f>
        <v>42825</v>
      </c>
      <c r="N133" s="1287">
        <f>M135+M133+M134</f>
        <v>80219</v>
      </c>
      <c r="O133" s="1286" t="s">
        <v>222</v>
      </c>
      <c r="P133" s="1286" t="s">
        <v>931</v>
      </c>
      <c r="Q133" s="501"/>
      <c r="R133" s="1289"/>
    </row>
    <row r="134" spans="2:20" ht="25.5">
      <c r="B134" s="329"/>
      <c r="C134" s="354" t="s">
        <v>871</v>
      </c>
      <c r="D134" s="476"/>
      <c r="E134" s="510"/>
      <c r="F134" s="537" t="s">
        <v>872</v>
      </c>
      <c r="G134" s="533"/>
      <c r="H134" s="426"/>
      <c r="I134" s="426"/>
      <c r="J134" s="426"/>
      <c r="K134" s="426"/>
      <c r="L134" s="426"/>
      <c r="M134" s="508">
        <f>'RAO HT'!I262</f>
        <v>23534</v>
      </c>
      <c r="N134" s="1287"/>
      <c r="O134" s="1286"/>
      <c r="P134" s="1286"/>
      <c r="Q134" s="501"/>
      <c r="R134" s="1289"/>
    </row>
    <row r="135" spans="2:20" ht="17.25" customHeight="1">
      <c r="B135" s="329">
        <v>110</v>
      </c>
      <c r="C135" s="354" t="s">
        <v>196</v>
      </c>
      <c r="D135" s="389">
        <v>596376</v>
      </c>
      <c r="E135" s="419">
        <v>200</v>
      </c>
      <c r="F135" s="475" t="s">
        <v>1047</v>
      </c>
      <c r="G135" s="533"/>
      <c r="H135" s="426"/>
      <c r="I135" s="426"/>
      <c r="J135" s="426"/>
      <c r="K135" s="426"/>
      <c r="L135" s="426"/>
      <c r="M135" s="508">
        <f>'RAO HT'!I157</f>
        <v>13860</v>
      </c>
      <c r="N135" s="1287"/>
      <c r="O135" s="1286"/>
      <c r="P135" s="1286"/>
      <c r="Q135" s="502" t="s">
        <v>956</v>
      </c>
      <c r="R135" s="1289"/>
    </row>
    <row r="136" spans="2:20" ht="17.25" customHeight="1">
      <c r="B136" s="329">
        <v>111</v>
      </c>
      <c r="C136" s="354" t="s">
        <v>196</v>
      </c>
      <c r="D136" s="538" t="s">
        <v>883</v>
      </c>
      <c r="E136" s="539"/>
      <c r="F136" s="475" t="s">
        <v>884</v>
      </c>
      <c r="G136" s="540"/>
      <c r="H136" s="541"/>
      <c r="I136" s="541"/>
      <c r="J136" s="541"/>
      <c r="K136" s="541"/>
      <c r="L136" s="541"/>
      <c r="M136" s="542">
        <f>'RAO HT'!I268</f>
        <v>27</v>
      </c>
      <c r="N136" s="543"/>
      <c r="O136" s="478" t="s">
        <v>1048</v>
      </c>
      <c r="P136" s="478"/>
      <c r="Q136" s="502"/>
      <c r="R136" s="544" t="s">
        <v>82</v>
      </c>
    </row>
    <row r="137" spans="2:20" ht="17.25" customHeight="1">
      <c r="B137" s="329"/>
      <c r="C137" s="354"/>
      <c r="D137" s="538" t="s">
        <v>869</v>
      </c>
      <c r="E137" s="539"/>
      <c r="F137" s="475" t="s">
        <v>870</v>
      </c>
      <c r="G137" s="540"/>
      <c r="H137" s="541"/>
      <c r="I137" s="541"/>
      <c r="J137" s="541"/>
      <c r="K137" s="541"/>
      <c r="L137" s="541"/>
      <c r="M137" s="542">
        <f>'RAO HT'!I261</f>
        <v>72350</v>
      </c>
      <c r="N137" s="543">
        <f>M137</f>
        <v>72350</v>
      </c>
      <c r="O137" s="478" t="s">
        <v>927</v>
      </c>
      <c r="P137" s="478" t="s">
        <v>972</v>
      </c>
      <c r="Q137" s="502"/>
      <c r="R137" s="544"/>
    </row>
    <row r="138" spans="2:20">
      <c r="B138" s="329"/>
      <c r="C138" s="181"/>
      <c r="D138" s="154"/>
      <c r="E138" s="178"/>
      <c r="F138" s="426"/>
      <c r="G138" s="545"/>
      <c r="H138" s="154"/>
      <c r="I138" s="154"/>
      <c r="J138" s="154"/>
      <c r="K138" s="154"/>
      <c r="L138" s="154"/>
      <c r="M138" s="546"/>
      <c r="N138" s="547" t="s">
        <v>80</v>
      </c>
      <c r="O138" s="547" t="s">
        <v>81</v>
      </c>
      <c r="P138" s="547" t="s">
        <v>82</v>
      </c>
      <c r="Q138" s="547" t="s">
        <v>83</v>
      </c>
      <c r="R138" s="548" t="s">
        <v>71</v>
      </c>
    </row>
    <row r="139" spans="2:20" ht="21">
      <c r="B139" s="329"/>
      <c r="C139" s="181"/>
      <c r="D139" s="133"/>
      <c r="E139" s="181"/>
      <c r="F139" s="549" t="s">
        <v>1049</v>
      </c>
      <c r="G139" s="133"/>
      <c r="H139" s="133"/>
      <c r="I139" s="133"/>
      <c r="J139" s="133"/>
      <c r="K139" s="133"/>
      <c r="L139" s="133"/>
      <c r="M139" s="550">
        <f>SUM(M4:M136)</f>
        <v>15584862</v>
      </c>
      <c r="N139" s="551">
        <f>N4+N23+N24+N32+N37+N38+N30+N31</f>
        <v>2075236</v>
      </c>
      <c r="O139" s="552">
        <f>N39+N40+N49</f>
        <v>676916</v>
      </c>
      <c r="P139" s="552">
        <f>N29+N62+N68+N75+N81+N83+N91+N92+N94+N102+N115+M136+N137</f>
        <v>7837056</v>
      </c>
      <c r="Q139" s="552">
        <f>N50+N53+N54+N55+N60+N61+N114+N125+N129+N133</f>
        <v>5068004</v>
      </c>
      <c r="R139" s="553">
        <f>P139+N139+Q139+O139</f>
        <v>15657212</v>
      </c>
      <c r="S139" s="86">
        <v>34719</v>
      </c>
      <c r="T139" s="86">
        <f>10056161-R139</f>
        <v>-5601051</v>
      </c>
    </row>
    <row r="140" spans="2:20" ht="15.75">
      <c r="F140" s="554" t="s">
        <v>1050</v>
      </c>
      <c r="G140" s="426"/>
      <c r="H140" s="426"/>
      <c r="I140" s="426"/>
      <c r="J140" s="555"/>
      <c r="K140" s="426" t="s">
        <v>1051</v>
      </c>
      <c r="L140" s="426"/>
      <c r="M140" s="556">
        <f>'11 KV HT'!P148</f>
        <v>4165680</v>
      </c>
      <c r="N140" s="557">
        <f>'11 KV HT'!L148</f>
        <v>800981</v>
      </c>
      <c r="O140" s="557">
        <f>'11 KV HT'!M148</f>
        <v>479113</v>
      </c>
      <c r="P140" s="557">
        <f>'11 KV HT'!N148</f>
        <v>1677835</v>
      </c>
      <c r="Q140" s="557">
        <f>'11 KV HT'!O148</f>
        <v>1207751</v>
      </c>
      <c r="R140" s="557">
        <f>SUM(N140:Q140)</f>
        <v>4165680</v>
      </c>
    </row>
    <row r="141" spans="2:20" ht="18.75">
      <c r="M141" s="558">
        <f t="shared" ref="M141:Q141" si="0">SUM(M139:M140)</f>
        <v>19750542</v>
      </c>
      <c r="N141" s="559">
        <f t="shared" si="0"/>
        <v>2876217</v>
      </c>
      <c r="O141" s="559">
        <f t="shared" si="0"/>
        <v>1156029</v>
      </c>
      <c r="P141" s="559">
        <f t="shared" si="0"/>
        <v>9514891</v>
      </c>
      <c r="Q141" s="559">
        <f t="shared" si="0"/>
        <v>6275755</v>
      </c>
      <c r="R141" s="560">
        <f>SUM(R139:R140)</f>
        <v>19822892</v>
      </c>
      <c r="S141" s="561">
        <f>R141+S139</f>
        <v>19857611</v>
      </c>
      <c r="T141" s="86"/>
    </row>
    <row r="142" spans="2:20">
      <c r="R142" s="86">
        <f>'RAO HT'!I271-'33 KV HT'!R141</f>
        <v>0</v>
      </c>
      <c r="T142">
        <v>19469928</v>
      </c>
    </row>
    <row r="143" spans="2:20">
      <c r="N143" s="562"/>
      <c r="O143" s="86"/>
      <c r="R143" s="310">
        <v>9035458</v>
      </c>
      <c r="T143">
        <v>19475970</v>
      </c>
    </row>
    <row r="144" spans="2:20">
      <c r="F144" t="s">
        <v>1052</v>
      </c>
      <c r="R144" s="86">
        <f>R143-R139</f>
        <v>-6621754</v>
      </c>
    </row>
    <row r="145" spans="2:19" ht="15.75">
      <c r="B145" s="136">
        <v>1</v>
      </c>
      <c r="E145" s="133">
        <v>596228</v>
      </c>
      <c r="F145" s="563" t="s">
        <v>1053</v>
      </c>
      <c r="G145" s="133"/>
      <c r="H145" s="133"/>
      <c r="I145" s="133"/>
      <c r="J145" s="133"/>
      <c r="K145" s="133"/>
      <c r="L145" s="133"/>
      <c r="M145" s="564">
        <v>122882</v>
      </c>
      <c r="N145" s="1268">
        <f>M145+M146</f>
        <v>151443</v>
      </c>
      <c r="O145" s="1266" t="s">
        <v>80</v>
      </c>
      <c r="P145" s="264">
        <f t="shared" ref="P145:P153" si="1">M145/100000</f>
        <v>1.22882</v>
      </c>
    </row>
    <row r="146" spans="2:19" ht="15.75">
      <c r="B146" s="136">
        <v>2</v>
      </c>
      <c r="E146" s="133">
        <v>574012</v>
      </c>
      <c r="F146" s="563" t="s">
        <v>1054</v>
      </c>
      <c r="G146" s="133"/>
      <c r="H146" s="133"/>
      <c r="I146" s="133"/>
      <c r="J146" s="133"/>
      <c r="K146" s="133"/>
      <c r="L146" s="133"/>
      <c r="M146" s="564">
        <v>28561</v>
      </c>
      <c r="N146" s="1268"/>
      <c r="O146" s="1266"/>
      <c r="P146" s="264">
        <f t="shared" si="1"/>
        <v>0.28560999999999998</v>
      </c>
      <c r="R146">
        <v>3774420</v>
      </c>
      <c r="S146">
        <f>R140-R146</f>
        <v>391260</v>
      </c>
    </row>
    <row r="147" spans="2:19" ht="15.75">
      <c r="B147" s="136">
        <v>3</v>
      </c>
      <c r="E147" s="133">
        <v>596205</v>
      </c>
      <c r="F147" s="565" t="s">
        <v>1055</v>
      </c>
      <c r="G147" s="133"/>
      <c r="H147" s="133"/>
      <c r="I147" s="133"/>
      <c r="J147" s="133"/>
      <c r="K147" s="133"/>
      <c r="L147" s="133"/>
      <c r="M147" s="564">
        <v>0</v>
      </c>
      <c r="N147" s="1266">
        <f>SUM(M147:M149)</f>
        <v>82152</v>
      </c>
      <c r="O147" s="1266" t="s">
        <v>81</v>
      </c>
      <c r="P147" s="264">
        <f t="shared" si="1"/>
        <v>0</v>
      </c>
    </row>
    <row r="148" spans="2:19" ht="15.75">
      <c r="B148" s="136">
        <v>4</v>
      </c>
      <c r="E148" s="133">
        <v>596214</v>
      </c>
      <c r="F148" s="563" t="s">
        <v>950</v>
      </c>
      <c r="G148" s="133"/>
      <c r="H148" s="133"/>
      <c r="I148" s="133"/>
      <c r="J148" s="133"/>
      <c r="K148" s="133"/>
      <c r="L148" s="133"/>
      <c r="M148" s="564">
        <v>27634</v>
      </c>
      <c r="N148" s="1266"/>
      <c r="O148" s="1266"/>
      <c r="P148" s="264">
        <f t="shared" si="1"/>
        <v>0.27633999999999997</v>
      </c>
      <c r="Q148" s="86">
        <f>Q140-'T&amp;D'!H192</f>
        <v>0</v>
      </c>
    </row>
    <row r="149" spans="2:19" ht="15.75">
      <c r="B149" s="136">
        <v>5</v>
      </c>
      <c r="E149" s="133">
        <v>596190</v>
      </c>
      <c r="F149" s="566" t="s">
        <v>1056</v>
      </c>
      <c r="G149" s="133"/>
      <c r="H149" s="133"/>
      <c r="I149" s="133"/>
      <c r="J149" s="133"/>
      <c r="K149" s="133"/>
      <c r="L149" s="133"/>
      <c r="M149" s="564">
        <v>54518</v>
      </c>
      <c r="N149" s="1266"/>
      <c r="O149" s="1266"/>
      <c r="P149" s="264">
        <f t="shared" si="1"/>
        <v>0.54518</v>
      </c>
    </row>
    <row r="150" spans="2:19" ht="15.75">
      <c r="E150" s="133">
        <v>596159</v>
      </c>
      <c r="F150" s="566" t="s">
        <v>63</v>
      </c>
      <c r="G150" s="133"/>
      <c r="H150" s="133"/>
      <c r="I150" s="133"/>
      <c r="J150" s="133"/>
      <c r="K150" s="133"/>
      <c r="L150" s="133"/>
      <c r="M150" s="564">
        <v>34156</v>
      </c>
      <c r="N150" s="181">
        <f>SUM(M150)</f>
        <v>34156</v>
      </c>
      <c r="O150" s="1266" t="s">
        <v>82</v>
      </c>
      <c r="P150" s="264">
        <f t="shared" si="1"/>
        <v>0.34155999999999997</v>
      </c>
    </row>
    <row r="151" spans="2:19" ht="15.75">
      <c r="E151" s="133">
        <v>560007</v>
      </c>
      <c r="F151" s="566" t="s">
        <v>1057</v>
      </c>
      <c r="G151" s="133"/>
      <c r="H151" s="133"/>
      <c r="I151" s="133"/>
      <c r="J151" s="133"/>
      <c r="K151" s="133"/>
      <c r="L151" s="133"/>
      <c r="M151" s="564">
        <v>94391</v>
      </c>
      <c r="N151" s="181">
        <f>SUM(M151)</f>
        <v>94391</v>
      </c>
      <c r="O151" s="1266"/>
      <c r="P151" s="264">
        <f t="shared" si="1"/>
        <v>0.94391000000000003</v>
      </c>
    </row>
    <row r="152" spans="2:19" ht="15.75">
      <c r="B152" s="136">
        <v>6</v>
      </c>
      <c r="E152" s="133">
        <v>596232</v>
      </c>
      <c r="F152" s="567" t="s">
        <v>1043</v>
      </c>
      <c r="G152" s="133"/>
      <c r="H152" s="133"/>
      <c r="I152" s="133"/>
      <c r="J152" s="133"/>
      <c r="K152" s="133"/>
      <c r="L152" s="133"/>
      <c r="M152" s="564">
        <v>0</v>
      </c>
      <c r="N152" s="181">
        <f>SUM(M152)</f>
        <v>0</v>
      </c>
      <c r="O152" s="220" t="s">
        <v>83</v>
      </c>
      <c r="P152" s="264">
        <f t="shared" si="1"/>
        <v>0</v>
      </c>
    </row>
    <row r="153" spans="2:19">
      <c r="D153" s="133"/>
      <c r="F153" s="133"/>
      <c r="G153" s="133"/>
      <c r="H153" s="133"/>
      <c r="I153" s="133"/>
      <c r="J153" s="133"/>
      <c r="K153" s="133"/>
      <c r="L153" s="133"/>
      <c r="M153" s="492">
        <f>SUM(M145:M152)</f>
        <v>362142</v>
      </c>
      <c r="N153" s="181">
        <f>SUM(N145:N152)</f>
        <v>362142</v>
      </c>
      <c r="O153" s="133"/>
      <c r="P153" s="264">
        <f t="shared" si="1"/>
        <v>3.6214200000000001</v>
      </c>
    </row>
    <row r="156" spans="2:19">
      <c r="L156">
        <v>370535</v>
      </c>
      <c r="O156">
        <v>11</v>
      </c>
      <c r="P156">
        <v>33</v>
      </c>
    </row>
    <row r="157" spans="2:19">
      <c r="N157" s="568">
        <f>M153-N155</f>
        <v>362142</v>
      </c>
      <c r="O157">
        <v>1387744</v>
      </c>
      <c r="P157">
        <v>1758086</v>
      </c>
    </row>
    <row r="158" spans="2:19">
      <c r="N158" s="569"/>
      <c r="O158">
        <v>1118728</v>
      </c>
      <c r="P158">
        <v>3098616</v>
      </c>
    </row>
    <row r="159" spans="2:19">
      <c r="O159">
        <v>18831</v>
      </c>
      <c r="P159">
        <v>1129118</v>
      </c>
    </row>
    <row r="160" spans="2:19">
      <c r="O160">
        <v>16563</v>
      </c>
      <c r="P160">
        <v>64119</v>
      </c>
    </row>
    <row r="161" spans="5:16">
      <c r="O161">
        <v>40000</v>
      </c>
      <c r="P161">
        <v>1058613</v>
      </c>
    </row>
    <row r="166" spans="5:16" ht="24.75" customHeight="1"/>
    <row r="167" spans="5:16">
      <c r="E167" s="95"/>
    </row>
    <row r="168" spans="5:16">
      <c r="E168" s="570"/>
    </row>
    <row r="169" spans="5:16">
      <c r="E169" s="570"/>
    </row>
    <row r="170" spans="5:16">
      <c r="E170" s="570"/>
    </row>
    <row r="171" spans="5:16">
      <c r="E171" s="570"/>
    </row>
    <row r="172" spans="5:16">
      <c r="E172" s="570"/>
    </row>
    <row r="173" spans="5:16">
      <c r="E173" s="570"/>
    </row>
  </sheetData>
  <mergeCells count="75">
    <mergeCell ref="B1:R1"/>
    <mergeCell ref="B2:N2"/>
    <mergeCell ref="N4:N23"/>
    <mergeCell ref="O4:O23"/>
    <mergeCell ref="P4:P29"/>
    <mergeCell ref="Q4:Q23"/>
    <mergeCell ref="R4:R25"/>
    <mergeCell ref="N24:N29"/>
    <mergeCell ref="O24:O29"/>
    <mergeCell ref="Q24:Q25"/>
    <mergeCell ref="N32:N36"/>
    <mergeCell ref="O32:O36"/>
    <mergeCell ref="P32:P37"/>
    <mergeCell ref="Q32:Q36"/>
    <mergeCell ref="R32:R38"/>
    <mergeCell ref="N38:N39"/>
    <mergeCell ref="O38:O39"/>
    <mergeCell ref="P38:P39"/>
    <mergeCell ref="R39:R49"/>
    <mergeCell ref="N40:N48"/>
    <mergeCell ref="O40:O48"/>
    <mergeCell ref="P40:P48"/>
    <mergeCell ref="Q40:Q48"/>
    <mergeCell ref="N50:N52"/>
    <mergeCell ref="O50:O51"/>
    <mergeCell ref="P50:P51"/>
    <mergeCell ref="Q50:Q53"/>
    <mergeCell ref="R50:R61"/>
    <mergeCell ref="P54:P59"/>
    <mergeCell ref="Q54:Q59"/>
    <mergeCell ref="N55:N59"/>
    <mergeCell ref="O55:O59"/>
    <mergeCell ref="O61:O67"/>
    <mergeCell ref="P61:P93"/>
    <mergeCell ref="N62:N67"/>
    <mergeCell ref="Q62:Q65"/>
    <mergeCell ref="R62:R113"/>
    <mergeCell ref="N68:N74"/>
    <mergeCell ref="O68:O74"/>
    <mergeCell ref="Q69:Q74"/>
    <mergeCell ref="N75:N80"/>
    <mergeCell ref="O75:O80"/>
    <mergeCell ref="Q75:Q77"/>
    <mergeCell ref="N81:N82"/>
    <mergeCell ref="O81:O82"/>
    <mergeCell ref="Q81:Q82"/>
    <mergeCell ref="N83:N90"/>
    <mergeCell ref="O83:O90"/>
    <mergeCell ref="Q84:Q86"/>
    <mergeCell ref="Q87:Q90"/>
    <mergeCell ref="N94:N101"/>
    <mergeCell ref="O94:O101"/>
    <mergeCell ref="P94:P129"/>
    <mergeCell ref="Q94:Q113"/>
    <mergeCell ref="N102:N113"/>
    <mergeCell ref="O102:O114"/>
    <mergeCell ref="N115:N124"/>
    <mergeCell ref="O115:O124"/>
    <mergeCell ref="Q115:Q124"/>
    <mergeCell ref="N92:N93"/>
    <mergeCell ref="R115:R124"/>
    <mergeCell ref="N125:N128"/>
    <mergeCell ref="O125:O128"/>
    <mergeCell ref="Q125:Q128"/>
    <mergeCell ref="R125:R135"/>
    <mergeCell ref="N129:N132"/>
    <mergeCell ref="O129:O132"/>
    <mergeCell ref="N133:N135"/>
    <mergeCell ref="O133:O135"/>
    <mergeCell ref="P133:P135"/>
    <mergeCell ref="N145:N146"/>
    <mergeCell ref="O145:O146"/>
    <mergeCell ref="N147:N149"/>
    <mergeCell ref="O147:O149"/>
    <mergeCell ref="O150:O151"/>
  </mergeCells>
  <conditionalFormatting sqref="B1:B1048576">
    <cfRule type="duplicateValues" dxfId="8" priority="2"/>
  </conditionalFormatting>
  <conditionalFormatting sqref="D47">
    <cfRule type="duplicateValues" dxfId="7" priority="3"/>
  </conditionalFormatting>
  <pageMargins left="0.70833333333333304" right="0.70833333333333304" top="0.31527777777777799" bottom="0.27569444444444402" header="0.51180555555555496" footer="0.51180555555555496"/>
  <pageSetup paperSize="9" firstPageNumber="0" fitToHeight="2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159"/>
  <sheetViews>
    <sheetView topLeftCell="B136" zoomScale="87" zoomScaleNormal="87" workbookViewId="0">
      <selection activeCell="L44" sqref="L44"/>
    </sheetView>
  </sheetViews>
  <sheetFormatPr defaultRowHeight="15"/>
  <cols>
    <col min="1" max="1" width="5.7109375" customWidth="1"/>
    <col min="2" max="2" width="8" style="136" customWidth="1"/>
    <col min="3" max="3" width="13.85546875" customWidth="1"/>
    <col min="4" max="4" width="12.28515625" customWidth="1"/>
    <col min="5" max="5" width="36.28515625" style="378" customWidth="1"/>
    <col min="6" max="10" width="9.140625" hidden="1" customWidth="1"/>
    <col min="11" max="11" width="12.28515625" style="379" customWidth="1"/>
    <col min="12" max="12" width="33.42578125" style="136" customWidth="1"/>
    <col min="13" max="13" width="20.7109375" style="136" customWidth="1"/>
    <col min="14" max="14" width="13.7109375" style="136" customWidth="1"/>
    <col min="15" max="15" width="13.85546875" customWidth="1"/>
    <col min="16" max="16" width="14.5703125" customWidth="1"/>
    <col min="17" max="1025" width="8.7109375" customWidth="1"/>
  </cols>
  <sheetData>
    <row r="1" spans="1:16">
      <c r="A1" s="1298" t="s">
        <v>886</v>
      </c>
      <c r="B1" s="1298"/>
      <c r="C1" s="1298"/>
      <c r="D1" s="1298"/>
      <c r="E1" s="1298"/>
      <c r="F1" s="1298"/>
      <c r="G1" s="1298"/>
      <c r="H1" s="1298"/>
      <c r="I1" s="1298"/>
      <c r="J1" s="1298"/>
      <c r="K1" s="1298"/>
      <c r="L1" s="1298"/>
      <c r="M1" s="1298"/>
      <c r="N1" s="1298"/>
      <c r="O1" s="1298"/>
      <c r="P1" s="1298"/>
    </row>
    <row r="2" spans="1:16">
      <c r="A2" s="1299" t="s">
        <v>887</v>
      </c>
      <c r="B2" s="1299"/>
      <c r="C2" s="1299"/>
      <c r="D2" s="1299"/>
      <c r="E2" s="1299"/>
      <c r="F2" s="1299"/>
      <c r="G2" s="1299"/>
      <c r="H2" s="1299"/>
      <c r="I2" s="1299"/>
      <c r="J2" s="1299"/>
      <c r="K2" s="1299"/>
      <c r="L2" s="1299"/>
      <c r="M2" s="222"/>
      <c r="P2" s="571" t="str">
        <f>'CIRCLE INPUT'!Q3</f>
        <v>OCT.2024</v>
      </c>
    </row>
    <row r="3" spans="1:16" ht="45">
      <c r="A3" s="572" t="s">
        <v>1058</v>
      </c>
      <c r="B3" s="573" t="s">
        <v>889</v>
      </c>
      <c r="C3" s="452" t="s">
        <v>890</v>
      </c>
      <c r="D3" s="450" t="s">
        <v>891</v>
      </c>
      <c r="E3" s="574" t="s">
        <v>892</v>
      </c>
      <c r="F3" s="452" t="s">
        <v>893</v>
      </c>
      <c r="G3" s="452" t="s">
        <v>894</v>
      </c>
      <c r="H3" s="452" t="s">
        <v>895</v>
      </c>
      <c r="I3" s="453" t="s">
        <v>896</v>
      </c>
      <c r="J3" s="453" t="s">
        <v>135</v>
      </c>
      <c r="K3" s="575" t="s">
        <v>897</v>
      </c>
      <c r="L3" s="450"/>
      <c r="M3" s="450" t="s">
        <v>898</v>
      </c>
      <c r="N3" s="450" t="s">
        <v>1059</v>
      </c>
      <c r="O3" s="452"/>
      <c r="P3" s="452" t="s">
        <v>901</v>
      </c>
    </row>
    <row r="4" spans="1:16" ht="15.75" customHeight="1">
      <c r="A4" s="400">
        <v>1</v>
      </c>
      <c r="B4" s="400" t="s">
        <v>1060</v>
      </c>
      <c r="C4" s="400">
        <v>596137</v>
      </c>
      <c r="D4" s="329">
        <v>80</v>
      </c>
      <c r="E4" s="576" t="s">
        <v>1061</v>
      </c>
      <c r="F4" s="182"/>
      <c r="G4" s="182"/>
      <c r="H4" s="182"/>
      <c r="I4" s="577"/>
      <c r="J4" s="182"/>
      <c r="K4" s="578">
        <f>'RAO HT'!I34</f>
        <v>14403</v>
      </c>
      <c r="L4" s="579">
        <f>SUM(K4)</f>
        <v>14403</v>
      </c>
      <c r="M4" s="580" t="s">
        <v>1062</v>
      </c>
      <c r="N4" s="1302" t="s">
        <v>210</v>
      </c>
      <c r="O4" s="1302" t="s">
        <v>210</v>
      </c>
      <c r="P4" s="581" t="s">
        <v>1063</v>
      </c>
    </row>
    <row r="5" spans="1:16" ht="30">
      <c r="A5" s="215">
        <v>2</v>
      </c>
      <c r="B5" s="215" t="s">
        <v>1060</v>
      </c>
      <c r="C5" s="215">
        <v>596380</v>
      </c>
      <c r="D5" s="174">
        <v>170</v>
      </c>
      <c r="E5" s="580" t="s">
        <v>1064</v>
      </c>
      <c r="F5" s="182"/>
      <c r="G5" s="182"/>
      <c r="H5" s="182"/>
      <c r="I5" s="577"/>
      <c r="J5" s="182"/>
      <c r="K5" s="578">
        <f>'RAO HT'!I161</f>
        <v>20999</v>
      </c>
      <c r="L5" s="579">
        <f>K5</f>
        <v>20999</v>
      </c>
      <c r="M5" s="580" t="s">
        <v>1065</v>
      </c>
      <c r="N5" s="1302"/>
      <c r="O5" s="1302"/>
      <c r="P5" s="581"/>
    </row>
    <row r="6" spans="1:16" ht="30">
      <c r="A6" s="400">
        <v>3</v>
      </c>
      <c r="B6" s="400" t="s">
        <v>1060</v>
      </c>
      <c r="C6" s="400">
        <v>596333</v>
      </c>
      <c r="D6" s="329">
        <v>130</v>
      </c>
      <c r="E6" s="576" t="s">
        <v>1066</v>
      </c>
      <c r="F6" s="182"/>
      <c r="G6" s="182"/>
      <c r="H6" s="182"/>
      <c r="I6" s="577"/>
      <c r="J6" s="182"/>
      <c r="K6" s="582">
        <f>'RAO HT'!I137</f>
        <v>30533</v>
      </c>
      <c r="L6" s="583">
        <f>K6</f>
        <v>30533</v>
      </c>
      <c r="M6" s="580" t="s">
        <v>1067</v>
      </c>
      <c r="N6" s="576" t="s">
        <v>1068</v>
      </c>
      <c r="O6" s="576"/>
      <c r="P6" s="581" t="s">
        <v>1063</v>
      </c>
    </row>
    <row r="7" spans="1:16" ht="30">
      <c r="A7" s="215">
        <v>4</v>
      </c>
      <c r="B7" s="400" t="s">
        <v>1060</v>
      </c>
      <c r="C7" s="400">
        <v>596167</v>
      </c>
      <c r="D7" s="329">
        <v>80</v>
      </c>
      <c r="E7" s="576" t="s">
        <v>1069</v>
      </c>
      <c r="F7" s="182"/>
      <c r="G7" s="182"/>
      <c r="H7" s="182"/>
      <c r="I7" s="577"/>
      <c r="J7" s="182"/>
      <c r="K7" s="584">
        <f>'RAO HT'!I52</f>
        <v>18626</v>
      </c>
      <c r="L7" s="585">
        <f>SUM(K7)</f>
        <v>18626</v>
      </c>
      <c r="M7" s="580" t="s">
        <v>1070</v>
      </c>
      <c r="N7" s="576" t="s">
        <v>1071</v>
      </c>
      <c r="O7" s="576"/>
      <c r="P7" s="581" t="s">
        <v>1063</v>
      </c>
    </row>
    <row r="8" spans="1:16" ht="30" customHeight="1">
      <c r="A8" s="400">
        <v>5</v>
      </c>
      <c r="B8" s="400" t="s">
        <v>1060</v>
      </c>
      <c r="C8" s="400">
        <v>596184</v>
      </c>
      <c r="D8" s="329">
        <v>60</v>
      </c>
      <c r="E8" s="576" t="s">
        <v>1072</v>
      </c>
      <c r="F8" s="182"/>
      <c r="G8" s="182"/>
      <c r="H8" s="182"/>
      <c r="I8" s="577"/>
      <c r="J8" s="182"/>
      <c r="K8" s="584">
        <f>'RAO HT'!I59</f>
        <v>11283</v>
      </c>
      <c r="L8" s="1316">
        <f>K8+K9+K11+K10</f>
        <v>117512</v>
      </c>
      <c r="M8" s="1302" t="s">
        <v>1073</v>
      </c>
      <c r="N8" s="576"/>
      <c r="O8" s="576"/>
      <c r="P8" s="581" t="s">
        <v>1063</v>
      </c>
    </row>
    <row r="9" spans="1:16" ht="30">
      <c r="A9" s="400">
        <v>7</v>
      </c>
      <c r="B9" s="400" t="s">
        <v>1060</v>
      </c>
      <c r="C9" s="400">
        <v>596261</v>
      </c>
      <c r="D9" s="329">
        <v>160</v>
      </c>
      <c r="E9" s="576" t="s">
        <v>1074</v>
      </c>
      <c r="F9" s="182"/>
      <c r="G9" s="182"/>
      <c r="H9" s="182"/>
      <c r="I9" s="577"/>
      <c r="J9" s="182"/>
      <c r="K9" s="584">
        <f>'RAO HT'!I87</f>
        <v>67605</v>
      </c>
      <c r="L9" s="1316"/>
      <c r="M9" s="1302"/>
      <c r="N9" s="576"/>
      <c r="O9" s="576"/>
      <c r="P9" s="581" t="s">
        <v>1063</v>
      </c>
    </row>
    <row r="10" spans="1:16" ht="15.75">
      <c r="A10" s="400"/>
      <c r="B10" s="400" t="s">
        <v>1060</v>
      </c>
      <c r="C10" s="400" t="s">
        <v>861</v>
      </c>
      <c r="D10" s="329"/>
      <c r="E10" s="576" t="s">
        <v>862</v>
      </c>
      <c r="F10" s="182"/>
      <c r="G10" s="182"/>
      <c r="H10" s="182"/>
      <c r="I10" s="577"/>
      <c r="J10" s="182"/>
      <c r="K10" s="584">
        <f>'RAO HT'!I257</f>
        <v>21510</v>
      </c>
      <c r="L10" s="1316"/>
      <c r="M10" s="1302"/>
      <c r="N10" s="576"/>
      <c r="O10" s="576"/>
      <c r="P10" s="581"/>
    </row>
    <row r="11" spans="1:16" ht="15.75">
      <c r="A11" s="215">
        <v>8</v>
      </c>
      <c r="B11" s="400" t="s">
        <v>1060</v>
      </c>
      <c r="C11" s="400">
        <v>596276</v>
      </c>
      <c r="D11" s="329">
        <v>260</v>
      </c>
      <c r="E11" s="576" t="s">
        <v>1075</v>
      </c>
      <c r="F11" s="182"/>
      <c r="G11" s="182"/>
      <c r="H11" s="182"/>
      <c r="I11" s="577"/>
      <c r="J11" s="182"/>
      <c r="K11" s="584">
        <f>'RAO HT'!I95</f>
        <v>17114</v>
      </c>
      <c r="L11" s="1316"/>
      <c r="M11" s="1302"/>
      <c r="N11" s="576"/>
      <c r="O11" s="576"/>
      <c r="P11" s="581" t="s">
        <v>1063</v>
      </c>
    </row>
    <row r="12" spans="1:16" ht="15" customHeight="1">
      <c r="A12" s="215">
        <v>10</v>
      </c>
      <c r="B12" s="400" t="s">
        <v>1060</v>
      </c>
      <c r="C12" s="400">
        <v>596200</v>
      </c>
      <c r="D12" s="329">
        <v>200</v>
      </c>
      <c r="E12" s="576" t="s">
        <v>1076</v>
      </c>
      <c r="F12" s="182"/>
      <c r="G12" s="182"/>
      <c r="H12" s="182"/>
      <c r="I12" s="577"/>
      <c r="J12" s="182"/>
      <c r="K12" s="584">
        <f>'RAO HT'!I62</f>
        <v>58695</v>
      </c>
      <c r="L12" s="585">
        <f>SUM(K12)</f>
        <v>58695</v>
      </c>
      <c r="M12" s="586" t="s">
        <v>1077</v>
      </c>
      <c r="N12" s="576" t="s">
        <v>1078</v>
      </c>
      <c r="O12" s="576"/>
      <c r="P12" s="581" t="s">
        <v>1063</v>
      </c>
    </row>
    <row r="13" spans="1:16" ht="15.75" customHeight="1">
      <c r="A13" s="400">
        <v>11</v>
      </c>
      <c r="B13" s="400" t="s">
        <v>1060</v>
      </c>
      <c r="C13" s="400">
        <v>596166</v>
      </c>
      <c r="D13" s="329">
        <v>98</v>
      </c>
      <c r="E13" s="576" t="s">
        <v>1079</v>
      </c>
      <c r="F13" s="182"/>
      <c r="G13" s="182"/>
      <c r="H13" s="182"/>
      <c r="I13" s="577"/>
      <c r="J13" s="182"/>
      <c r="K13" s="584">
        <f>'RAO HT'!I51</f>
        <v>10589</v>
      </c>
      <c r="L13" s="1316">
        <f>SUM(K13:K28)</f>
        <v>524942</v>
      </c>
      <c r="M13" s="1302" t="s">
        <v>1080</v>
      </c>
      <c r="N13" s="576"/>
      <c r="O13" s="576"/>
      <c r="P13" s="581" t="s">
        <v>1063</v>
      </c>
    </row>
    <row r="14" spans="1:16" ht="15.75">
      <c r="A14" s="215">
        <v>12</v>
      </c>
      <c r="B14" s="400" t="s">
        <v>1060</v>
      </c>
      <c r="C14" s="400">
        <v>596176</v>
      </c>
      <c r="D14" s="329">
        <v>150</v>
      </c>
      <c r="E14" s="576" t="s">
        <v>1081</v>
      </c>
      <c r="F14" s="182"/>
      <c r="G14" s="182"/>
      <c r="H14" s="182"/>
      <c r="I14" s="577"/>
      <c r="J14" s="182"/>
      <c r="K14" s="584">
        <f>'RAO HT'!I55</f>
        <v>15440</v>
      </c>
      <c r="L14" s="1316"/>
      <c r="M14" s="1302"/>
      <c r="N14" s="576"/>
      <c r="O14" s="576"/>
      <c r="P14" s="581" t="s">
        <v>1063</v>
      </c>
    </row>
    <row r="15" spans="1:16" ht="15.75">
      <c r="A15" s="400">
        <v>13</v>
      </c>
      <c r="B15" s="400" t="s">
        <v>1060</v>
      </c>
      <c r="C15" s="400">
        <v>596225</v>
      </c>
      <c r="D15" s="329">
        <v>200</v>
      </c>
      <c r="E15" s="576" t="s">
        <v>1082</v>
      </c>
      <c r="F15" s="182"/>
      <c r="G15" s="182"/>
      <c r="H15" s="182"/>
      <c r="I15" s="577"/>
      <c r="J15" s="182"/>
      <c r="K15" s="584">
        <f>'RAO HT'!I72</f>
        <v>36402</v>
      </c>
      <c r="L15" s="1316"/>
      <c r="M15" s="1302"/>
      <c r="N15" s="576"/>
      <c r="O15" s="576"/>
      <c r="P15" s="581" t="s">
        <v>1063</v>
      </c>
    </row>
    <row r="16" spans="1:16" ht="15.75">
      <c r="A16" s="215">
        <v>14</v>
      </c>
      <c r="B16" s="400" t="s">
        <v>1060</v>
      </c>
      <c r="C16" s="587">
        <v>596231</v>
      </c>
      <c r="D16" s="547">
        <v>60</v>
      </c>
      <c r="E16" s="576" t="s">
        <v>1083</v>
      </c>
      <c r="F16" s="588"/>
      <c r="G16" s="588"/>
      <c r="H16" s="588"/>
      <c r="I16" s="589"/>
      <c r="J16" s="588"/>
      <c r="K16" s="584">
        <f>'RAO HT'!I74</f>
        <v>3539</v>
      </c>
      <c r="L16" s="1316"/>
      <c r="M16" s="1302"/>
      <c r="N16" s="576"/>
      <c r="O16" s="576"/>
      <c r="P16" s="581" t="s">
        <v>1063</v>
      </c>
    </row>
    <row r="17" spans="1:16" ht="15.75">
      <c r="A17" s="400">
        <v>15</v>
      </c>
      <c r="B17" s="400" t="s">
        <v>1060</v>
      </c>
      <c r="C17" s="400">
        <v>596241</v>
      </c>
      <c r="D17" s="329">
        <v>200</v>
      </c>
      <c r="E17" s="576" t="s">
        <v>1084</v>
      </c>
      <c r="F17" s="182"/>
      <c r="G17" s="182"/>
      <c r="H17" s="182"/>
      <c r="I17" s="577"/>
      <c r="J17" s="182"/>
      <c r="K17" s="584">
        <f>'RAO HT'!I78</f>
        <v>89556</v>
      </c>
      <c r="L17" s="1316"/>
      <c r="M17" s="1302"/>
      <c r="N17" s="576"/>
      <c r="O17" s="576"/>
      <c r="P17" s="581" t="s">
        <v>1063</v>
      </c>
    </row>
    <row r="18" spans="1:16" ht="15.75">
      <c r="A18" s="215">
        <v>16</v>
      </c>
      <c r="B18" s="400" t="s">
        <v>1060</v>
      </c>
      <c r="C18" s="400">
        <v>596240</v>
      </c>
      <c r="D18" s="329">
        <v>60</v>
      </c>
      <c r="E18" s="576" t="s">
        <v>1085</v>
      </c>
      <c r="F18" s="182"/>
      <c r="G18" s="182"/>
      <c r="H18" s="182"/>
      <c r="I18" s="577"/>
      <c r="J18" s="182"/>
      <c r="K18" s="584">
        <f>'RAO HT'!I77</f>
        <v>7140</v>
      </c>
      <c r="L18" s="1316"/>
      <c r="M18" s="1302"/>
      <c r="N18" s="576"/>
      <c r="O18" s="576"/>
      <c r="P18" s="581" t="s">
        <v>1063</v>
      </c>
    </row>
    <row r="19" spans="1:16" ht="15.75">
      <c r="A19" s="400">
        <v>17</v>
      </c>
      <c r="B19" s="400" t="s">
        <v>1060</v>
      </c>
      <c r="C19" s="400">
        <v>596136</v>
      </c>
      <c r="D19" s="329">
        <v>100</v>
      </c>
      <c r="E19" s="576" t="s">
        <v>1086</v>
      </c>
      <c r="F19" s="182"/>
      <c r="G19" s="182"/>
      <c r="H19" s="182"/>
      <c r="I19" s="577"/>
      <c r="J19" s="182"/>
      <c r="K19" s="584">
        <f>'RAO HT'!I33</f>
        <v>16243</v>
      </c>
      <c r="L19" s="1316"/>
      <c r="M19" s="1302"/>
      <c r="N19" s="576"/>
      <c r="O19" s="576"/>
      <c r="P19" s="581" t="s">
        <v>1063</v>
      </c>
    </row>
    <row r="20" spans="1:16" ht="15.75">
      <c r="A20" s="215">
        <v>18</v>
      </c>
      <c r="B20" s="400" t="s">
        <v>1060</v>
      </c>
      <c r="C20" s="400">
        <v>596264</v>
      </c>
      <c r="D20" s="329">
        <v>200</v>
      </c>
      <c r="E20" s="576" t="s">
        <v>1087</v>
      </c>
      <c r="F20" s="182"/>
      <c r="G20" s="182"/>
      <c r="H20" s="182"/>
      <c r="I20" s="577"/>
      <c r="J20" s="182"/>
      <c r="K20" s="584">
        <f>'RAO HT'!I90</f>
        <v>22902</v>
      </c>
      <c r="L20" s="1316"/>
      <c r="M20" s="1302"/>
      <c r="N20" s="576"/>
      <c r="O20" s="576"/>
      <c r="P20" s="581" t="s">
        <v>1063</v>
      </c>
    </row>
    <row r="21" spans="1:16" ht="15.75">
      <c r="A21" s="215">
        <v>20</v>
      </c>
      <c r="B21" s="400" t="s">
        <v>1060</v>
      </c>
      <c r="C21" s="400">
        <v>596281</v>
      </c>
      <c r="D21" s="329">
        <v>300</v>
      </c>
      <c r="E21" s="576" t="s">
        <v>1088</v>
      </c>
      <c r="F21" s="182"/>
      <c r="G21" s="182"/>
      <c r="H21" s="182"/>
      <c r="I21" s="577"/>
      <c r="J21" s="182"/>
      <c r="K21" s="584">
        <f>'RAO HT'!I97</f>
        <v>83637</v>
      </c>
      <c r="L21" s="1316"/>
      <c r="M21" s="1302"/>
      <c r="N21" s="576"/>
      <c r="O21" s="576"/>
      <c r="P21" s="581" t="s">
        <v>1063</v>
      </c>
    </row>
    <row r="22" spans="1:16" ht="15.75">
      <c r="A22" s="400">
        <v>21</v>
      </c>
      <c r="B22" s="400" t="s">
        <v>1060</v>
      </c>
      <c r="C22" s="400">
        <v>596285</v>
      </c>
      <c r="D22" s="329">
        <v>100</v>
      </c>
      <c r="E22" s="576" t="s">
        <v>1089</v>
      </c>
      <c r="F22" s="182"/>
      <c r="G22" s="182"/>
      <c r="H22" s="182"/>
      <c r="I22" s="577"/>
      <c r="J22" s="182"/>
      <c r="K22" s="584">
        <f>'RAO HT'!I100</f>
        <v>9488</v>
      </c>
      <c r="L22" s="1316"/>
      <c r="M22" s="1302"/>
      <c r="N22" s="576"/>
      <c r="O22" s="576"/>
      <c r="P22" s="581" t="s">
        <v>1063</v>
      </c>
    </row>
    <row r="23" spans="1:16" ht="15.75">
      <c r="A23" s="215">
        <v>22</v>
      </c>
      <c r="B23" s="400" t="s">
        <v>1060</v>
      </c>
      <c r="C23" s="400">
        <v>596300</v>
      </c>
      <c r="D23" s="329">
        <v>300</v>
      </c>
      <c r="E23" s="576" t="s">
        <v>1090</v>
      </c>
      <c r="F23" s="182"/>
      <c r="G23" s="182"/>
      <c r="H23" s="182"/>
      <c r="I23" s="577"/>
      <c r="J23" s="182"/>
      <c r="K23" s="584">
        <f>'RAO HT'!I109</f>
        <v>75443</v>
      </c>
      <c r="L23" s="1316"/>
      <c r="M23" s="1302"/>
      <c r="N23" s="576"/>
      <c r="O23" s="576"/>
      <c r="P23" s="581" t="s">
        <v>1063</v>
      </c>
    </row>
    <row r="24" spans="1:16" ht="15.75">
      <c r="A24" s="400">
        <v>23</v>
      </c>
      <c r="B24" s="400" t="s">
        <v>1060</v>
      </c>
      <c r="C24" s="400">
        <v>596302</v>
      </c>
      <c r="D24" s="329">
        <v>100</v>
      </c>
      <c r="E24" s="576" t="s">
        <v>1091</v>
      </c>
      <c r="F24" s="182"/>
      <c r="G24" s="182"/>
      <c r="H24" s="182"/>
      <c r="I24" s="577"/>
      <c r="J24" s="182"/>
      <c r="K24" s="584">
        <f>'RAO HT'!I111</f>
        <v>20055</v>
      </c>
      <c r="L24" s="1316"/>
      <c r="M24" s="1302"/>
      <c r="N24" s="576"/>
      <c r="O24" s="576"/>
      <c r="P24" s="581" t="s">
        <v>1063</v>
      </c>
    </row>
    <row r="25" spans="1:16" ht="15.75">
      <c r="A25" s="215">
        <v>24</v>
      </c>
      <c r="B25" s="400" t="s">
        <v>1060</v>
      </c>
      <c r="C25" s="400">
        <v>596330</v>
      </c>
      <c r="D25" s="329">
        <v>200</v>
      </c>
      <c r="E25" s="576" t="s">
        <v>1092</v>
      </c>
      <c r="F25" s="182"/>
      <c r="G25" s="182"/>
      <c r="H25" s="182"/>
      <c r="I25" s="577"/>
      <c r="J25" s="182"/>
      <c r="K25" s="584">
        <f>'RAO HT'!I134</f>
        <v>101066</v>
      </c>
      <c r="L25" s="1316"/>
      <c r="M25" s="1302"/>
      <c r="N25" s="576"/>
      <c r="O25" s="576"/>
      <c r="P25" s="581" t="s">
        <v>1063</v>
      </c>
    </row>
    <row r="26" spans="1:16" ht="15.75">
      <c r="A26" s="400">
        <v>25</v>
      </c>
      <c r="B26" s="400" t="s">
        <v>1060</v>
      </c>
      <c r="C26" s="400">
        <v>596331</v>
      </c>
      <c r="D26" s="329">
        <v>140</v>
      </c>
      <c r="E26" s="590" t="s">
        <v>1093</v>
      </c>
      <c r="F26" s="182"/>
      <c r="G26" s="182"/>
      <c r="H26" s="182"/>
      <c r="I26" s="577"/>
      <c r="J26" s="182"/>
      <c r="K26" s="584">
        <f>'RAO HT'!I135</f>
        <v>9697</v>
      </c>
      <c r="L26" s="1316"/>
      <c r="M26" s="1302"/>
      <c r="N26" s="576"/>
      <c r="O26" s="576"/>
      <c r="P26" s="581" t="s">
        <v>1063</v>
      </c>
    </row>
    <row r="27" spans="1:16" ht="15.75">
      <c r="A27" s="400"/>
      <c r="B27" s="400"/>
      <c r="C27" s="591" t="s">
        <v>853</v>
      </c>
      <c r="D27" s="592"/>
      <c r="E27" s="590" t="s">
        <v>854</v>
      </c>
      <c r="F27" s="182"/>
      <c r="G27" s="182"/>
      <c r="H27" s="182"/>
      <c r="I27" s="577"/>
      <c r="J27" s="182"/>
      <c r="K27" s="584">
        <f>'RAO HT'!I253</f>
        <v>9196</v>
      </c>
      <c r="L27" s="1316"/>
      <c r="M27" s="1302"/>
      <c r="N27" s="593"/>
      <c r="O27" s="576"/>
      <c r="P27" s="581"/>
    </row>
    <row r="28" spans="1:16" ht="15.75">
      <c r="A28" s="215">
        <v>26</v>
      </c>
      <c r="B28" s="400" t="s">
        <v>1060</v>
      </c>
      <c r="C28" s="591">
        <v>596390</v>
      </c>
      <c r="D28" s="592">
        <v>80</v>
      </c>
      <c r="E28" s="400" t="s">
        <v>1094</v>
      </c>
      <c r="F28" s="182"/>
      <c r="G28" s="182"/>
      <c r="H28" s="182"/>
      <c r="I28" s="577"/>
      <c r="J28" s="182"/>
      <c r="K28" s="584">
        <f>'RAO HT'!I170</f>
        <v>14549</v>
      </c>
      <c r="L28" s="1316"/>
      <c r="M28" s="1302"/>
      <c r="N28" s="593"/>
      <c r="O28" s="576"/>
      <c r="P28" s="581" t="s">
        <v>1063</v>
      </c>
    </row>
    <row r="29" spans="1:16" ht="15.75" customHeight="1">
      <c r="A29" s="400">
        <v>27</v>
      </c>
      <c r="B29" s="400" t="s">
        <v>1060</v>
      </c>
      <c r="C29" s="400">
        <v>506001</v>
      </c>
      <c r="D29" s="329">
        <v>550</v>
      </c>
      <c r="E29" s="576" t="s">
        <v>1095</v>
      </c>
      <c r="F29" s="182"/>
      <c r="G29" s="182"/>
      <c r="H29" s="182"/>
      <c r="I29" s="594"/>
      <c r="J29" s="182"/>
      <c r="K29" s="584">
        <f>'RAO HT'!I7</f>
        <v>199090</v>
      </c>
      <c r="L29" s="1316">
        <f>SUM(K29:K30)</f>
        <v>199090</v>
      </c>
      <c r="M29" s="1317" t="s">
        <v>1096</v>
      </c>
      <c r="N29" s="1317" t="s">
        <v>162</v>
      </c>
      <c r="O29" s="576"/>
      <c r="P29" s="581" t="s">
        <v>1063</v>
      </c>
    </row>
    <row r="30" spans="1:16" ht="15.75">
      <c r="A30" s="215">
        <v>28</v>
      </c>
      <c r="B30" s="400" t="s">
        <v>1060</v>
      </c>
      <c r="C30" s="400">
        <v>596328</v>
      </c>
      <c r="D30" s="329">
        <v>50</v>
      </c>
      <c r="E30" s="576" t="s">
        <v>1097</v>
      </c>
      <c r="F30" s="182"/>
      <c r="G30" s="182"/>
      <c r="H30" s="182"/>
      <c r="I30" s="594"/>
      <c r="J30" s="182"/>
      <c r="K30" s="584">
        <f>'RAO HT'!I172</f>
        <v>0</v>
      </c>
      <c r="L30" s="1316"/>
      <c r="M30" s="1317"/>
      <c r="N30" s="1317"/>
      <c r="O30" s="576"/>
      <c r="P30" s="581" t="s">
        <v>1063</v>
      </c>
    </row>
    <row r="31" spans="1:16" ht="15.75">
      <c r="A31" s="400">
        <v>29</v>
      </c>
      <c r="B31" s="400" t="s">
        <v>1060</v>
      </c>
      <c r="C31" s="400">
        <v>596326</v>
      </c>
      <c r="D31" s="329">
        <v>160</v>
      </c>
      <c r="E31" s="576" t="s">
        <v>1098</v>
      </c>
      <c r="F31" s="182"/>
      <c r="G31" s="182"/>
      <c r="H31" s="182"/>
      <c r="I31" s="594"/>
      <c r="J31" s="182"/>
      <c r="K31" s="584">
        <f>'RAO HT'!I131</f>
        <v>14975</v>
      </c>
      <c r="L31" s="595">
        <f>K31</f>
        <v>14975</v>
      </c>
      <c r="M31" s="1317"/>
      <c r="N31" s="1317"/>
      <c r="O31" s="576"/>
      <c r="P31" s="581" t="s">
        <v>1063</v>
      </c>
    </row>
    <row r="32" spans="1:16" ht="16.5" customHeight="1">
      <c r="A32" s="400">
        <v>31</v>
      </c>
      <c r="B32" s="400" t="s">
        <v>1060</v>
      </c>
      <c r="C32" s="400">
        <v>596103</v>
      </c>
      <c r="D32" s="329">
        <v>85</v>
      </c>
      <c r="E32" s="576" t="s">
        <v>1099</v>
      </c>
      <c r="F32" s="182"/>
      <c r="G32" s="182"/>
      <c r="H32" s="182"/>
      <c r="I32" s="594"/>
      <c r="J32" s="182"/>
      <c r="K32" s="584">
        <f>'RAO HT'!I25</f>
        <v>0</v>
      </c>
      <c r="L32" s="1314">
        <f>SUM(K32:K36)</f>
        <v>112988</v>
      </c>
      <c r="M32" s="1291" t="s">
        <v>979</v>
      </c>
      <c r="N32" s="1315" t="s">
        <v>162</v>
      </c>
      <c r="O32" s="576"/>
      <c r="P32" s="581" t="s">
        <v>1063</v>
      </c>
    </row>
    <row r="33" spans="1:16" ht="15.75">
      <c r="A33" s="215">
        <v>32</v>
      </c>
      <c r="B33" s="400" t="s">
        <v>1060</v>
      </c>
      <c r="C33" s="400">
        <v>596162</v>
      </c>
      <c r="D33" s="329">
        <v>200</v>
      </c>
      <c r="E33" s="596" t="s">
        <v>1100</v>
      </c>
      <c r="F33" s="182"/>
      <c r="G33" s="182"/>
      <c r="H33" s="182"/>
      <c r="I33" s="594"/>
      <c r="J33" s="182"/>
      <c r="K33" s="584">
        <f>'RAO HT'!I48</f>
        <v>50795</v>
      </c>
      <c r="L33" s="1314"/>
      <c r="M33" s="1291"/>
      <c r="N33" s="1315"/>
      <c r="O33" s="576"/>
      <c r="P33" s="581" t="s">
        <v>1063</v>
      </c>
    </row>
    <row r="34" spans="1:16" ht="15.75">
      <c r="A34" s="400">
        <v>33</v>
      </c>
      <c r="B34" s="400" t="s">
        <v>1060</v>
      </c>
      <c r="C34" s="400">
        <v>596180</v>
      </c>
      <c r="D34" s="329">
        <v>125</v>
      </c>
      <c r="E34" s="576" t="s">
        <v>1101</v>
      </c>
      <c r="F34" s="182"/>
      <c r="G34" s="182"/>
      <c r="H34" s="182"/>
      <c r="I34" s="594"/>
      <c r="J34" s="182"/>
      <c r="K34" s="584">
        <f>'RAO HT'!I58</f>
        <v>6552</v>
      </c>
      <c r="L34" s="1314"/>
      <c r="M34" s="1291"/>
      <c r="N34" s="1315"/>
      <c r="O34" s="576"/>
      <c r="P34" s="581" t="s">
        <v>1063</v>
      </c>
    </row>
    <row r="35" spans="1:16" ht="15.75">
      <c r="A35" s="215">
        <v>34</v>
      </c>
      <c r="B35" s="400" t="s">
        <v>1060</v>
      </c>
      <c r="C35" s="400">
        <v>596314</v>
      </c>
      <c r="D35" s="329">
        <v>80</v>
      </c>
      <c r="E35" s="580" t="s">
        <v>1102</v>
      </c>
      <c r="F35" s="182"/>
      <c r="G35" s="182"/>
      <c r="H35" s="182"/>
      <c r="I35" s="594"/>
      <c r="J35" s="182"/>
      <c r="K35" s="597">
        <f>'RAO HT'!I120</f>
        <v>21656</v>
      </c>
      <c r="L35" s="1314"/>
      <c r="M35" s="1291"/>
      <c r="N35" s="1315"/>
      <c r="O35" s="576"/>
      <c r="P35" s="581" t="s">
        <v>1063</v>
      </c>
    </row>
    <row r="36" spans="1:16" ht="30">
      <c r="A36" s="400">
        <v>35</v>
      </c>
      <c r="B36" s="400" t="s">
        <v>1060</v>
      </c>
      <c r="C36" s="400">
        <v>596141</v>
      </c>
      <c r="D36" s="329">
        <v>140</v>
      </c>
      <c r="E36" s="576" t="s">
        <v>1103</v>
      </c>
      <c r="F36" s="182"/>
      <c r="G36" s="182"/>
      <c r="H36" s="182"/>
      <c r="I36" s="594"/>
      <c r="J36" s="182"/>
      <c r="K36" s="584">
        <f>'RAO HT'!I36</f>
        <v>33985</v>
      </c>
      <c r="L36" s="1314"/>
      <c r="M36" s="1291"/>
      <c r="N36" s="1315"/>
      <c r="O36" s="576"/>
      <c r="P36" s="581" t="s">
        <v>1063</v>
      </c>
    </row>
    <row r="37" spans="1:16" ht="15.75" customHeight="1">
      <c r="A37" s="400"/>
      <c r="B37" s="400" t="s">
        <v>1060</v>
      </c>
      <c r="C37" s="400">
        <v>596400</v>
      </c>
      <c r="D37" s="329">
        <v>201</v>
      </c>
      <c r="E37" s="576" t="s">
        <v>1104</v>
      </c>
      <c r="F37" s="182"/>
      <c r="G37" s="182"/>
      <c r="H37" s="182"/>
      <c r="I37" s="594"/>
      <c r="J37" s="182"/>
      <c r="K37" s="584">
        <f>'RAO HT'!I180</f>
        <v>22698</v>
      </c>
      <c r="L37" s="1311">
        <f>K37+K38</f>
        <v>42311</v>
      </c>
      <c r="M37" s="1291" t="s">
        <v>1105</v>
      </c>
      <c r="N37" s="1291" t="s">
        <v>1106</v>
      </c>
      <c r="O37" s="576"/>
      <c r="P37" s="581" t="s">
        <v>1063</v>
      </c>
    </row>
    <row r="38" spans="1:16" ht="15.75">
      <c r="A38" s="400"/>
      <c r="B38" s="400" t="s">
        <v>1060</v>
      </c>
      <c r="C38" s="400"/>
      <c r="D38" s="329"/>
      <c r="E38" s="576" t="s">
        <v>826</v>
      </c>
      <c r="F38" s="182"/>
      <c r="G38" s="182"/>
      <c r="H38" s="182"/>
      <c r="I38" s="594"/>
      <c r="J38" s="182"/>
      <c r="K38" s="584">
        <f>'RAO HT'!I239</f>
        <v>19613</v>
      </c>
      <c r="L38" s="1311"/>
      <c r="M38" s="1291"/>
      <c r="N38" s="1291"/>
      <c r="O38" s="576"/>
      <c r="P38" s="581" t="s">
        <v>1063</v>
      </c>
    </row>
    <row r="39" spans="1:16" ht="15.75" customHeight="1">
      <c r="A39" s="215">
        <v>36</v>
      </c>
      <c r="B39" s="400" t="s">
        <v>1060</v>
      </c>
      <c r="C39" s="400">
        <v>596155</v>
      </c>
      <c r="D39" s="329">
        <v>300</v>
      </c>
      <c r="E39" s="576" t="s">
        <v>1107</v>
      </c>
      <c r="F39" s="182"/>
      <c r="G39" s="182"/>
      <c r="H39" s="182"/>
      <c r="I39" s="594"/>
      <c r="J39" s="182"/>
      <c r="K39" s="584">
        <f>'RAO HT'!I46</f>
        <v>14484</v>
      </c>
      <c r="L39" s="1311">
        <f>SUM(K39:K43)</f>
        <v>121136</v>
      </c>
      <c r="M39" s="1302" t="s">
        <v>1108</v>
      </c>
      <c r="N39" s="1302" t="s">
        <v>924</v>
      </c>
      <c r="O39" s="576"/>
      <c r="P39" s="581" t="s">
        <v>1063</v>
      </c>
    </row>
    <row r="40" spans="1:16" ht="15" customHeight="1">
      <c r="A40" s="400">
        <v>37</v>
      </c>
      <c r="B40" s="400" t="s">
        <v>1060</v>
      </c>
      <c r="C40" s="400">
        <v>596209</v>
      </c>
      <c r="D40" s="329">
        <v>290</v>
      </c>
      <c r="E40" s="576" t="s">
        <v>1109</v>
      </c>
      <c r="F40" s="182"/>
      <c r="G40" s="182"/>
      <c r="H40" s="182"/>
      <c r="I40" s="594"/>
      <c r="J40" s="182"/>
      <c r="K40" s="584">
        <f>'RAO HT'!I66</f>
        <v>52611</v>
      </c>
      <c r="L40" s="1311"/>
      <c r="M40" s="1302"/>
      <c r="N40" s="1302"/>
      <c r="O40" s="576"/>
      <c r="P40" s="581" t="s">
        <v>1063</v>
      </c>
    </row>
    <row r="41" spans="1:16" ht="15" customHeight="1">
      <c r="A41" s="400"/>
      <c r="B41" s="400"/>
      <c r="C41" s="400"/>
      <c r="D41" s="329"/>
      <c r="E41" s="576" t="s">
        <v>1110</v>
      </c>
      <c r="F41" s="182"/>
      <c r="G41" s="182"/>
      <c r="H41" s="182"/>
      <c r="I41" s="594"/>
      <c r="J41" s="182"/>
      <c r="K41" s="584">
        <f>'RAO HT'!I203</f>
        <v>32172</v>
      </c>
      <c r="L41" s="1311"/>
      <c r="M41" s="1302"/>
      <c r="N41" s="1302"/>
      <c r="O41" s="576"/>
      <c r="P41" s="581"/>
    </row>
    <row r="42" spans="1:16" ht="15" customHeight="1">
      <c r="A42" s="400"/>
      <c r="B42" s="400"/>
      <c r="C42" s="400" t="s">
        <v>3132</v>
      </c>
      <c r="D42" s="1234"/>
      <c r="E42" s="576" t="s">
        <v>3134</v>
      </c>
      <c r="F42" s="182"/>
      <c r="G42" s="182"/>
      <c r="H42" s="182"/>
      <c r="I42" s="594"/>
      <c r="J42" s="182"/>
      <c r="K42" s="584">
        <f>'RAO HT'!I269</f>
        <v>4568</v>
      </c>
      <c r="L42" s="1311"/>
      <c r="M42" s="1302"/>
      <c r="N42" s="1302"/>
      <c r="O42" s="576"/>
      <c r="P42" s="581"/>
    </row>
    <row r="43" spans="1:16" ht="15.75">
      <c r="A43" s="215">
        <v>38</v>
      </c>
      <c r="B43" s="400" t="s">
        <v>1060</v>
      </c>
      <c r="C43" s="400">
        <v>596329</v>
      </c>
      <c r="D43" s="329">
        <v>120</v>
      </c>
      <c r="E43" s="576" t="s">
        <v>1111</v>
      </c>
      <c r="F43" s="182"/>
      <c r="G43" s="182"/>
      <c r="H43" s="182"/>
      <c r="I43" s="594"/>
      <c r="J43" s="182"/>
      <c r="K43" s="584">
        <f>'RAO HT'!I133</f>
        <v>17301</v>
      </c>
      <c r="L43" s="1311"/>
      <c r="M43" s="1302"/>
      <c r="N43" s="1302"/>
      <c r="O43" s="576"/>
      <c r="P43" s="581" t="s">
        <v>1063</v>
      </c>
    </row>
    <row r="44" spans="1:16" ht="30">
      <c r="A44" s="400">
        <v>39</v>
      </c>
      <c r="B44" s="400" t="s">
        <v>1060</v>
      </c>
      <c r="C44" s="400">
        <v>596334</v>
      </c>
      <c r="D44" s="329">
        <v>99</v>
      </c>
      <c r="E44" s="598" t="s">
        <v>1112</v>
      </c>
      <c r="F44" s="182"/>
      <c r="G44" s="182"/>
      <c r="H44" s="182"/>
      <c r="I44" s="594"/>
      <c r="J44" s="182"/>
      <c r="K44" s="599">
        <f>'RAO HT'!I138</f>
        <v>27803</v>
      </c>
      <c r="L44" s="583">
        <f>SUM(K44)</f>
        <v>27803</v>
      </c>
      <c r="M44" s="580" t="s">
        <v>1113</v>
      </c>
      <c r="N44" s="576"/>
      <c r="O44" s="576"/>
      <c r="P44" s="581" t="s">
        <v>1063</v>
      </c>
    </row>
    <row r="45" spans="1:16" ht="15" customHeight="1">
      <c r="A45" s="215">
        <v>40</v>
      </c>
      <c r="B45" s="400" t="s">
        <v>1060</v>
      </c>
      <c r="C45" s="400">
        <v>596171</v>
      </c>
      <c r="D45" s="329">
        <v>200</v>
      </c>
      <c r="E45" s="576" t="s">
        <v>1114</v>
      </c>
      <c r="F45" s="182"/>
      <c r="G45" s="182"/>
      <c r="H45" s="182"/>
      <c r="I45" s="594"/>
      <c r="J45" s="182"/>
      <c r="K45" s="584">
        <f>'RAO HT'!I53</f>
        <v>41262</v>
      </c>
      <c r="L45" s="1311">
        <f>SUM(K45:K47)</f>
        <v>100251</v>
      </c>
      <c r="M45" s="1302" t="s">
        <v>1115</v>
      </c>
      <c r="N45" s="1302" t="s">
        <v>158</v>
      </c>
      <c r="O45" s="576"/>
      <c r="P45" s="581" t="s">
        <v>1063</v>
      </c>
    </row>
    <row r="46" spans="1:16" ht="15" customHeight="1">
      <c r="A46" s="400">
        <v>41</v>
      </c>
      <c r="B46" s="400" t="s">
        <v>1060</v>
      </c>
      <c r="C46" s="400">
        <v>596336</v>
      </c>
      <c r="D46" s="329">
        <v>65</v>
      </c>
      <c r="E46" s="598" t="s">
        <v>1116</v>
      </c>
      <c r="F46" s="182"/>
      <c r="G46" s="182"/>
      <c r="H46" s="182"/>
      <c r="I46" s="594"/>
      <c r="J46" s="182"/>
      <c r="K46" s="599">
        <f>'RAO HT'!I139</f>
        <v>22401</v>
      </c>
      <c r="L46" s="1311"/>
      <c r="M46" s="1302"/>
      <c r="N46" s="1302"/>
      <c r="O46" s="576"/>
      <c r="P46" s="581" t="s">
        <v>1063</v>
      </c>
    </row>
    <row r="47" spans="1:16" ht="15.75">
      <c r="A47" s="215">
        <v>42</v>
      </c>
      <c r="B47" s="400" t="s">
        <v>1060</v>
      </c>
      <c r="C47" s="600">
        <v>4851000000</v>
      </c>
      <c r="D47" s="601">
        <v>200</v>
      </c>
      <c r="E47" s="596" t="s">
        <v>1117</v>
      </c>
      <c r="F47" s="182"/>
      <c r="G47" s="182"/>
      <c r="H47" s="182"/>
      <c r="I47" s="594"/>
      <c r="J47" s="182"/>
      <c r="K47" s="584">
        <f>'RAO HT'!I189</f>
        <v>36588</v>
      </c>
      <c r="L47" s="1311"/>
      <c r="M47" s="1302"/>
      <c r="N47" s="1302"/>
      <c r="O47" s="576"/>
      <c r="P47" s="581" t="s">
        <v>1063</v>
      </c>
    </row>
    <row r="48" spans="1:16" ht="15.75">
      <c r="A48" s="400">
        <v>43</v>
      </c>
      <c r="B48" s="400" t="s">
        <v>1060</v>
      </c>
      <c r="C48" s="400">
        <v>596089</v>
      </c>
      <c r="D48" s="329">
        <v>150</v>
      </c>
      <c r="E48" s="576" t="s">
        <v>1118</v>
      </c>
      <c r="F48" s="182"/>
      <c r="G48" s="182"/>
      <c r="H48" s="182"/>
      <c r="I48" s="594"/>
      <c r="J48" s="182"/>
      <c r="K48" s="584">
        <f>'RAO HT'!I22</f>
        <v>32675</v>
      </c>
      <c r="L48" s="583">
        <f>SUM(K48)</f>
        <v>32675</v>
      </c>
      <c r="M48" s="580" t="s">
        <v>1119</v>
      </c>
      <c r="N48" s="576" t="s">
        <v>158</v>
      </c>
      <c r="O48" s="576"/>
      <c r="P48" s="581" t="s">
        <v>1063</v>
      </c>
    </row>
    <row r="49" spans="1:16" ht="15.75" customHeight="1">
      <c r="A49" s="215">
        <v>44</v>
      </c>
      <c r="B49" s="400" t="s">
        <v>1060</v>
      </c>
      <c r="C49" s="400">
        <v>596365</v>
      </c>
      <c r="D49" s="329">
        <v>125</v>
      </c>
      <c r="E49" s="576" t="s">
        <v>1120</v>
      </c>
      <c r="F49" s="182"/>
      <c r="G49" s="182"/>
      <c r="H49" s="182"/>
      <c r="I49" s="594"/>
      <c r="J49" s="182"/>
      <c r="K49" s="602">
        <f>'RAO HT'!I148</f>
        <v>20843</v>
      </c>
      <c r="L49" s="1311">
        <f>SUM(K49:K57)</f>
        <v>171707</v>
      </c>
      <c r="M49" s="1302" t="s">
        <v>924</v>
      </c>
      <c r="N49" s="1302" t="s">
        <v>158</v>
      </c>
      <c r="O49" s="576"/>
      <c r="P49" s="581" t="s">
        <v>1063</v>
      </c>
    </row>
    <row r="50" spans="1:16" ht="30">
      <c r="A50" s="400">
        <v>45</v>
      </c>
      <c r="B50" s="400" t="s">
        <v>1060</v>
      </c>
      <c r="C50" s="400">
        <v>596092</v>
      </c>
      <c r="D50" s="329">
        <v>100</v>
      </c>
      <c r="E50" s="576" t="s">
        <v>1121</v>
      </c>
      <c r="F50" s="182"/>
      <c r="G50" s="182"/>
      <c r="H50" s="182"/>
      <c r="I50" s="594"/>
      <c r="J50" s="182"/>
      <c r="K50" s="584">
        <f>'RAO HT'!I23</f>
        <v>9999</v>
      </c>
      <c r="L50" s="1311"/>
      <c r="M50" s="1302"/>
      <c r="N50" s="1302"/>
      <c r="O50" s="576"/>
      <c r="P50" s="581" t="s">
        <v>1063</v>
      </c>
    </row>
    <row r="51" spans="1:16" ht="16.5" customHeight="1">
      <c r="A51" s="215">
        <v>46</v>
      </c>
      <c r="B51" s="400" t="s">
        <v>1060</v>
      </c>
      <c r="C51" s="400">
        <v>596142</v>
      </c>
      <c r="D51" s="329">
        <v>300</v>
      </c>
      <c r="E51" s="576" t="s">
        <v>1122</v>
      </c>
      <c r="F51" s="182"/>
      <c r="G51" s="182"/>
      <c r="H51" s="182"/>
      <c r="I51" s="594"/>
      <c r="J51" s="182"/>
      <c r="K51" s="584">
        <f>'RAO HT'!I37</f>
        <v>52352</v>
      </c>
      <c r="L51" s="1311"/>
      <c r="M51" s="1302"/>
      <c r="N51" s="1302"/>
      <c r="O51" s="576"/>
      <c r="P51" s="581" t="s">
        <v>1063</v>
      </c>
    </row>
    <row r="52" spans="1:16" ht="15.75">
      <c r="A52" s="400">
        <v>47</v>
      </c>
      <c r="B52" s="400" t="s">
        <v>1060</v>
      </c>
      <c r="C52" s="400">
        <v>575009</v>
      </c>
      <c r="D52" s="329">
        <v>200</v>
      </c>
      <c r="E52" s="576" t="s">
        <v>1123</v>
      </c>
      <c r="F52" s="182"/>
      <c r="G52" s="182"/>
      <c r="H52" s="182"/>
      <c r="I52" s="594"/>
      <c r="J52" s="182"/>
      <c r="K52" s="584">
        <f>'RAO HT'!I18</f>
        <v>13433</v>
      </c>
      <c r="L52" s="1311"/>
      <c r="M52" s="1302"/>
      <c r="N52" s="1302"/>
      <c r="O52" s="576"/>
      <c r="P52" s="581" t="s">
        <v>1063</v>
      </c>
    </row>
    <row r="53" spans="1:16" ht="15.75">
      <c r="A53" s="215">
        <v>48</v>
      </c>
      <c r="B53" s="400" t="s">
        <v>1060</v>
      </c>
      <c r="C53" s="400">
        <v>596313</v>
      </c>
      <c r="D53" s="329">
        <v>80</v>
      </c>
      <c r="E53" s="576" t="s">
        <v>1124</v>
      </c>
      <c r="F53" s="182"/>
      <c r="G53" s="182"/>
      <c r="H53" s="182"/>
      <c r="I53" s="594"/>
      <c r="J53" s="182"/>
      <c r="K53" s="584">
        <f>'RAO HT'!I119</f>
        <v>6678</v>
      </c>
      <c r="L53" s="1311"/>
      <c r="M53" s="1302"/>
      <c r="N53" s="1302"/>
      <c r="O53" s="576"/>
      <c r="P53" s="581" t="s">
        <v>1063</v>
      </c>
    </row>
    <row r="54" spans="1:16" ht="15.75">
      <c r="A54" s="215"/>
      <c r="B54" s="400" t="s">
        <v>1060</v>
      </c>
      <c r="C54" s="400" t="s">
        <v>821</v>
      </c>
      <c r="D54" s="329"/>
      <c r="E54" s="576" t="s">
        <v>822</v>
      </c>
      <c r="F54" s="182"/>
      <c r="G54" s="182"/>
      <c r="H54" s="182"/>
      <c r="I54" s="594"/>
      <c r="J54" s="182"/>
      <c r="K54" s="584">
        <f>'RAO HT'!I237</f>
        <v>27311</v>
      </c>
      <c r="L54" s="1311"/>
      <c r="M54" s="1302"/>
      <c r="N54" s="1302"/>
      <c r="O54" s="576"/>
      <c r="P54" s="581"/>
    </row>
    <row r="55" spans="1:16" ht="15.75">
      <c r="A55" s="215"/>
      <c r="B55" s="400" t="s">
        <v>1060</v>
      </c>
      <c r="C55" s="400" t="s">
        <v>863</v>
      </c>
      <c r="D55" s="329"/>
      <c r="E55" s="576" t="s">
        <v>864</v>
      </c>
      <c r="F55" s="182"/>
      <c r="G55" s="182"/>
      <c r="H55" s="182"/>
      <c r="I55" s="594"/>
      <c r="J55" s="182"/>
      <c r="K55" s="584">
        <f>'RAO HT'!I258</f>
        <v>19250</v>
      </c>
      <c r="L55" s="1311"/>
      <c r="M55" s="1302"/>
      <c r="N55" s="1302"/>
      <c r="O55" s="576"/>
      <c r="P55" s="581"/>
    </row>
    <row r="56" spans="1:16" ht="15.75">
      <c r="A56" s="215"/>
      <c r="B56" s="400"/>
      <c r="C56" s="400" t="s">
        <v>881</v>
      </c>
      <c r="D56" s="329"/>
      <c r="E56" s="576" t="s">
        <v>882</v>
      </c>
      <c r="F56" s="182"/>
      <c r="G56" s="182"/>
      <c r="H56" s="182"/>
      <c r="I56" s="594"/>
      <c r="J56" s="182"/>
      <c r="K56" s="584">
        <f>'RAO HT'!I267</f>
        <v>4749</v>
      </c>
      <c r="L56" s="1311"/>
      <c r="M56" s="1302"/>
      <c r="N56" s="1302"/>
      <c r="O56" s="576"/>
      <c r="P56" s="581"/>
    </row>
    <row r="57" spans="1:16" ht="15.75">
      <c r="A57" s="400">
        <v>49</v>
      </c>
      <c r="B57" s="400" t="s">
        <v>1060</v>
      </c>
      <c r="C57" s="400">
        <v>596318</v>
      </c>
      <c r="D57" s="329">
        <v>100</v>
      </c>
      <c r="E57" s="576" t="s">
        <v>1125</v>
      </c>
      <c r="F57" s="182"/>
      <c r="G57" s="182"/>
      <c r="H57" s="182"/>
      <c r="I57" s="594"/>
      <c r="J57" s="182"/>
      <c r="K57" s="584">
        <f>'RAO HT'!I123</f>
        <v>17092</v>
      </c>
      <c r="L57" s="1311"/>
      <c r="M57" s="1302"/>
      <c r="N57" s="1302"/>
      <c r="O57" s="576"/>
      <c r="P57" s="581" t="s">
        <v>1063</v>
      </c>
    </row>
    <row r="58" spans="1:16" ht="30">
      <c r="A58" s="215">
        <v>50</v>
      </c>
      <c r="B58" s="400" t="s">
        <v>1060</v>
      </c>
      <c r="C58" s="400">
        <v>596188</v>
      </c>
      <c r="D58" s="329">
        <v>125</v>
      </c>
      <c r="E58" s="576" t="s">
        <v>1126</v>
      </c>
      <c r="F58" s="182"/>
      <c r="G58" s="182"/>
      <c r="H58" s="182"/>
      <c r="I58" s="594"/>
      <c r="J58" s="182"/>
      <c r="K58" s="584">
        <f>'RAO HT'!I60</f>
        <v>22392</v>
      </c>
      <c r="L58" s="583">
        <f>SUM(K58)</f>
        <v>22392</v>
      </c>
      <c r="M58" s="580" t="s">
        <v>1127</v>
      </c>
      <c r="N58" s="576" t="s">
        <v>158</v>
      </c>
      <c r="O58" s="576"/>
      <c r="P58" s="581" t="s">
        <v>1063</v>
      </c>
    </row>
    <row r="59" spans="1:16" ht="15.75">
      <c r="A59" s="400">
        <v>51</v>
      </c>
      <c r="B59" s="400" t="s">
        <v>1060</v>
      </c>
      <c r="C59" s="400">
        <v>596144</v>
      </c>
      <c r="D59" s="329">
        <v>200</v>
      </c>
      <c r="E59" s="598" t="s">
        <v>1128</v>
      </c>
      <c r="F59" s="182"/>
      <c r="G59" s="182"/>
      <c r="H59" s="182"/>
      <c r="I59" s="594"/>
      <c r="J59" s="182"/>
      <c r="K59" s="599">
        <f>'RAO HT'!I39</f>
        <v>16211</v>
      </c>
      <c r="L59" s="1312">
        <f>SUM(K59+K60)</f>
        <v>20531</v>
      </c>
      <c r="M59" s="580" t="s">
        <v>1129</v>
      </c>
      <c r="N59" s="576" t="s">
        <v>1130</v>
      </c>
      <c r="O59" s="576"/>
      <c r="P59" s="581" t="s">
        <v>1063</v>
      </c>
    </row>
    <row r="60" spans="1:16" ht="30">
      <c r="A60" s="400"/>
      <c r="B60" s="400" t="s">
        <v>1060</v>
      </c>
      <c r="C60" s="400" t="s">
        <v>841</v>
      </c>
      <c r="D60" s="329"/>
      <c r="E60" s="598" t="s">
        <v>842</v>
      </c>
      <c r="F60" s="182"/>
      <c r="G60" s="182"/>
      <c r="H60" s="182"/>
      <c r="I60" s="594"/>
      <c r="J60" s="182"/>
      <c r="K60" s="599">
        <f>'RAO HT'!I247</f>
        <v>4320</v>
      </c>
      <c r="L60" s="1312"/>
      <c r="M60" s="580" t="s">
        <v>1129</v>
      </c>
      <c r="N60" s="576" t="s">
        <v>1131</v>
      </c>
      <c r="O60" s="576"/>
      <c r="P60" s="581"/>
    </row>
    <row r="61" spans="1:16" ht="15.75">
      <c r="A61" s="400"/>
      <c r="B61" s="400"/>
      <c r="C61" s="400" t="s">
        <v>879</v>
      </c>
      <c r="D61" s="329"/>
      <c r="E61" s="598" t="s">
        <v>880</v>
      </c>
      <c r="F61" s="182"/>
      <c r="G61" s="182"/>
      <c r="H61" s="182"/>
      <c r="I61" s="594"/>
      <c r="J61" s="182"/>
      <c r="K61" s="599">
        <f>'RAO HT'!I266</f>
        <v>7182</v>
      </c>
      <c r="L61" s="603">
        <f>K61</f>
        <v>7182</v>
      </c>
      <c r="M61" s="580" t="s">
        <v>1132</v>
      </c>
      <c r="N61" s="576"/>
      <c r="O61" s="576"/>
      <c r="P61" s="581"/>
    </row>
    <row r="62" spans="1:16" ht="30">
      <c r="A62" s="400"/>
      <c r="B62" s="400" t="s">
        <v>1060</v>
      </c>
      <c r="C62" s="400"/>
      <c r="D62" s="329"/>
      <c r="E62" s="598" t="s">
        <v>828</v>
      </c>
      <c r="F62" s="182"/>
      <c r="G62" s="182"/>
      <c r="H62" s="182"/>
      <c r="I62" s="594"/>
      <c r="J62" s="182"/>
      <c r="K62" s="599">
        <f>'RAO HT'!I240</f>
        <v>19084</v>
      </c>
      <c r="L62" s="547">
        <f>K62</f>
        <v>19084</v>
      </c>
      <c r="M62" s="580" t="s">
        <v>1133</v>
      </c>
      <c r="N62" s="576" t="s">
        <v>924</v>
      </c>
      <c r="O62" s="576"/>
      <c r="P62" s="581" t="s">
        <v>1063</v>
      </c>
    </row>
    <row r="63" spans="1:16" ht="18.75">
      <c r="A63" s="400"/>
      <c r="B63" s="400"/>
      <c r="C63" s="400"/>
      <c r="D63" s="329"/>
      <c r="E63" s="604" t="s">
        <v>1134</v>
      </c>
      <c r="F63" s="605"/>
      <c r="G63" s="605"/>
      <c r="H63" s="605"/>
      <c r="I63" s="606"/>
      <c r="J63" s="605"/>
      <c r="K63" s="607">
        <f>SUM(K4:K62)</f>
        <v>1677835</v>
      </c>
      <c r="L63" s="608">
        <f>SUM(L4:L62)</f>
        <v>1677835</v>
      </c>
      <c r="M63" s="604"/>
      <c r="N63" s="604"/>
      <c r="O63" s="604"/>
      <c r="P63" s="604"/>
    </row>
    <row r="64" spans="1:16" ht="18.75" customHeight="1">
      <c r="A64" s="1313"/>
      <c r="B64" s="1313"/>
      <c r="C64" s="1313"/>
      <c r="D64" s="1313"/>
      <c r="E64" s="1313"/>
      <c r="F64" s="1313"/>
      <c r="G64" s="1313"/>
      <c r="H64" s="1313"/>
      <c r="I64" s="1313"/>
      <c r="J64" s="1313"/>
      <c r="K64" s="1313"/>
      <c r="L64" s="1313"/>
      <c r="M64" s="1313"/>
      <c r="N64" s="1313"/>
      <c r="O64" s="1313"/>
      <c r="P64" s="1313"/>
    </row>
    <row r="65" spans="1:18" ht="15.75">
      <c r="A65" s="182"/>
      <c r="B65" s="182"/>
      <c r="C65" s="182"/>
      <c r="D65" s="182"/>
      <c r="E65" s="609" t="s">
        <v>1135</v>
      </c>
      <c r="F65" s="577"/>
      <c r="G65" s="577"/>
      <c r="H65" s="610"/>
      <c r="I65" s="594"/>
      <c r="J65" s="182"/>
      <c r="K65" s="611"/>
      <c r="L65" s="502"/>
      <c r="M65" s="604">
        <f>K63-L63</f>
        <v>0</v>
      </c>
      <c r="N65" s="604"/>
      <c r="O65" s="604"/>
      <c r="P65" s="604"/>
    </row>
    <row r="66" spans="1:18" ht="15.75" customHeight="1">
      <c r="A66" s="182">
        <v>1</v>
      </c>
      <c r="B66" s="400" t="s">
        <v>1060</v>
      </c>
      <c r="C66" s="400">
        <v>596133</v>
      </c>
      <c r="D66" s="329">
        <v>160</v>
      </c>
      <c r="E66" s="612" t="s">
        <v>1136</v>
      </c>
      <c r="F66" s="604"/>
      <c r="G66" s="604"/>
      <c r="H66" s="604"/>
      <c r="I66" s="604"/>
      <c r="J66" s="604"/>
      <c r="K66" s="613">
        <f>'RAO HT'!I32</f>
        <v>37501</v>
      </c>
      <c r="L66" s="1304">
        <f>K66+K67</f>
        <v>41622</v>
      </c>
      <c r="M66" s="1288" t="s">
        <v>1137</v>
      </c>
      <c r="N66" s="604" t="s">
        <v>156</v>
      </c>
      <c r="O66" s="604" t="s">
        <v>156</v>
      </c>
      <c r="P66" s="604" t="s">
        <v>1138</v>
      </c>
    </row>
    <row r="67" spans="1:18" s="379" customFormat="1" ht="15.75" customHeight="1">
      <c r="A67" s="614">
        <v>2</v>
      </c>
      <c r="B67" s="611" t="s">
        <v>1060</v>
      </c>
      <c r="C67" s="611">
        <v>596325</v>
      </c>
      <c r="D67" s="615">
        <v>100</v>
      </c>
      <c r="E67" s="616" t="s">
        <v>1139</v>
      </c>
      <c r="F67" s="616"/>
      <c r="G67" s="616"/>
      <c r="H67" s="616"/>
      <c r="I67" s="616"/>
      <c r="J67" s="616"/>
      <c r="K67" s="613">
        <f>'RAO HT'!I130</f>
        <v>4121</v>
      </c>
      <c r="L67" s="1304"/>
      <c r="M67" s="1288"/>
      <c r="N67" s="616" t="s">
        <v>156</v>
      </c>
      <c r="O67" s="616" t="s">
        <v>156</v>
      </c>
      <c r="P67" s="616" t="s">
        <v>1138</v>
      </c>
    </row>
    <row r="68" spans="1:18" s="379" customFormat="1" ht="15.75" customHeight="1">
      <c r="A68" s="182">
        <v>3</v>
      </c>
      <c r="B68" s="400" t="s">
        <v>1060</v>
      </c>
      <c r="C68" s="591">
        <v>596389</v>
      </c>
      <c r="D68" s="592">
        <v>125</v>
      </c>
      <c r="E68" s="400" t="s">
        <v>1140</v>
      </c>
      <c r="F68" s="616"/>
      <c r="G68" s="616"/>
      <c r="H68" s="616"/>
      <c r="I68" s="616"/>
      <c r="J68" s="616"/>
      <c r="K68" s="613">
        <f>'RAO HT'!I169</f>
        <v>22139</v>
      </c>
      <c r="L68" s="617">
        <f>K68</f>
        <v>22139</v>
      </c>
      <c r="M68" s="618" t="s">
        <v>1141</v>
      </c>
      <c r="N68" s="616" t="s">
        <v>156</v>
      </c>
      <c r="O68" s="616" t="s">
        <v>156</v>
      </c>
      <c r="P68" s="616" t="s">
        <v>1138</v>
      </c>
    </row>
    <row r="69" spans="1:18" s="379" customFormat="1">
      <c r="A69" s="614">
        <v>4</v>
      </c>
      <c r="B69" s="611" t="s">
        <v>1060</v>
      </c>
      <c r="C69" s="611">
        <v>596337</v>
      </c>
      <c r="D69" s="615">
        <v>200</v>
      </c>
      <c r="E69" s="616" t="s">
        <v>1142</v>
      </c>
      <c r="F69" s="616"/>
      <c r="G69" s="616"/>
      <c r="H69" s="616"/>
      <c r="I69" s="616"/>
      <c r="J69" s="616"/>
      <c r="K69" s="619">
        <f>'RAO HT'!I140</f>
        <v>68292</v>
      </c>
      <c r="L69" s="1285">
        <f>SUM(K69:K78)</f>
        <v>348873</v>
      </c>
      <c r="M69" s="1301" t="s">
        <v>1143</v>
      </c>
      <c r="N69" s="1301" t="s">
        <v>928</v>
      </c>
      <c r="O69" s="1301" t="s">
        <v>928</v>
      </c>
      <c r="P69" s="616" t="s">
        <v>1138</v>
      </c>
      <c r="Q69" s="379">
        <v>42200</v>
      </c>
      <c r="R69" s="379">
        <f t="shared" ref="R69:R76" si="0">K69-Q69</f>
        <v>26092</v>
      </c>
    </row>
    <row r="70" spans="1:18" s="379" customFormat="1">
      <c r="A70" s="182">
        <v>5</v>
      </c>
      <c r="B70" s="611" t="s">
        <v>1060</v>
      </c>
      <c r="C70" s="611">
        <v>596152</v>
      </c>
      <c r="D70" s="615">
        <v>125</v>
      </c>
      <c r="E70" s="616" t="s">
        <v>1144</v>
      </c>
      <c r="F70" s="616"/>
      <c r="G70" s="616"/>
      <c r="H70" s="616"/>
      <c r="I70" s="616"/>
      <c r="J70" s="616"/>
      <c r="K70" s="613">
        <f>'RAO HT'!I43</f>
        <v>24990</v>
      </c>
      <c r="L70" s="1285"/>
      <c r="M70" s="1301"/>
      <c r="N70" s="1301"/>
      <c r="O70" s="1301"/>
      <c r="P70" s="616" t="s">
        <v>1138</v>
      </c>
      <c r="Q70" s="379">
        <v>13210</v>
      </c>
      <c r="R70" s="379">
        <f t="shared" si="0"/>
        <v>11780</v>
      </c>
    </row>
    <row r="71" spans="1:18" s="379" customFormat="1">
      <c r="A71" s="614">
        <v>6</v>
      </c>
      <c r="B71" s="611" t="s">
        <v>1060</v>
      </c>
      <c r="C71" s="611">
        <v>596164</v>
      </c>
      <c r="D71" s="615">
        <v>450</v>
      </c>
      <c r="E71" s="616" t="s">
        <v>1145</v>
      </c>
      <c r="F71" s="616"/>
      <c r="G71" s="616"/>
      <c r="H71" s="616"/>
      <c r="I71" s="616"/>
      <c r="J71" s="616"/>
      <c r="K71" s="613">
        <f>'RAO HT'!I49</f>
        <v>45000</v>
      </c>
      <c r="L71" s="1285"/>
      <c r="M71" s="1301"/>
      <c r="N71" s="1301"/>
      <c r="O71" s="1301"/>
      <c r="P71" s="616" t="s">
        <v>1138</v>
      </c>
      <c r="Q71" s="379">
        <v>43453</v>
      </c>
      <c r="R71" s="379">
        <f t="shared" si="0"/>
        <v>1547</v>
      </c>
    </row>
    <row r="72" spans="1:18" s="379" customFormat="1">
      <c r="A72" s="614">
        <v>8</v>
      </c>
      <c r="B72" s="611" t="s">
        <v>1060</v>
      </c>
      <c r="C72" s="611">
        <v>596263</v>
      </c>
      <c r="D72" s="615">
        <v>50</v>
      </c>
      <c r="E72" s="616" t="s">
        <v>1146</v>
      </c>
      <c r="F72" s="616"/>
      <c r="G72" s="616"/>
      <c r="H72" s="616"/>
      <c r="I72" s="616"/>
      <c r="J72" s="616"/>
      <c r="K72" s="613">
        <f>'RAO HT'!I89</f>
        <v>3483</v>
      </c>
      <c r="L72" s="1285"/>
      <c r="M72" s="1301"/>
      <c r="N72" s="1301"/>
      <c r="O72" s="1301"/>
      <c r="P72" s="616" t="s">
        <v>1138</v>
      </c>
      <c r="Q72" s="379">
        <v>2218</v>
      </c>
      <c r="R72" s="379">
        <f t="shared" si="0"/>
        <v>1265</v>
      </c>
    </row>
    <row r="73" spans="1:18" s="379" customFormat="1">
      <c r="A73" s="614">
        <v>10</v>
      </c>
      <c r="B73" s="611" t="s">
        <v>1060</v>
      </c>
      <c r="C73" s="611">
        <v>596265</v>
      </c>
      <c r="D73" s="615">
        <v>80</v>
      </c>
      <c r="E73" s="616" t="s">
        <v>1147</v>
      </c>
      <c r="F73" s="616"/>
      <c r="G73" s="616"/>
      <c r="H73" s="616"/>
      <c r="I73" s="616"/>
      <c r="J73" s="616"/>
      <c r="K73" s="613">
        <f>'RAO HT'!I91</f>
        <v>7704</v>
      </c>
      <c r="L73" s="1285"/>
      <c r="M73" s="1301"/>
      <c r="N73" s="1301"/>
      <c r="O73" s="1301"/>
      <c r="P73" s="616" t="s">
        <v>1138</v>
      </c>
      <c r="Q73" s="379">
        <v>13611</v>
      </c>
      <c r="R73" s="379">
        <f t="shared" si="0"/>
        <v>-5907</v>
      </c>
    </row>
    <row r="74" spans="1:18" s="379" customFormat="1">
      <c r="A74" s="182">
        <v>11</v>
      </c>
      <c r="B74" s="611" t="s">
        <v>1060</v>
      </c>
      <c r="C74" s="611">
        <v>596312</v>
      </c>
      <c r="D74" s="615">
        <v>120</v>
      </c>
      <c r="E74" s="616" t="s">
        <v>1148</v>
      </c>
      <c r="F74" s="616"/>
      <c r="G74" s="616"/>
      <c r="H74" s="616"/>
      <c r="I74" s="616"/>
      <c r="J74" s="616"/>
      <c r="K74" s="613">
        <f>'RAO HT'!I118</f>
        <v>9754</v>
      </c>
      <c r="L74" s="1285"/>
      <c r="M74" s="1301"/>
      <c r="N74" s="1301"/>
      <c r="O74" s="1301"/>
      <c r="P74" s="616" t="s">
        <v>1138</v>
      </c>
      <c r="Q74" s="379">
        <v>7915</v>
      </c>
      <c r="R74" s="379">
        <f t="shared" si="0"/>
        <v>1839</v>
      </c>
    </row>
    <row r="75" spans="1:18" s="379" customFormat="1">
      <c r="A75" s="182">
        <v>13</v>
      </c>
      <c r="B75" s="611" t="s">
        <v>1060</v>
      </c>
      <c r="C75" s="622">
        <v>596320</v>
      </c>
      <c r="D75" s="623">
        <v>50</v>
      </c>
      <c r="E75" s="616" t="s">
        <v>1149</v>
      </c>
      <c r="F75" s="616"/>
      <c r="G75" s="616"/>
      <c r="H75" s="616"/>
      <c r="I75" s="616"/>
      <c r="J75" s="616"/>
      <c r="K75" s="613">
        <f>'RAO HT'!I125</f>
        <v>21698</v>
      </c>
      <c r="L75" s="1285"/>
      <c r="M75" s="1301"/>
      <c r="N75" s="1301"/>
      <c r="O75" s="1301"/>
      <c r="P75" s="616" t="s">
        <v>1138</v>
      </c>
      <c r="Q75" s="379">
        <v>5133</v>
      </c>
      <c r="R75" s="379">
        <f t="shared" si="0"/>
        <v>16565</v>
      </c>
    </row>
    <row r="76" spans="1:18" s="379" customFormat="1">
      <c r="A76" s="614">
        <v>14</v>
      </c>
      <c r="B76" s="611" t="s">
        <v>1060</v>
      </c>
      <c r="C76" s="611">
        <v>596304</v>
      </c>
      <c r="D76" s="615">
        <v>60</v>
      </c>
      <c r="E76" s="616" t="s">
        <v>1150</v>
      </c>
      <c r="F76" s="616"/>
      <c r="G76" s="616"/>
      <c r="H76" s="616"/>
      <c r="I76" s="616"/>
      <c r="J76" s="616"/>
      <c r="K76" s="624">
        <f>'RAO HT'!I112</f>
        <v>0</v>
      </c>
      <c r="L76" s="1285"/>
      <c r="M76" s="1301"/>
      <c r="N76" s="1301"/>
      <c r="O76" s="1301"/>
      <c r="P76" s="616" t="s">
        <v>1138</v>
      </c>
      <c r="Q76" s="379">
        <v>1680</v>
      </c>
      <c r="R76" s="379">
        <f t="shared" si="0"/>
        <v>-1680</v>
      </c>
    </row>
    <row r="77" spans="1:18" s="379" customFormat="1">
      <c r="A77" s="614">
        <v>16</v>
      </c>
      <c r="B77" s="611" t="s">
        <v>1060</v>
      </c>
      <c r="C77" s="625"/>
      <c r="D77" s="626"/>
      <c r="E77" s="627" t="s">
        <v>1151</v>
      </c>
      <c r="F77" s="616"/>
      <c r="G77" s="616"/>
      <c r="H77" s="616"/>
      <c r="I77" s="616"/>
      <c r="J77" s="616"/>
      <c r="K77" s="619">
        <f>'RAO HT'!I210</f>
        <v>46494</v>
      </c>
      <c r="L77" s="1285"/>
      <c r="M77" s="1301"/>
      <c r="N77" s="1301"/>
      <c r="O77" s="1301"/>
      <c r="P77" s="616"/>
    </row>
    <row r="78" spans="1:18" s="379" customFormat="1">
      <c r="A78" s="182">
        <v>17</v>
      </c>
      <c r="B78" s="611" t="s">
        <v>1060</v>
      </c>
      <c r="C78" s="628">
        <v>1869000000</v>
      </c>
      <c r="D78" s="629">
        <v>175</v>
      </c>
      <c r="E78" s="616" t="s">
        <v>1152</v>
      </c>
      <c r="F78" s="614"/>
      <c r="G78" s="614"/>
      <c r="H78" s="614"/>
      <c r="I78" s="614"/>
      <c r="J78" s="614"/>
      <c r="K78" s="619">
        <f>'RAO HT'!I192</f>
        <v>121458</v>
      </c>
      <c r="L78" s="1285"/>
      <c r="M78" s="1301"/>
      <c r="N78" s="1301"/>
      <c r="O78" s="1301"/>
      <c r="P78" s="611"/>
      <c r="Q78" s="379">
        <v>68852</v>
      </c>
      <c r="R78" s="379">
        <f>K78-Q78</f>
        <v>52606</v>
      </c>
    </row>
    <row r="79" spans="1:18" s="379" customFormat="1">
      <c r="A79" s="614">
        <v>18</v>
      </c>
      <c r="B79" s="611" t="s">
        <v>1060</v>
      </c>
      <c r="C79" s="628">
        <v>596407</v>
      </c>
      <c r="D79" s="629"/>
      <c r="E79" s="616" t="s">
        <v>1153</v>
      </c>
      <c r="F79" s="614"/>
      <c r="G79" s="614"/>
      <c r="H79" s="614"/>
      <c r="I79" s="614"/>
      <c r="J79" s="614"/>
      <c r="K79" s="619">
        <f>'RAO HT'!I187</f>
        <v>4443</v>
      </c>
      <c r="L79" s="620">
        <f>K79</f>
        <v>4443</v>
      </c>
      <c r="M79" s="621" t="s">
        <v>1154</v>
      </c>
      <c r="N79" s="621"/>
      <c r="O79" s="621"/>
      <c r="P79" s="611"/>
    </row>
    <row r="80" spans="1:18" s="379" customFormat="1">
      <c r="A80" s="614"/>
      <c r="B80" s="611" t="s">
        <v>1060</v>
      </c>
      <c r="C80" s="628" t="s">
        <v>835</v>
      </c>
      <c r="D80" s="629"/>
      <c r="E80" s="616" t="s">
        <v>836</v>
      </c>
      <c r="F80" s="614"/>
      <c r="G80" s="614"/>
      <c r="H80" s="614"/>
      <c r="I80" s="614"/>
      <c r="J80" s="614"/>
      <c r="K80" s="619">
        <f>'RAO HT'!I244</f>
        <v>9356</v>
      </c>
      <c r="L80" s="1309">
        <f>K80+K82+K81</f>
        <v>39411</v>
      </c>
      <c r="M80" s="621"/>
      <c r="N80" s="621"/>
      <c r="O80" s="621"/>
      <c r="P80" s="611"/>
    </row>
    <row r="81" spans="1:16" s="379" customFormat="1">
      <c r="A81" s="614"/>
      <c r="B81" s="611" t="s">
        <v>1060</v>
      </c>
      <c r="C81" s="440" t="s">
        <v>875</v>
      </c>
      <c r="D81" s="629"/>
      <c r="E81" s="616" t="s">
        <v>876</v>
      </c>
      <c r="F81" s="614"/>
      <c r="G81" s="614"/>
      <c r="H81" s="614"/>
      <c r="I81" s="614"/>
      <c r="J81" s="614"/>
      <c r="K81" s="619">
        <f>'RAO HT'!I264</f>
        <v>11279</v>
      </c>
      <c r="L81" s="1309"/>
      <c r="M81" s="621"/>
      <c r="N81" s="621"/>
      <c r="O81" s="621"/>
      <c r="P81" s="611"/>
    </row>
    <row r="82" spans="1:16" s="379" customFormat="1">
      <c r="A82" s="182">
        <v>19</v>
      </c>
      <c r="B82" s="611" t="s">
        <v>1060</v>
      </c>
      <c r="C82" s="611">
        <v>596258</v>
      </c>
      <c r="D82" s="615">
        <v>75</v>
      </c>
      <c r="E82" s="616" t="s">
        <v>1155</v>
      </c>
      <c r="F82" s="616"/>
      <c r="G82" s="616"/>
      <c r="H82" s="616"/>
      <c r="I82" s="616"/>
      <c r="J82" s="616"/>
      <c r="K82" s="613">
        <f>'RAO HT'!I86</f>
        <v>18776</v>
      </c>
      <c r="L82" s="1309"/>
      <c r="M82" s="630" t="s">
        <v>1156</v>
      </c>
      <c r="N82" s="630" t="s">
        <v>928</v>
      </c>
      <c r="O82" s="630" t="s">
        <v>928</v>
      </c>
      <c r="P82" s="616" t="s">
        <v>1138</v>
      </c>
    </row>
    <row r="83" spans="1:16" s="379" customFormat="1">
      <c r="A83" s="614">
        <v>20</v>
      </c>
      <c r="B83" s="611" t="s">
        <v>1060</v>
      </c>
      <c r="C83" s="476">
        <v>596401</v>
      </c>
      <c r="D83" s="615">
        <v>70</v>
      </c>
      <c r="E83" s="616" t="s">
        <v>1157</v>
      </c>
      <c r="F83" s="616"/>
      <c r="G83" s="616"/>
      <c r="H83" s="616"/>
      <c r="I83" s="616"/>
      <c r="J83" s="616"/>
      <c r="K83" s="613">
        <f>'RAO HT'!I181</f>
        <v>20969</v>
      </c>
      <c r="L83" s="1305">
        <f>SUM(K83:K84)</f>
        <v>118572</v>
      </c>
      <c r="M83" s="1310" t="s">
        <v>1158</v>
      </c>
      <c r="N83" s="1310" t="s">
        <v>1159</v>
      </c>
      <c r="O83" s="630"/>
      <c r="P83" s="616"/>
    </row>
    <row r="84" spans="1:16" s="379" customFormat="1">
      <c r="A84" s="182">
        <v>21</v>
      </c>
      <c r="B84" s="611" t="s">
        <v>1060</v>
      </c>
      <c r="C84" s="611">
        <v>504003</v>
      </c>
      <c r="D84" s="615">
        <v>340</v>
      </c>
      <c r="E84" s="616" t="s">
        <v>1160</v>
      </c>
      <c r="F84" s="616"/>
      <c r="G84" s="616"/>
      <c r="H84" s="616"/>
      <c r="I84" s="616"/>
      <c r="J84" s="616"/>
      <c r="K84" s="613">
        <f>'RAO HT'!I4</f>
        <v>97603</v>
      </c>
      <c r="L84" s="1305"/>
      <c r="M84" s="1310"/>
      <c r="N84" s="1310"/>
      <c r="O84" s="616" t="s">
        <v>156</v>
      </c>
      <c r="P84" s="616" t="s">
        <v>1138</v>
      </c>
    </row>
    <row r="85" spans="1:16" s="379" customFormat="1">
      <c r="A85" s="614">
        <v>22</v>
      </c>
      <c r="B85" s="611" t="s">
        <v>1060</v>
      </c>
      <c r="C85" s="611">
        <v>596369</v>
      </c>
      <c r="D85" s="615">
        <v>300</v>
      </c>
      <c r="E85" s="616" t="s">
        <v>1161</v>
      </c>
      <c r="F85" s="616"/>
      <c r="G85" s="616"/>
      <c r="H85" s="616"/>
      <c r="I85" s="616"/>
      <c r="J85" s="616"/>
      <c r="K85" s="613">
        <f>'RAO HT'!I151</f>
        <v>33795</v>
      </c>
      <c r="L85" s="1305">
        <f>K85+K86</f>
        <v>55161</v>
      </c>
      <c r="M85" s="1306" t="s">
        <v>1162</v>
      </c>
      <c r="N85" s="1310"/>
      <c r="O85" s="616"/>
      <c r="P85" s="616"/>
    </row>
    <row r="86" spans="1:16" s="379" customFormat="1">
      <c r="A86" s="182">
        <v>23</v>
      </c>
      <c r="B86" s="611" t="s">
        <v>1060</v>
      </c>
      <c r="C86" s="628">
        <v>9259000000</v>
      </c>
      <c r="D86" s="629">
        <v>200</v>
      </c>
      <c r="E86" s="600" t="s">
        <v>1163</v>
      </c>
      <c r="F86" s="616"/>
      <c r="G86" s="616"/>
      <c r="H86" s="616"/>
      <c r="I86" s="616"/>
      <c r="J86" s="616"/>
      <c r="K86" s="613">
        <f>'RAO HT'!I198</f>
        <v>21366</v>
      </c>
      <c r="L86" s="1305"/>
      <c r="M86" s="1306"/>
      <c r="N86" s="1310"/>
      <c r="O86" s="616" t="s">
        <v>928</v>
      </c>
      <c r="P86" s="616" t="s">
        <v>1138</v>
      </c>
    </row>
    <row r="87" spans="1:16" s="379" customFormat="1">
      <c r="A87" s="614">
        <v>24</v>
      </c>
      <c r="B87" s="611" t="s">
        <v>1060</v>
      </c>
      <c r="C87" s="632">
        <v>596382</v>
      </c>
      <c r="D87" s="633">
        <v>125</v>
      </c>
      <c r="E87" s="400" t="s">
        <v>1164</v>
      </c>
      <c r="F87" s="616"/>
      <c r="G87" s="616"/>
      <c r="H87" s="616"/>
      <c r="I87" s="616"/>
      <c r="J87" s="616"/>
      <c r="K87" s="613">
        <f>'RAO HT'!I163</f>
        <v>35467</v>
      </c>
      <c r="L87" s="530">
        <f>K87</f>
        <v>35467</v>
      </c>
      <c r="M87" s="630" t="s">
        <v>1165</v>
      </c>
      <c r="N87" s="1310"/>
      <c r="O87" s="616" t="s">
        <v>928</v>
      </c>
      <c r="P87" s="616" t="s">
        <v>1138</v>
      </c>
    </row>
    <row r="88" spans="1:16" s="379" customFormat="1">
      <c r="A88" s="182">
        <v>25</v>
      </c>
      <c r="B88" s="611" t="s">
        <v>1060</v>
      </c>
      <c r="C88" s="611">
        <v>596324</v>
      </c>
      <c r="D88" s="615">
        <v>90</v>
      </c>
      <c r="E88" s="616" t="s">
        <v>1166</v>
      </c>
      <c r="F88" s="616"/>
      <c r="G88" s="616"/>
      <c r="H88" s="616"/>
      <c r="I88" s="616"/>
      <c r="J88" s="616"/>
      <c r="K88" s="613">
        <f>'RAO HT'!I129</f>
        <v>15308</v>
      </c>
      <c r="L88" s="530">
        <f>SUM(K88)</f>
        <v>15308</v>
      </c>
      <c r="M88" s="616" t="s">
        <v>1167</v>
      </c>
      <c r="N88" s="616" t="s">
        <v>973</v>
      </c>
      <c r="O88" s="616" t="s">
        <v>158</v>
      </c>
      <c r="P88" s="616" t="s">
        <v>1138</v>
      </c>
    </row>
    <row r="89" spans="1:16" s="379" customFormat="1">
      <c r="A89" s="614">
        <v>26</v>
      </c>
      <c r="B89" s="611" t="s">
        <v>1060</v>
      </c>
      <c r="C89" s="611">
        <v>596323</v>
      </c>
      <c r="D89" s="615">
        <v>60</v>
      </c>
      <c r="E89" s="616" t="s">
        <v>1168</v>
      </c>
      <c r="F89" s="616"/>
      <c r="G89" s="616"/>
      <c r="H89" s="616"/>
      <c r="I89" s="616"/>
      <c r="J89" s="616"/>
      <c r="K89" s="613">
        <f>'RAO HT'!I128</f>
        <v>7564</v>
      </c>
      <c r="L89" s="530">
        <f>SUM(K89)</f>
        <v>7564</v>
      </c>
      <c r="M89" s="616" t="s">
        <v>1169</v>
      </c>
      <c r="N89" s="616" t="s">
        <v>198</v>
      </c>
      <c r="O89" s="616" t="s">
        <v>198</v>
      </c>
      <c r="P89" s="616" t="s">
        <v>1138</v>
      </c>
    </row>
    <row r="90" spans="1:16" s="379" customFormat="1">
      <c r="A90" s="182">
        <v>27</v>
      </c>
      <c r="B90" s="611" t="s">
        <v>1060</v>
      </c>
      <c r="C90" s="611">
        <v>596206</v>
      </c>
      <c r="D90" s="615">
        <v>125</v>
      </c>
      <c r="E90" s="616" t="s">
        <v>1170</v>
      </c>
      <c r="F90" s="616"/>
      <c r="G90" s="616"/>
      <c r="H90" s="616"/>
      <c r="I90" s="616"/>
      <c r="J90" s="616"/>
      <c r="K90" s="613">
        <f>'RAO HT'!I65</f>
        <v>11307</v>
      </c>
      <c r="L90" s="530">
        <f>SUM(K90)</f>
        <v>11307</v>
      </c>
      <c r="M90" s="616" t="s">
        <v>1171</v>
      </c>
      <c r="N90" s="616" t="s">
        <v>1172</v>
      </c>
      <c r="O90" s="616" t="s">
        <v>1172</v>
      </c>
      <c r="P90" s="616" t="s">
        <v>1138</v>
      </c>
    </row>
    <row r="91" spans="1:16" s="379" customFormat="1">
      <c r="A91" s="614">
        <v>28</v>
      </c>
      <c r="B91" s="611" t="s">
        <v>1060</v>
      </c>
      <c r="C91" s="611">
        <v>596177</v>
      </c>
      <c r="D91" s="615">
        <v>156</v>
      </c>
      <c r="E91" s="616" t="s">
        <v>1173</v>
      </c>
      <c r="F91" s="616"/>
      <c r="G91" s="616"/>
      <c r="H91" s="616"/>
      <c r="I91" s="616"/>
      <c r="J91" s="616"/>
      <c r="K91" s="613">
        <f>'RAO HT'!I56</f>
        <v>14265</v>
      </c>
      <c r="L91" s="1305">
        <f>K91+K92</f>
        <v>20382</v>
      </c>
      <c r="M91" s="1306" t="s">
        <v>1174</v>
      </c>
      <c r="N91" s="616" t="s">
        <v>1175</v>
      </c>
      <c r="O91" s="616" t="s">
        <v>1176</v>
      </c>
      <c r="P91" s="616" t="s">
        <v>1138</v>
      </c>
    </row>
    <row r="92" spans="1:16" s="379" customFormat="1">
      <c r="A92" s="182">
        <v>29</v>
      </c>
      <c r="B92" s="611" t="s">
        <v>1060</v>
      </c>
      <c r="C92" s="628">
        <v>7885000000</v>
      </c>
      <c r="D92" s="629">
        <v>120</v>
      </c>
      <c r="E92" s="616" t="s">
        <v>1177</v>
      </c>
      <c r="F92" s="616"/>
      <c r="G92" s="616"/>
      <c r="H92" s="616"/>
      <c r="I92" s="616"/>
      <c r="J92" s="616"/>
      <c r="K92" s="613">
        <f>'RAO HT'!I197</f>
        <v>6117</v>
      </c>
      <c r="L92" s="1305"/>
      <c r="M92" s="1306"/>
      <c r="N92" s="616" t="s">
        <v>1175</v>
      </c>
      <c r="O92" s="616" t="s">
        <v>1176</v>
      </c>
      <c r="P92" s="616" t="s">
        <v>1138</v>
      </c>
    </row>
    <row r="93" spans="1:16" s="379" customFormat="1">
      <c r="A93" s="614">
        <v>30</v>
      </c>
      <c r="B93" s="611" t="s">
        <v>1060</v>
      </c>
      <c r="C93" s="611">
        <v>595012</v>
      </c>
      <c r="D93" s="615">
        <v>100</v>
      </c>
      <c r="E93" s="616" t="s">
        <v>1178</v>
      </c>
      <c r="F93" s="616"/>
      <c r="G93" s="616"/>
      <c r="H93" s="616"/>
      <c r="I93" s="616"/>
      <c r="J93" s="616"/>
      <c r="K93" s="613">
        <f>'RAO HT'!I19</f>
        <v>0</v>
      </c>
      <c r="L93" s="530">
        <f>K93</f>
        <v>0</v>
      </c>
      <c r="M93" s="616" t="s">
        <v>1179</v>
      </c>
      <c r="N93" s="616" t="s">
        <v>1175</v>
      </c>
      <c r="O93" s="616" t="s">
        <v>926</v>
      </c>
      <c r="P93" s="616"/>
    </row>
    <row r="94" spans="1:16" s="379" customFormat="1">
      <c r="A94" s="182">
        <v>31</v>
      </c>
      <c r="B94" s="611" t="s">
        <v>1060</v>
      </c>
      <c r="C94" s="628">
        <v>8913000000</v>
      </c>
      <c r="D94" s="629">
        <v>200</v>
      </c>
      <c r="E94" s="616" t="s">
        <v>1180</v>
      </c>
      <c r="F94" s="616"/>
      <c r="G94" s="616"/>
      <c r="H94" s="616"/>
      <c r="I94" s="616"/>
      <c r="J94" s="616"/>
      <c r="K94" s="613">
        <f>'RAO HT'!I202</f>
        <v>53270</v>
      </c>
      <c r="L94" s="530">
        <f>SUM(K94)</f>
        <v>53270</v>
      </c>
      <c r="M94" s="616" t="s">
        <v>1181</v>
      </c>
      <c r="N94" s="616" t="s">
        <v>1182</v>
      </c>
      <c r="O94" s="616"/>
      <c r="P94" s="616" t="s">
        <v>1138</v>
      </c>
    </row>
    <row r="95" spans="1:16" s="379" customFormat="1">
      <c r="A95" s="182"/>
      <c r="B95" s="611" t="s">
        <v>1060</v>
      </c>
      <c r="C95" s="628"/>
      <c r="D95" s="629"/>
      <c r="E95" s="616" t="s">
        <v>830</v>
      </c>
      <c r="F95" s="616"/>
      <c r="G95" s="616"/>
      <c r="H95" s="616"/>
      <c r="I95" s="616"/>
      <c r="J95" s="616"/>
      <c r="K95" s="613">
        <f>'RAO HT'!I241</f>
        <v>19172</v>
      </c>
      <c r="L95" s="530">
        <f>K95</f>
        <v>19172</v>
      </c>
      <c r="M95" s="616" t="s">
        <v>1183</v>
      </c>
      <c r="N95" s="616" t="s">
        <v>1184</v>
      </c>
      <c r="O95" s="616"/>
      <c r="P95" s="616"/>
    </row>
    <row r="96" spans="1:16" s="379" customFormat="1">
      <c r="A96" s="182"/>
      <c r="B96" s="611" t="s">
        <v>1060</v>
      </c>
      <c r="C96" s="628" t="s">
        <v>857</v>
      </c>
      <c r="D96" s="629"/>
      <c r="E96" s="616" t="s">
        <v>858</v>
      </c>
      <c r="F96" s="616"/>
      <c r="G96" s="616"/>
      <c r="H96" s="616"/>
      <c r="I96" s="616"/>
      <c r="J96" s="616"/>
      <c r="K96" s="613">
        <f>'RAO HT'!I255</f>
        <v>8290</v>
      </c>
      <c r="L96" s="530">
        <f>K96</f>
        <v>8290</v>
      </c>
      <c r="M96" s="616"/>
      <c r="N96" s="616"/>
      <c r="O96" s="616"/>
      <c r="P96" s="616"/>
    </row>
    <row r="97" spans="1:16" s="379" customFormat="1" ht="21">
      <c r="A97" s="614"/>
      <c r="B97" s="611"/>
      <c r="C97" s="611"/>
      <c r="D97" s="615"/>
      <c r="E97" s="616" t="s">
        <v>1185</v>
      </c>
      <c r="F97" s="634"/>
      <c r="G97" s="616"/>
      <c r="H97" s="635"/>
      <c r="I97" s="616"/>
      <c r="J97" s="616"/>
      <c r="K97" s="607">
        <f>SUM(K66:K96)</f>
        <v>800981</v>
      </c>
      <c r="L97" s="636">
        <f>L66+L68+L69+L79+L80+L83+L85+L87+L88+L89+L90+L91+L93+L94+L95+L96</f>
        <v>800981</v>
      </c>
      <c r="M97" s="616"/>
      <c r="N97" s="616"/>
      <c r="O97" s="616"/>
      <c r="P97" s="616"/>
    </row>
    <row r="98" spans="1:16" ht="21">
      <c r="A98" s="637"/>
      <c r="B98" s="637"/>
      <c r="C98" s="637"/>
      <c r="D98" s="637"/>
      <c r="E98" s="638"/>
      <c r="F98" s="639"/>
      <c r="G98" s="640"/>
      <c r="H98" s="641"/>
      <c r="I98" s="640"/>
      <c r="J98" s="640"/>
      <c r="K98" s="607"/>
      <c r="L98" s="642"/>
      <c r="M98" s="640"/>
      <c r="N98" s="640"/>
      <c r="O98" s="640"/>
      <c r="P98" s="640"/>
    </row>
    <row r="99" spans="1:16" ht="15.75">
      <c r="A99" s="182">
        <v>3</v>
      </c>
      <c r="B99" s="400" t="s">
        <v>1060</v>
      </c>
      <c r="C99" s="400">
        <v>596270</v>
      </c>
      <c r="D99" s="329">
        <v>170</v>
      </c>
      <c r="E99" s="604" t="s">
        <v>1186</v>
      </c>
      <c r="F99" s="604"/>
      <c r="G99" s="604"/>
      <c r="H99" s="604"/>
      <c r="I99" s="604"/>
      <c r="J99" s="604"/>
      <c r="K99" s="643">
        <f>'RAO HT'!I94</f>
        <v>40611</v>
      </c>
      <c r="L99" s="1307">
        <f>K99+K100+K101</f>
        <v>182954</v>
      </c>
      <c r="M99" s="1301" t="s">
        <v>1187</v>
      </c>
      <c r="N99" s="616" t="s">
        <v>1172</v>
      </c>
      <c r="O99" s="616" t="s">
        <v>1172</v>
      </c>
      <c r="P99" s="604" t="s">
        <v>81</v>
      </c>
    </row>
    <row r="100" spans="1:16" ht="15.75">
      <c r="A100" s="182">
        <v>4</v>
      </c>
      <c r="B100" s="400" t="s">
        <v>1060</v>
      </c>
      <c r="C100" s="632">
        <v>596383</v>
      </c>
      <c r="D100" s="633">
        <v>250</v>
      </c>
      <c r="E100" s="400" t="s">
        <v>1188</v>
      </c>
      <c r="F100" s="604"/>
      <c r="G100" s="604"/>
      <c r="H100" s="604"/>
      <c r="I100" s="604"/>
      <c r="J100" s="604"/>
      <c r="K100" s="643">
        <f>'RAO HT'!I164</f>
        <v>105079</v>
      </c>
      <c r="L100" s="1307"/>
      <c r="M100" s="1301"/>
      <c r="N100" s="616" t="s">
        <v>1172</v>
      </c>
      <c r="O100" s="616" t="s">
        <v>1172</v>
      </c>
      <c r="P100" s="604"/>
    </row>
    <row r="101" spans="1:16" ht="15.75">
      <c r="A101" s="182">
        <v>5</v>
      </c>
      <c r="B101" s="400" t="s">
        <v>1060</v>
      </c>
      <c r="C101" s="400">
        <v>596387</v>
      </c>
      <c r="D101" s="329">
        <v>150</v>
      </c>
      <c r="E101" s="400" t="s">
        <v>1189</v>
      </c>
      <c r="F101" s="604"/>
      <c r="G101" s="604"/>
      <c r="H101" s="604"/>
      <c r="I101" s="604"/>
      <c r="J101" s="604"/>
      <c r="K101" s="643">
        <f>'RAO HT'!I167</f>
        <v>37264</v>
      </c>
      <c r="L101" s="1307"/>
      <c r="M101" s="1301"/>
      <c r="N101" s="644"/>
      <c r="O101" s="621"/>
      <c r="P101" s="604"/>
    </row>
    <row r="102" spans="1:16" ht="15.75">
      <c r="A102" s="182">
        <v>7</v>
      </c>
      <c r="B102" s="400" t="s">
        <v>1060</v>
      </c>
      <c r="C102" s="473">
        <v>5730170505</v>
      </c>
      <c r="D102" s="645"/>
      <c r="E102" s="646" t="s">
        <v>757</v>
      </c>
      <c r="F102" s="604"/>
      <c r="G102" s="604"/>
      <c r="H102" s="604"/>
      <c r="I102" s="604"/>
      <c r="J102" s="604"/>
      <c r="K102" s="643">
        <f>'RAO HT'!I205</f>
        <v>0</v>
      </c>
      <c r="L102" s="1308">
        <f>K102+K103</f>
        <v>134978</v>
      </c>
      <c r="M102" s="1288" t="s">
        <v>1190</v>
      </c>
      <c r="N102" s="1303" t="s">
        <v>1191</v>
      </c>
      <c r="O102" s="621"/>
      <c r="P102" s="604"/>
    </row>
    <row r="103" spans="1:16">
      <c r="A103" s="182">
        <v>8</v>
      </c>
      <c r="B103" s="400" t="s">
        <v>1060</v>
      </c>
      <c r="C103" s="400">
        <v>596244</v>
      </c>
      <c r="D103" s="329">
        <v>300</v>
      </c>
      <c r="E103" s="604" t="s">
        <v>1192</v>
      </c>
      <c r="F103" s="604"/>
      <c r="G103" s="604"/>
      <c r="H103" s="604"/>
      <c r="I103" s="604"/>
      <c r="J103" s="604"/>
      <c r="K103" s="648">
        <f>'RAO HT'!I79</f>
        <v>134978</v>
      </c>
      <c r="L103" s="1308"/>
      <c r="M103" s="1288"/>
      <c r="N103" s="1303"/>
      <c r="O103" s="621"/>
      <c r="P103" s="604" t="s">
        <v>81</v>
      </c>
    </row>
    <row r="104" spans="1:16" ht="15.75">
      <c r="A104" s="182">
        <v>9</v>
      </c>
      <c r="B104" s="400" t="s">
        <v>1060</v>
      </c>
      <c r="C104" s="400">
        <v>596268</v>
      </c>
      <c r="D104" s="329">
        <v>250</v>
      </c>
      <c r="E104" s="604" t="s">
        <v>1193</v>
      </c>
      <c r="F104" s="604"/>
      <c r="G104" s="604"/>
      <c r="H104" s="604"/>
      <c r="I104" s="604"/>
      <c r="J104" s="604"/>
      <c r="K104" s="643">
        <f>'RAO HT'!I93</f>
        <v>88278</v>
      </c>
      <c r="L104" s="548">
        <f>K104</f>
        <v>88278</v>
      </c>
      <c r="M104" s="1288"/>
      <c r="N104" s="621"/>
      <c r="O104" s="621"/>
      <c r="P104" s="604" t="s">
        <v>81</v>
      </c>
    </row>
    <row r="105" spans="1:16" ht="15.75">
      <c r="A105" s="182">
        <v>10</v>
      </c>
      <c r="B105" s="400" t="s">
        <v>1060</v>
      </c>
      <c r="C105" s="400">
        <v>596151</v>
      </c>
      <c r="D105" s="329">
        <v>60</v>
      </c>
      <c r="E105" s="604" t="s">
        <v>1194</v>
      </c>
      <c r="F105" s="604"/>
      <c r="G105" s="604"/>
      <c r="H105" s="604"/>
      <c r="I105" s="604"/>
      <c r="J105" s="604"/>
      <c r="K105" s="643">
        <f>'RAO HT'!I42</f>
        <v>4398</v>
      </c>
      <c r="L105" s="1304">
        <f>SUM(K105+K106)</f>
        <v>10339</v>
      </c>
      <c r="M105" s="1301" t="s">
        <v>1195</v>
      </c>
      <c r="N105" s="1301" t="s">
        <v>1195</v>
      </c>
      <c r="O105" s="1301" t="s">
        <v>1196</v>
      </c>
      <c r="P105" s="604" t="s">
        <v>81</v>
      </c>
    </row>
    <row r="106" spans="1:16" ht="15.75">
      <c r="A106" s="182">
        <v>11</v>
      </c>
      <c r="B106" s="400" t="s">
        <v>1060</v>
      </c>
      <c r="C106" s="400">
        <v>596282</v>
      </c>
      <c r="D106" s="329">
        <v>50</v>
      </c>
      <c r="E106" s="604" t="s">
        <v>1197</v>
      </c>
      <c r="F106" s="604"/>
      <c r="G106" s="604"/>
      <c r="H106" s="604"/>
      <c r="I106" s="604"/>
      <c r="J106" s="604"/>
      <c r="K106" s="643">
        <f>'RAO HT'!I98</f>
        <v>5941</v>
      </c>
      <c r="L106" s="1304"/>
      <c r="M106" s="1301"/>
      <c r="N106" s="1301"/>
      <c r="O106" s="1301"/>
      <c r="P106" s="604" t="s">
        <v>81</v>
      </c>
    </row>
    <row r="107" spans="1:16" ht="15.75">
      <c r="A107" s="182">
        <v>13</v>
      </c>
      <c r="B107" s="400" t="s">
        <v>1060</v>
      </c>
      <c r="C107" s="632">
        <v>596381</v>
      </c>
      <c r="D107" s="633">
        <v>60</v>
      </c>
      <c r="E107" s="400" t="s">
        <v>1198</v>
      </c>
      <c r="F107" s="182"/>
      <c r="G107" s="604"/>
      <c r="H107" s="604"/>
      <c r="I107" s="604"/>
      <c r="J107" s="604"/>
      <c r="K107" s="643">
        <f>'RAO HT'!I162</f>
        <v>18052</v>
      </c>
      <c r="L107" s="617">
        <f>K107</f>
        <v>18052</v>
      </c>
      <c r="M107" s="647" t="s">
        <v>1199</v>
      </c>
      <c r="N107" s="647" t="s">
        <v>1200</v>
      </c>
      <c r="O107" s="647" t="s">
        <v>1200</v>
      </c>
      <c r="P107" s="604" t="s">
        <v>81</v>
      </c>
    </row>
    <row r="108" spans="1:16" ht="15.75">
      <c r="A108" s="182"/>
      <c r="B108" s="400" t="s">
        <v>1060</v>
      </c>
      <c r="C108" s="632" t="s">
        <v>819</v>
      </c>
      <c r="D108" s="633"/>
      <c r="E108" s="400" t="s">
        <v>820</v>
      </c>
      <c r="F108" s="182"/>
      <c r="G108" s="604"/>
      <c r="H108" s="604"/>
      <c r="I108" s="604"/>
      <c r="J108" s="604"/>
      <c r="K108" s="643">
        <f>'RAO HT'!I236</f>
        <v>0</v>
      </c>
      <c r="L108" s="617">
        <f>K108</f>
        <v>0</v>
      </c>
      <c r="M108" s="647" t="s">
        <v>1191</v>
      </c>
      <c r="N108" s="647"/>
      <c r="O108" s="647"/>
      <c r="P108" s="604"/>
    </row>
    <row r="109" spans="1:16" ht="15.75">
      <c r="A109" s="182"/>
      <c r="B109" s="400" t="s">
        <v>1060</v>
      </c>
      <c r="C109" s="632" t="s">
        <v>837</v>
      </c>
      <c r="D109" s="633"/>
      <c r="E109" s="400" t="s">
        <v>838</v>
      </c>
      <c r="F109" s="182"/>
      <c r="G109" s="604"/>
      <c r="H109" s="604"/>
      <c r="I109" s="604"/>
      <c r="J109" s="604"/>
      <c r="K109" s="643">
        <f>'RAO HT'!I245</f>
        <v>30635</v>
      </c>
      <c r="L109" s="617">
        <f>K109</f>
        <v>30635</v>
      </c>
      <c r="M109" s="647" t="s">
        <v>1201</v>
      </c>
      <c r="N109" s="647"/>
      <c r="O109" s="647"/>
      <c r="P109" s="604"/>
    </row>
    <row r="110" spans="1:16" ht="15.75">
      <c r="A110" s="182"/>
      <c r="B110" s="400"/>
      <c r="C110" s="632" t="s">
        <v>865</v>
      </c>
      <c r="D110" s="633"/>
      <c r="E110" s="400" t="s">
        <v>866</v>
      </c>
      <c r="F110" s="182"/>
      <c r="G110" s="604"/>
      <c r="H110" s="604"/>
      <c r="I110" s="604"/>
      <c r="J110" s="604"/>
      <c r="K110" s="643">
        <f>'RAO HT'!I259</f>
        <v>13877</v>
      </c>
      <c r="L110" s="617">
        <f>K110</f>
        <v>13877</v>
      </c>
      <c r="M110" s="647" t="s">
        <v>1202</v>
      </c>
      <c r="N110" s="647" t="s">
        <v>1203</v>
      </c>
      <c r="O110" s="647"/>
      <c r="P110" s="604"/>
    </row>
    <row r="111" spans="1:16" ht="18.75" customHeight="1">
      <c r="A111" s="182"/>
      <c r="B111" s="400"/>
      <c r="C111" s="400"/>
      <c r="D111" s="400"/>
      <c r="E111" s="604" t="s">
        <v>1204</v>
      </c>
      <c r="F111" s="649"/>
      <c r="G111" s="604"/>
      <c r="H111" s="604"/>
      <c r="I111" s="604"/>
      <c r="J111" s="604"/>
      <c r="K111" s="650">
        <f>SUM(K99:K110)</f>
        <v>479113</v>
      </c>
      <c r="L111" s="557">
        <f>L99+L102+L104+L105+L107+L108+L109+L110</f>
        <v>479113</v>
      </c>
      <c r="M111" s="604"/>
      <c r="N111" s="604"/>
      <c r="O111" s="604"/>
      <c r="P111" s="604"/>
    </row>
    <row r="112" spans="1:16" ht="20.25">
      <c r="A112" s="637"/>
      <c r="B112" s="637"/>
      <c r="C112" s="637"/>
      <c r="D112" s="637"/>
      <c r="E112" s="638"/>
      <c r="F112" s="651"/>
      <c r="G112" s="640"/>
      <c r="H112" s="640"/>
      <c r="I112" s="640"/>
      <c r="J112" s="640"/>
      <c r="K112" s="650"/>
      <c r="L112" s="652"/>
      <c r="M112" s="640"/>
      <c r="N112" s="640"/>
      <c r="O112" s="640"/>
      <c r="P112" s="640"/>
    </row>
    <row r="113" spans="1:16" ht="15.75">
      <c r="A113" s="182"/>
      <c r="B113" s="400"/>
      <c r="C113" s="400"/>
      <c r="D113" s="400"/>
      <c r="E113" s="604" t="s">
        <v>1205</v>
      </c>
      <c r="F113" s="649"/>
      <c r="G113" s="649"/>
      <c r="H113" s="653">
        <v>42186</v>
      </c>
      <c r="I113" s="604"/>
      <c r="J113" s="604"/>
      <c r="K113" s="611"/>
      <c r="L113" s="547"/>
      <c r="M113" s="604"/>
      <c r="N113" s="604"/>
      <c r="O113" s="604"/>
      <c r="P113" s="604"/>
    </row>
    <row r="114" spans="1:16">
      <c r="A114" s="182">
        <v>1</v>
      </c>
      <c r="B114" s="400" t="s">
        <v>1060</v>
      </c>
      <c r="C114" s="400">
        <v>596299</v>
      </c>
      <c r="D114" s="329">
        <v>275</v>
      </c>
      <c r="E114" s="604" t="s">
        <v>1206</v>
      </c>
      <c r="F114" s="604"/>
      <c r="G114" s="604"/>
      <c r="H114" s="604"/>
      <c r="I114" s="604"/>
      <c r="J114" s="604"/>
      <c r="K114" s="654">
        <f>'RAO HT'!I108</f>
        <v>67296</v>
      </c>
      <c r="L114" s="1288">
        <f>K114+K115+K116+K118+K117+K119</f>
        <v>249216</v>
      </c>
      <c r="M114" s="1288" t="s">
        <v>1207</v>
      </c>
      <c r="N114" s="1288" t="s">
        <v>1208</v>
      </c>
      <c r="O114" s="1288" t="s">
        <v>1041</v>
      </c>
      <c r="P114" s="604" t="s">
        <v>83</v>
      </c>
    </row>
    <row r="115" spans="1:16">
      <c r="A115" s="182">
        <v>2</v>
      </c>
      <c r="B115" s="400" t="s">
        <v>1060</v>
      </c>
      <c r="C115" s="400">
        <v>596294</v>
      </c>
      <c r="D115" s="329">
        <v>160</v>
      </c>
      <c r="E115" s="604" t="s">
        <v>1209</v>
      </c>
      <c r="F115" s="604"/>
      <c r="G115" s="604"/>
      <c r="H115" s="604"/>
      <c r="I115" s="604"/>
      <c r="J115" s="604"/>
      <c r="K115" s="654">
        <f>'RAO HT'!I105</f>
        <v>51918</v>
      </c>
      <c r="L115" s="1288"/>
      <c r="M115" s="1288"/>
      <c r="N115" s="1288"/>
      <c r="O115" s="1288"/>
      <c r="P115" s="604" t="s">
        <v>83</v>
      </c>
    </row>
    <row r="116" spans="1:16">
      <c r="A116" s="182">
        <v>3</v>
      </c>
      <c r="B116" s="400" t="s">
        <v>1060</v>
      </c>
      <c r="C116" s="400">
        <v>596364</v>
      </c>
      <c r="D116" s="329">
        <v>100</v>
      </c>
      <c r="E116" s="655" t="s">
        <v>1210</v>
      </c>
      <c r="F116" s="588"/>
      <c r="G116" s="588"/>
      <c r="H116" s="588"/>
      <c r="I116" s="588"/>
      <c r="J116" s="588"/>
      <c r="K116" s="648">
        <f>'RAO HT'!I147</f>
        <v>5969</v>
      </c>
      <c r="L116" s="1288"/>
      <c r="M116" s="1288"/>
      <c r="N116" s="1288"/>
      <c r="O116" s="1288"/>
      <c r="P116" s="400"/>
    </row>
    <row r="117" spans="1:16">
      <c r="A117" s="182"/>
      <c r="B117" s="400"/>
      <c r="C117" s="400"/>
      <c r="D117" s="329"/>
      <c r="E117" s="655" t="s">
        <v>810</v>
      </c>
      <c r="F117" s="588"/>
      <c r="G117" s="588"/>
      <c r="H117" s="588"/>
      <c r="I117" s="588"/>
      <c r="J117" s="588"/>
      <c r="K117" s="648">
        <f>'RAO HT'!I231</f>
        <v>42401</v>
      </c>
      <c r="L117" s="1288"/>
      <c r="M117" s="1288"/>
      <c r="N117" s="1288"/>
      <c r="O117" s="1288"/>
      <c r="P117" s="400"/>
    </row>
    <row r="118" spans="1:16">
      <c r="A118" s="182"/>
      <c r="B118" s="400"/>
      <c r="C118" s="400" t="s">
        <v>845</v>
      </c>
      <c r="D118" s="329"/>
      <c r="E118" s="655" t="s">
        <v>846</v>
      </c>
      <c r="F118" s="588"/>
      <c r="G118" s="588"/>
      <c r="H118" s="588"/>
      <c r="I118" s="588"/>
      <c r="J118" s="588"/>
      <c r="K118" s="648">
        <f>'RAO HT'!I249</f>
        <v>54515</v>
      </c>
      <c r="L118" s="1288"/>
      <c r="M118" s="1288"/>
      <c r="N118" s="1288"/>
      <c r="O118" s="1288"/>
      <c r="P118" s="400"/>
    </row>
    <row r="119" spans="1:16">
      <c r="A119" s="182"/>
      <c r="B119" s="400" t="s">
        <v>1211</v>
      </c>
      <c r="C119" s="400"/>
      <c r="D119" s="329"/>
      <c r="E119" s="655" t="str">
        <f>'RAO HT'!D207</f>
        <v xml:space="preserve">Indian Auto Cables Industries </v>
      </c>
      <c r="F119" s="588"/>
      <c r="G119" s="588"/>
      <c r="H119" s="588"/>
      <c r="I119" s="588"/>
      <c r="J119" s="588"/>
      <c r="K119" s="648">
        <f>'RAO HT'!I207</f>
        <v>27117</v>
      </c>
      <c r="L119" s="1288"/>
      <c r="M119" s="1288"/>
      <c r="N119" s="1288"/>
      <c r="O119" s="1288"/>
      <c r="P119" s="400"/>
    </row>
    <row r="120" spans="1:16">
      <c r="A120" s="182">
        <v>4</v>
      </c>
      <c r="B120" s="400" t="s">
        <v>1060</v>
      </c>
      <c r="C120" s="400">
        <v>596221</v>
      </c>
      <c r="D120" s="329">
        <v>50</v>
      </c>
      <c r="E120" s="604" t="s">
        <v>1212</v>
      </c>
      <c r="F120" s="604"/>
      <c r="G120" s="604"/>
      <c r="H120" s="604"/>
      <c r="I120" s="587"/>
      <c r="J120" s="604"/>
      <c r="K120" s="616">
        <f>'RAO HT'!I71</f>
        <v>0</v>
      </c>
      <c r="L120" s="512">
        <f>K120</f>
        <v>0</v>
      </c>
      <c r="M120" s="604" t="s">
        <v>1213</v>
      </c>
      <c r="N120" s="604" t="s">
        <v>1213</v>
      </c>
      <c r="O120" s="604" t="s">
        <v>1041</v>
      </c>
      <c r="P120" s="604" t="s">
        <v>83</v>
      </c>
    </row>
    <row r="121" spans="1:16">
      <c r="A121" s="182">
        <v>5</v>
      </c>
      <c r="B121" s="400" t="s">
        <v>1060</v>
      </c>
      <c r="C121" s="400">
        <v>573019</v>
      </c>
      <c r="D121" s="329">
        <v>50</v>
      </c>
      <c r="E121" s="604" t="s">
        <v>1214</v>
      </c>
      <c r="F121" s="604"/>
      <c r="G121" s="604"/>
      <c r="H121" s="604"/>
      <c r="I121" s="604"/>
      <c r="J121" s="604"/>
      <c r="K121" s="616">
        <f>'RAO HT'!I15</f>
        <v>63015</v>
      </c>
      <c r="L121" s="502">
        <f>K121</f>
        <v>63015</v>
      </c>
      <c r="M121" s="621" t="s">
        <v>1215</v>
      </c>
      <c r="N121" s="1301" t="s">
        <v>973</v>
      </c>
      <c r="O121" s="1301" t="s">
        <v>973</v>
      </c>
      <c r="P121" s="604" t="s">
        <v>83</v>
      </c>
    </row>
    <row r="122" spans="1:16">
      <c r="A122" s="182">
        <v>6</v>
      </c>
      <c r="B122" s="400" t="s">
        <v>1060</v>
      </c>
      <c r="C122" s="400">
        <v>596267</v>
      </c>
      <c r="D122" s="329">
        <v>200</v>
      </c>
      <c r="E122" s="604" t="s">
        <v>1216</v>
      </c>
      <c r="F122" s="604"/>
      <c r="G122" s="604"/>
      <c r="H122" s="604"/>
      <c r="I122" s="604"/>
      <c r="J122" s="604"/>
      <c r="K122" s="616">
        <f>'RAO HT'!I92</f>
        <v>33293</v>
      </c>
      <c r="L122" s="1288">
        <f>K122+K123+K124</f>
        <v>82499</v>
      </c>
      <c r="M122" s="1301" t="s">
        <v>1217</v>
      </c>
      <c r="N122" s="1301"/>
      <c r="O122" s="1301"/>
      <c r="P122" s="604" t="s">
        <v>83</v>
      </c>
    </row>
    <row r="123" spans="1:16">
      <c r="A123" s="182"/>
      <c r="B123" s="400" t="s">
        <v>1060</v>
      </c>
      <c r="C123" s="400">
        <v>596403</v>
      </c>
      <c r="D123" s="329">
        <v>125</v>
      </c>
      <c r="E123" s="604" t="s">
        <v>1218</v>
      </c>
      <c r="F123" s="604"/>
      <c r="G123" s="604"/>
      <c r="H123" s="604"/>
      <c r="I123" s="604"/>
      <c r="J123" s="604"/>
      <c r="K123" s="616">
        <f>'RAO HT'!I183</f>
        <v>49206</v>
      </c>
      <c r="L123" s="1288"/>
      <c r="M123" s="1301"/>
      <c r="N123" s="1301"/>
      <c r="O123" s="1301"/>
      <c r="P123" s="604"/>
    </row>
    <row r="124" spans="1:16">
      <c r="A124" s="182">
        <v>7</v>
      </c>
      <c r="B124" s="400" t="s">
        <v>1060</v>
      </c>
      <c r="C124" s="400">
        <v>596297</v>
      </c>
      <c r="D124" s="329">
        <v>100</v>
      </c>
      <c r="E124" s="604" t="s">
        <v>1219</v>
      </c>
      <c r="F124" s="604"/>
      <c r="G124" s="604"/>
      <c r="H124" s="604"/>
      <c r="I124" s="604"/>
      <c r="J124" s="604"/>
      <c r="K124" s="616">
        <f>'RAO HT'!I107</f>
        <v>0</v>
      </c>
      <c r="L124" s="1288"/>
      <c r="M124" s="1301"/>
      <c r="N124" s="1301"/>
      <c r="O124" s="1301"/>
      <c r="P124" s="604" t="s">
        <v>83</v>
      </c>
    </row>
    <row r="125" spans="1:16">
      <c r="A125" s="182">
        <v>8</v>
      </c>
      <c r="B125" s="400" t="s">
        <v>1060</v>
      </c>
      <c r="C125" s="400">
        <v>596319</v>
      </c>
      <c r="D125" s="329">
        <v>300</v>
      </c>
      <c r="E125" s="604" t="s">
        <v>1220</v>
      </c>
      <c r="F125" s="604"/>
      <c r="G125" s="604"/>
      <c r="H125" s="604"/>
      <c r="I125" s="604"/>
      <c r="J125" s="604"/>
      <c r="K125" s="654">
        <f>'RAO HT'!I124</f>
        <v>81768</v>
      </c>
      <c r="L125" s="1288">
        <f>K125+K126</f>
        <v>109582</v>
      </c>
      <c r="M125" s="1288" t="s">
        <v>1221</v>
      </c>
      <c r="N125" s="1301"/>
      <c r="O125" s="1301"/>
      <c r="P125" s="604" t="s">
        <v>83</v>
      </c>
    </row>
    <row r="126" spans="1:16">
      <c r="A126" s="182"/>
      <c r="B126" s="400"/>
      <c r="C126" s="400"/>
      <c r="D126" s="329"/>
      <c r="E126" s="604" t="s">
        <v>1220</v>
      </c>
      <c r="F126" s="604"/>
      <c r="G126" s="604"/>
      <c r="H126" s="604"/>
      <c r="I126" s="604"/>
      <c r="J126" s="604"/>
      <c r="K126" s="654">
        <f>'RAO HT'!I222</f>
        <v>27814</v>
      </c>
      <c r="L126" s="1288"/>
      <c r="M126" s="1288"/>
      <c r="N126" s="1301"/>
      <c r="O126" s="1301"/>
      <c r="P126" s="604"/>
    </row>
    <row r="127" spans="1:16">
      <c r="A127" s="182">
        <v>9</v>
      </c>
      <c r="B127" s="400" t="s">
        <v>1060</v>
      </c>
      <c r="C127" s="400">
        <v>596402</v>
      </c>
      <c r="D127" s="329"/>
      <c r="E127" s="604" t="s">
        <v>1222</v>
      </c>
      <c r="F127" s="604"/>
      <c r="G127" s="604"/>
      <c r="H127" s="604"/>
      <c r="I127" s="604"/>
      <c r="J127" s="604"/>
      <c r="K127" s="654">
        <f>'RAO HT'!I182</f>
        <v>23748</v>
      </c>
      <c r="L127" s="656">
        <f>K127</f>
        <v>23748</v>
      </c>
      <c r="M127" s="644" t="s">
        <v>1223</v>
      </c>
      <c r="N127" s="1301"/>
      <c r="O127" s="1301"/>
      <c r="P127" s="604" t="s">
        <v>83</v>
      </c>
    </row>
    <row r="128" spans="1:16" ht="15" customHeight="1">
      <c r="A128" s="182">
        <v>10</v>
      </c>
      <c r="B128" s="400" t="s">
        <v>1060</v>
      </c>
      <c r="C128" s="400">
        <v>508008</v>
      </c>
      <c r="D128" s="329">
        <v>500</v>
      </c>
      <c r="E128" s="604" t="s">
        <v>1224</v>
      </c>
      <c r="F128" s="604"/>
      <c r="G128" s="604"/>
      <c r="H128" s="604"/>
      <c r="I128" s="604"/>
      <c r="J128" s="604"/>
      <c r="K128" s="616">
        <f>'RAO HT'!I8</f>
        <v>163148</v>
      </c>
      <c r="L128" s="1288">
        <f>K128+K129+K130+K131</f>
        <v>243445</v>
      </c>
      <c r="M128" s="1302" t="s">
        <v>1225</v>
      </c>
      <c r="N128" s="1301"/>
      <c r="O128" s="1301"/>
      <c r="P128" s="604" t="s">
        <v>83</v>
      </c>
    </row>
    <row r="129" spans="1:18">
      <c r="A129" s="182">
        <v>11</v>
      </c>
      <c r="B129" s="400" t="s">
        <v>1060</v>
      </c>
      <c r="C129" s="400">
        <v>596069</v>
      </c>
      <c r="D129" s="329">
        <v>200</v>
      </c>
      <c r="E129" s="604" t="s">
        <v>1226</v>
      </c>
      <c r="F129" s="604"/>
      <c r="G129" s="604"/>
      <c r="H129" s="604"/>
      <c r="I129" s="604"/>
      <c r="J129" s="604"/>
      <c r="K129" s="616">
        <f>'RAO HT'!I21</f>
        <v>33588</v>
      </c>
      <c r="L129" s="1288"/>
      <c r="M129" s="1302"/>
      <c r="N129" s="1301"/>
      <c r="O129" s="1301"/>
      <c r="P129" s="604" t="s">
        <v>83</v>
      </c>
    </row>
    <row r="130" spans="1:18">
      <c r="A130" s="182"/>
      <c r="B130" s="400"/>
      <c r="C130" s="400"/>
      <c r="D130" s="329"/>
      <c r="E130" s="133" t="s">
        <v>787</v>
      </c>
      <c r="F130" s="604"/>
      <c r="G130" s="604"/>
      <c r="H130" s="604"/>
      <c r="I130" s="604"/>
      <c r="J130" s="604"/>
      <c r="K130" s="616">
        <f>'RAO HT'!I220</f>
        <v>24003</v>
      </c>
      <c r="L130" s="1288"/>
      <c r="M130" s="1302"/>
      <c r="N130" s="1301"/>
      <c r="O130" s="1301"/>
      <c r="P130" s="604"/>
    </row>
    <row r="131" spans="1:18">
      <c r="A131" s="182">
        <v>12</v>
      </c>
      <c r="B131" s="400" t="s">
        <v>1060</v>
      </c>
      <c r="C131" s="400">
        <v>596128</v>
      </c>
      <c r="D131" s="329">
        <v>300</v>
      </c>
      <c r="E131" s="604" t="s">
        <v>1227</v>
      </c>
      <c r="F131" s="604"/>
      <c r="G131" s="604"/>
      <c r="H131" s="604"/>
      <c r="I131" s="604"/>
      <c r="J131" s="604"/>
      <c r="K131" s="616">
        <f>'RAO HT'!I31</f>
        <v>22706</v>
      </c>
      <c r="L131" s="1288"/>
      <c r="M131" s="1302"/>
      <c r="N131" s="1301"/>
      <c r="O131" s="1301"/>
      <c r="P131" s="604" t="s">
        <v>83</v>
      </c>
      <c r="R131" t="s">
        <v>1228</v>
      </c>
    </row>
    <row r="132" spans="1:18">
      <c r="A132" s="182">
        <v>13</v>
      </c>
      <c r="B132" s="400" t="s">
        <v>1060</v>
      </c>
      <c r="C132" s="400">
        <v>596140</v>
      </c>
      <c r="D132" s="329">
        <v>300</v>
      </c>
      <c r="E132" s="604" t="s">
        <v>1229</v>
      </c>
      <c r="F132" s="604"/>
      <c r="G132" s="604"/>
      <c r="H132" s="604"/>
      <c r="I132" s="604"/>
      <c r="J132" s="604"/>
      <c r="K132" s="616">
        <f>'RAO HT'!I35</f>
        <v>128628</v>
      </c>
      <c r="L132" s="1288">
        <f>SUM(K132+K133+K134+K135+K136)</f>
        <v>192747</v>
      </c>
      <c r="M132" s="1301" t="s">
        <v>1230</v>
      </c>
      <c r="N132" s="1301" t="s">
        <v>220</v>
      </c>
      <c r="O132" s="1301" t="s">
        <v>220</v>
      </c>
      <c r="P132" s="604" t="s">
        <v>83</v>
      </c>
    </row>
    <row r="133" spans="1:18">
      <c r="A133" s="182">
        <v>14</v>
      </c>
      <c r="B133" s="400" t="s">
        <v>1060</v>
      </c>
      <c r="C133" s="400">
        <v>504028</v>
      </c>
      <c r="D133" s="329">
        <v>136</v>
      </c>
      <c r="E133" s="604" t="s">
        <v>1231</v>
      </c>
      <c r="F133" s="604"/>
      <c r="G133" s="604"/>
      <c r="H133" s="604"/>
      <c r="I133" s="604"/>
      <c r="J133" s="604"/>
      <c r="K133" s="616">
        <f>'RAO HT'!I5</f>
        <v>5582</v>
      </c>
      <c r="L133" s="1288"/>
      <c r="M133" s="1301"/>
      <c r="N133" s="1301"/>
      <c r="O133" s="1301"/>
      <c r="P133" s="604" t="s">
        <v>83</v>
      </c>
    </row>
    <row r="134" spans="1:18">
      <c r="A134" s="182">
        <v>15</v>
      </c>
      <c r="B134" s="400" t="s">
        <v>1060</v>
      </c>
      <c r="C134" s="400">
        <v>574011</v>
      </c>
      <c r="D134" s="329">
        <v>60</v>
      </c>
      <c r="E134" s="604" t="s">
        <v>1232</v>
      </c>
      <c r="F134" s="604"/>
      <c r="G134" s="604"/>
      <c r="H134" s="604"/>
      <c r="I134" s="604"/>
      <c r="J134" s="604"/>
      <c r="K134" s="616">
        <f>'RAO HT'!I16</f>
        <v>7063</v>
      </c>
      <c r="L134" s="1288"/>
      <c r="M134" s="1301"/>
      <c r="N134" s="1301"/>
      <c r="O134" s="1301"/>
      <c r="P134" s="604" t="s">
        <v>83</v>
      </c>
    </row>
    <row r="135" spans="1:18">
      <c r="A135" s="182">
        <v>16</v>
      </c>
      <c r="B135" s="400" t="s">
        <v>1060</v>
      </c>
      <c r="C135" s="400">
        <v>596219</v>
      </c>
      <c r="D135" s="329">
        <v>162</v>
      </c>
      <c r="E135" s="604" t="s">
        <v>1233</v>
      </c>
      <c r="F135" s="604"/>
      <c r="G135" s="604"/>
      <c r="H135" s="604"/>
      <c r="I135" s="604"/>
      <c r="J135" s="604"/>
      <c r="K135" s="616">
        <f>'RAO HT'!I70</f>
        <v>19691</v>
      </c>
      <c r="L135" s="1288"/>
      <c r="M135" s="1301"/>
      <c r="N135" s="1301"/>
      <c r="O135" s="1301"/>
      <c r="P135" s="604" t="s">
        <v>83</v>
      </c>
    </row>
    <row r="136" spans="1:18">
      <c r="A136" s="182">
        <v>17</v>
      </c>
      <c r="B136" s="400" t="s">
        <v>1060</v>
      </c>
      <c r="C136" s="400">
        <v>596343</v>
      </c>
      <c r="D136" s="329">
        <v>125</v>
      </c>
      <c r="E136" s="604" t="s">
        <v>1234</v>
      </c>
      <c r="F136" s="604"/>
      <c r="G136" s="604"/>
      <c r="H136" s="604"/>
      <c r="I136" s="604"/>
      <c r="J136" s="604"/>
      <c r="K136" s="616">
        <f>'RAO HT'!I144</f>
        <v>31783</v>
      </c>
      <c r="L136" s="1288"/>
      <c r="M136" s="1301"/>
      <c r="N136" s="1301"/>
      <c r="O136" s="1301"/>
      <c r="P136" s="604" t="s">
        <v>83</v>
      </c>
    </row>
    <row r="137" spans="1:18">
      <c r="A137" s="182">
        <v>18</v>
      </c>
      <c r="B137" s="400" t="s">
        <v>1060</v>
      </c>
      <c r="C137" s="400">
        <v>596288</v>
      </c>
      <c r="D137" s="329">
        <v>280</v>
      </c>
      <c r="E137" s="604" t="s">
        <v>1235</v>
      </c>
      <c r="F137" s="604"/>
      <c r="G137" s="604"/>
      <c r="H137" s="604"/>
      <c r="I137" s="587"/>
      <c r="J137" s="604"/>
      <c r="K137" s="616">
        <f>'RAO HT'!I101</f>
        <v>108528</v>
      </c>
      <c r="L137" s="512">
        <f>K137</f>
        <v>108528</v>
      </c>
      <c r="M137" s="587" t="s">
        <v>1236</v>
      </c>
      <c r="N137" s="1301"/>
      <c r="O137" s="1301"/>
      <c r="P137" s="604" t="s">
        <v>83</v>
      </c>
    </row>
    <row r="138" spans="1:18">
      <c r="A138" s="182">
        <v>19</v>
      </c>
      <c r="B138" s="400" t="s">
        <v>1060</v>
      </c>
      <c r="C138" s="400">
        <v>596377</v>
      </c>
      <c r="D138" s="329">
        <v>130</v>
      </c>
      <c r="E138" s="604" t="s">
        <v>1237</v>
      </c>
      <c r="F138" s="604"/>
      <c r="G138" s="604"/>
      <c r="H138" s="604"/>
      <c r="I138" s="587"/>
      <c r="J138" s="604"/>
      <c r="K138" s="616">
        <f>'RAO HT'!I158</f>
        <v>0</v>
      </c>
      <c r="L138" s="512">
        <f>K138</f>
        <v>0</v>
      </c>
      <c r="M138" s="587" t="s">
        <v>1238</v>
      </c>
      <c r="N138" s="1301"/>
      <c r="O138" s="1301"/>
      <c r="P138" s="604"/>
    </row>
    <row r="139" spans="1:18" ht="15.75" customHeight="1">
      <c r="A139" s="182">
        <v>21</v>
      </c>
      <c r="B139" s="400" t="s">
        <v>1060</v>
      </c>
      <c r="C139" s="400">
        <v>596154</v>
      </c>
      <c r="D139" s="329">
        <v>125</v>
      </c>
      <c r="E139" s="604" t="s">
        <v>1239</v>
      </c>
      <c r="F139" s="604"/>
      <c r="G139" s="604"/>
      <c r="H139" s="604"/>
      <c r="I139" s="604"/>
      <c r="J139" s="604"/>
      <c r="K139" s="616">
        <f>'RAO HT'!I45</f>
        <v>22221</v>
      </c>
      <c r="L139" s="1288">
        <f>SUM(K139:K142)</f>
        <v>111181</v>
      </c>
      <c r="M139" s="1301" t="s">
        <v>1240</v>
      </c>
      <c r="N139" s="1291" t="s">
        <v>222</v>
      </c>
      <c r="O139" s="1291" t="s">
        <v>222</v>
      </c>
      <c r="P139" s="604" t="s">
        <v>83</v>
      </c>
    </row>
    <row r="140" spans="1:18" ht="17.25" customHeight="1">
      <c r="A140" s="182">
        <v>22</v>
      </c>
      <c r="B140" s="400" t="s">
        <v>1060</v>
      </c>
      <c r="C140" s="400">
        <v>596150</v>
      </c>
      <c r="D140" s="329">
        <v>125</v>
      </c>
      <c r="E140" s="604" t="s">
        <v>1241</v>
      </c>
      <c r="F140" s="604"/>
      <c r="G140" s="604"/>
      <c r="H140" s="604"/>
      <c r="I140" s="604"/>
      <c r="J140" s="604"/>
      <c r="K140" s="616">
        <f>'RAO HT'!I41</f>
        <v>20935</v>
      </c>
      <c r="L140" s="1288"/>
      <c r="M140" s="1301"/>
      <c r="N140" s="1291"/>
      <c r="O140" s="1291"/>
      <c r="P140" s="604" t="s">
        <v>83</v>
      </c>
    </row>
    <row r="141" spans="1:18" ht="17.25" customHeight="1">
      <c r="A141" s="182">
        <v>25</v>
      </c>
      <c r="B141" s="400" t="s">
        <v>1060</v>
      </c>
      <c r="C141" s="400"/>
      <c r="D141" s="329"/>
      <c r="E141" s="604" t="s">
        <v>808</v>
      </c>
      <c r="F141" s="604"/>
      <c r="G141" s="604"/>
      <c r="H141" s="604"/>
      <c r="I141" s="604"/>
      <c r="J141" s="604"/>
      <c r="K141" s="616">
        <f>'RAO HT'!I230</f>
        <v>68025</v>
      </c>
      <c r="L141" s="1288"/>
      <c r="M141" s="1301"/>
      <c r="N141" s="1291"/>
      <c r="O141" s="1291"/>
      <c r="P141" s="604"/>
    </row>
    <row r="142" spans="1:18" ht="17.25" customHeight="1">
      <c r="A142" s="182">
        <v>23</v>
      </c>
      <c r="B142" s="400" t="s">
        <v>1060</v>
      </c>
      <c r="C142" s="400">
        <v>596373</v>
      </c>
      <c r="D142" s="329">
        <v>50</v>
      </c>
      <c r="E142" s="657" t="s">
        <v>1242</v>
      </c>
      <c r="F142" s="658"/>
      <c r="G142" s="604"/>
      <c r="H142" s="604"/>
      <c r="I142" s="604"/>
      <c r="J142" s="604"/>
      <c r="K142" s="616">
        <f>'RAO HT'!I155</f>
        <v>0</v>
      </c>
      <c r="L142" s="1288"/>
      <c r="M142" s="1301"/>
      <c r="N142" s="1291"/>
      <c r="O142" s="1291"/>
      <c r="P142" s="604"/>
    </row>
    <row r="143" spans="1:18" ht="18" customHeight="1">
      <c r="A143" s="182">
        <v>24</v>
      </c>
      <c r="B143" s="400" t="s">
        <v>1060</v>
      </c>
      <c r="C143" s="400">
        <v>596322</v>
      </c>
      <c r="D143" s="329">
        <v>60</v>
      </c>
      <c r="E143" s="604" t="s">
        <v>1243</v>
      </c>
      <c r="F143" s="604"/>
      <c r="G143" s="604"/>
      <c r="H143" s="604"/>
      <c r="I143" s="604"/>
      <c r="J143" s="604"/>
      <c r="K143" s="616">
        <f>'RAO HT'!I127</f>
        <v>4765</v>
      </c>
      <c r="L143" s="512">
        <f>K143</f>
        <v>4765</v>
      </c>
      <c r="M143" s="604" t="s">
        <v>1244</v>
      </c>
      <c r="N143" s="1291"/>
      <c r="O143" s="1291"/>
      <c r="P143" s="604" t="s">
        <v>83</v>
      </c>
    </row>
    <row r="144" spans="1:18" ht="18" customHeight="1">
      <c r="A144" s="182"/>
      <c r="B144" s="400" t="s">
        <v>1060</v>
      </c>
      <c r="C144" s="440" t="s">
        <v>817</v>
      </c>
      <c r="D144" s="329"/>
      <c r="E144" s="248" t="s">
        <v>818</v>
      </c>
      <c r="F144" s="604"/>
      <c r="G144" s="604"/>
      <c r="H144" s="604"/>
      <c r="I144" s="604"/>
      <c r="J144" s="604"/>
      <c r="K144" s="616">
        <f>'RAO HT'!I235</f>
        <v>19025</v>
      </c>
      <c r="L144" s="512">
        <f>K144</f>
        <v>19025</v>
      </c>
      <c r="M144" s="604" t="s">
        <v>1245</v>
      </c>
      <c r="N144" s="1291"/>
      <c r="O144" s="1291"/>
      <c r="P144" s="604"/>
    </row>
    <row r="145" spans="1:16" ht="18.75">
      <c r="A145" s="182"/>
      <c r="B145" s="400"/>
      <c r="C145" s="400"/>
      <c r="D145" s="400"/>
      <c r="E145" s="604" t="s">
        <v>1246</v>
      </c>
      <c r="F145" s="604"/>
      <c r="G145" s="604"/>
      <c r="H145" s="604"/>
      <c r="I145" s="587"/>
      <c r="J145" s="604"/>
      <c r="K145" s="659">
        <f>SUM(K114:K144)</f>
        <v>1207751</v>
      </c>
      <c r="L145" s="660">
        <f>SUM(L114:L144)</f>
        <v>1207751</v>
      </c>
      <c r="M145" s="182"/>
      <c r="N145" s="182"/>
      <c r="O145" s="182"/>
      <c r="P145" s="182"/>
    </row>
    <row r="146" spans="1:16" ht="18.75">
      <c r="A146" s="637"/>
      <c r="B146" s="637"/>
      <c r="C146" s="637"/>
      <c r="D146" s="637"/>
      <c r="E146" s="638"/>
      <c r="F146" s="640"/>
      <c r="G146" s="640"/>
      <c r="H146" s="640"/>
      <c r="I146" s="661"/>
      <c r="J146" s="640"/>
      <c r="K146" s="659"/>
      <c r="L146" s="662"/>
      <c r="M146" s="640"/>
      <c r="N146" s="640"/>
      <c r="O146" s="640"/>
      <c r="P146" s="640"/>
    </row>
    <row r="147" spans="1:16">
      <c r="A147" s="182"/>
      <c r="B147" s="182"/>
      <c r="C147" s="182"/>
      <c r="D147" s="182"/>
      <c r="E147" s="609"/>
      <c r="F147" s="604"/>
      <c r="G147" s="604"/>
      <c r="H147" s="604"/>
      <c r="I147" s="587"/>
      <c r="J147" s="604"/>
      <c r="K147" s="616"/>
      <c r="L147" s="502" t="s">
        <v>80</v>
      </c>
      <c r="M147" s="604" t="s">
        <v>81</v>
      </c>
      <c r="N147" s="604" t="s">
        <v>82</v>
      </c>
      <c r="O147" s="604" t="s">
        <v>83</v>
      </c>
      <c r="P147" s="663" t="s">
        <v>71</v>
      </c>
    </row>
    <row r="148" spans="1:16">
      <c r="A148" s="182">
        <v>114</v>
      </c>
      <c r="B148" s="182"/>
      <c r="C148" s="182"/>
      <c r="D148" s="182"/>
      <c r="E148" s="609" t="s">
        <v>1247</v>
      </c>
      <c r="F148" s="604"/>
      <c r="G148" s="604"/>
      <c r="H148" s="604"/>
      <c r="I148" s="587"/>
      <c r="J148" s="604" t="s">
        <v>1051</v>
      </c>
      <c r="K148" s="616">
        <f>K63+K97+K111+K145</f>
        <v>4165680</v>
      </c>
      <c r="L148" s="502">
        <f>K97</f>
        <v>800981</v>
      </c>
      <c r="M148" s="604">
        <f>L111</f>
        <v>479113</v>
      </c>
      <c r="N148" s="604">
        <f>L63</f>
        <v>1677835</v>
      </c>
      <c r="O148" s="604">
        <f>L145</f>
        <v>1207751</v>
      </c>
      <c r="P148" s="182">
        <f>SUM(L148:O148)</f>
        <v>4165680</v>
      </c>
    </row>
    <row r="150" spans="1:16">
      <c r="B150" s="136" t="s">
        <v>1060</v>
      </c>
      <c r="C150">
        <v>596326</v>
      </c>
      <c r="D150">
        <v>160</v>
      </c>
      <c r="E150" s="378" t="s">
        <v>1098</v>
      </c>
      <c r="K150" s="379">
        <v>8657</v>
      </c>
    </row>
    <row r="151" spans="1:16">
      <c r="B151" s="136" t="s">
        <v>1060</v>
      </c>
      <c r="C151">
        <v>596328</v>
      </c>
      <c r="D151">
        <v>50</v>
      </c>
      <c r="E151" s="378" t="s">
        <v>1097</v>
      </c>
      <c r="K151" s="379">
        <v>0</v>
      </c>
      <c r="P151">
        <v>4155828</v>
      </c>
    </row>
    <row r="152" spans="1:16">
      <c r="O152">
        <v>1576862</v>
      </c>
    </row>
    <row r="153" spans="1:16">
      <c r="O153">
        <f>N148-O152</f>
        <v>100973</v>
      </c>
    </row>
    <row r="157" spans="1:16">
      <c r="L157" s="136">
        <v>3173378</v>
      </c>
    </row>
    <row r="159" spans="1:16">
      <c r="L159" s="136">
        <f>L157-P148</f>
        <v>-992302</v>
      </c>
    </row>
  </sheetData>
  <mergeCells count="71">
    <mergeCell ref="A1:P1"/>
    <mergeCell ref="A2:L2"/>
    <mergeCell ref="N4:N5"/>
    <mergeCell ref="O4:O5"/>
    <mergeCell ref="L8:L11"/>
    <mergeCell ref="M8:M11"/>
    <mergeCell ref="L13:L28"/>
    <mergeCell ref="M13:M28"/>
    <mergeCell ref="L29:L30"/>
    <mergeCell ref="M29:M31"/>
    <mergeCell ref="N29:N31"/>
    <mergeCell ref="L32:L36"/>
    <mergeCell ref="M32:M36"/>
    <mergeCell ref="N32:N36"/>
    <mergeCell ref="L37:L38"/>
    <mergeCell ref="M37:M38"/>
    <mergeCell ref="N37:N38"/>
    <mergeCell ref="L39:L43"/>
    <mergeCell ref="M39:M43"/>
    <mergeCell ref="N39:N43"/>
    <mergeCell ref="L45:L47"/>
    <mergeCell ref="M45:M47"/>
    <mergeCell ref="N45:N47"/>
    <mergeCell ref="L49:L57"/>
    <mergeCell ref="M49:M57"/>
    <mergeCell ref="N49:N57"/>
    <mergeCell ref="L59:L60"/>
    <mergeCell ref="A64:P64"/>
    <mergeCell ref="L66:L67"/>
    <mergeCell ref="M66:M67"/>
    <mergeCell ref="L69:L78"/>
    <mergeCell ref="M69:M78"/>
    <mergeCell ref="N69:N78"/>
    <mergeCell ref="O69:O78"/>
    <mergeCell ref="L80:L82"/>
    <mergeCell ref="L83:L84"/>
    <mergeCell ref="M83:M84"/>
    <mergeCell ref="N83:N87"/>
    <mergeCell ref="L85:L86"/>
    <mergeCell ref="M85:M86"/>
    <mergeCell ref="L91:L92"/>
    <mergeCell ref="M91:M92"/>
    <mergeCell ref="L99:L101"/>
    <mergeCell ref="M99:M101"/>
    <mergeCell ref="L102:L103"/>
    <mergeCell ref="M102:M104"/>
    <mergeCell ref="N102:N103"/>
    <mergeCell ref="L105:L106"/>
    <mergeCell ref="M105:M106"/>
    <mergeCell ref="N105:N106"/>
    <mergeCell ref="O105:O106"/>
    <mergeCell ref="L114:L119"/>
    <mergeCell ref="M114:M119"/>
    <mergeCell ref="N114:N119"/>
    <mergeCell ref="O114:O119"/>
    <mergeCell ref="N121:N131"/>
    <mergeCell ref="O121:O131"/>
    <mergeCell ref="L122:L124"/>
    <mergeCell ref="M122:M124"/>
    <mergeCell ref="L125:L126"/>
    <mergeCell ref="M125:M126"/>
    <mergeCell ref="L128:L131"/>
    <mergeCell ref="M128:M131"/>
    <mergeCell ref="L132:L136"/>
    <mergeCell ref="M132:M136"/>
    <mergeCell ref="N132:N138"/>
    <mergeCell ref="O132:O138"/>
    <mergeCell ref="L139:L142"/>
    <mergeCell ref="M139:M142"/>
    <mergeCell ref="N139:N144"/>
    <mergeCell ref="O139:O144"/>
  </mergeCells>
  <conditionalFormatting sqref="C144">
    <cfRule type="duplicateValues" dxfId="6" priority="2"/>
  </conditionalFormatting>
  <conditionalFormatting sqref="C81">
    <cfRule type="duplicateValues" dxfId="5" priority="3"/>
  </conditionalFormatting>
  <printOptions horizontalCentered="1" verticalCentered="1"/>
  <pageMargins left="0" right="0" top="0" bottom="0" header="0.51180555555555496" footer="0.51180555555555496"/>
  <pageSetup paperSize="9" firstPageNumber="0" fitToHeight="2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25"/>
  <sheetViews>
    <sheetView topLeftCell="C1" zoomScale="70" zoomScaleNormal="70" workbookViewId="0">
      <selection activeCell="J6" sqref="J6:J7"/>
    </sheetView>
  </sheetViews>
  <sheetFormatPr defaultRowHeight="15"/>
  <cols>
    <col min="1" max="1" width="5.140625" customWidth="1"/>
    <col min="2" max="2" width="35.7109375" customWidth="1"/>
    <col min="3" max="3" width="30.5703125" bestFit="1" customWidth="1"/>
    <col min="4" max="4" width="20.5703125" bestFit="1" customWidth="1"/>
    <col min="5" max="5" width="37.42578125" bestFit="1" customWidth="1"/>
    <col min="6" max="6" width="26.85546875" customWidth="1"/>
    <col min="7" max="7" width="20.140625" customWidth="1"/>
    <col min="8" max="8" width="25.140625" customWidth="1"/>
    <col min="9" max="9" width="21" customWidth="1"/>
    <col min="10" max="10" width="20.85546875" customWidth="1"/>
    <col min="11" max="11" width="26.85546875" customWidth="1"/>
    <col min="12" max="12" width="29.5703125" customWidth="1"/>
    <col min="13" max="14" width="26.85546875" customWidth="1"/>
    <col min="15" max="16" width="22.42578125" customWidth="1"/>
    <col min="17" max="1025" width="8.7109375" customWidth="1"/>
  </cols>
  <sheetData>
    <row r="1" spans="1:16">
      <c r="A1" t="s">
        <v>1248</v>
      </c>
    </row>
    <row r="2" spans="1:16" ht="25.9" customHeight="1">
      <c r="A2" s="1331"/>
      <c r="B2" s="1331"/>
      <c r="C2" s="1331"/>
      <c r="D2" s="1331"/>
      <c r="E2" s="1331"/>
      <c r="F2" s="1331"/>
      <c r="G2" s="1331"/>
      <c r="H2" s="1331"/>
      <c r="I2" s="1331"/>
      <c r="J2" s="1331"/>
      <c r="K2" s="1331"/>
      <c r="L2" s="1331"/>
      <c r="M2" s="1332" t="str">
        <f>'CIRCLE INPUT'!Q3</f>
        <v>OCT.2024</v>
      </c>
      <c r="N2" s="1332"/>
      <c r="O2" s="1332"/>
      <c r="P2" s="1332"/>
    </row>
    <row r="3" spans="1:16" ht="15" customHeight="1">
      <c r="A3" s="1330" t="s">
        <v>1249</v>
      </c>
      <c r="B3" s="1330" t="s">
        <v>901</v>
      </c>
      <c r="C3" s="1330" t="s">
        <v>1250</v>
      </c>
      <c r="D3" s="1330" t="s">
        <v>1251</v>
      </c>
      <c r="E3" s="1330" t="s">
        <v>1252</v>
      </c>
      <c r="F3" s="1330" t="s">
        <v>1253</v>
      </c>
      <c r="G3" s="1330" t="s">
        <v>1254</v>
      </c>
      <c r="H3" s="1330" t="s">
        <v>1255</v>
      </c>
      <c r="I3" s="1330" t="s">
        <v>1256</v>
      </c>
      <c r="J3" s="1330" t="s">
        <v>1257</v>
      </c>
      <c r="K3" s="1330" t="s">
        <v>1258</v>
      </c>
      <c r="L3" s="1330" t="s">
        <v>1259</v>
      </c>
      <c r="M3" s="1330" t="s">
        <v>1260</v>
      </c>
      <c r="N3" s="1330" t="s">
        <v>1261</v>
      </c>
      <c r="O3" s="1330" t="s">
        <v>1262</v>
      </c>
      <c r="P3" s="1330" t="s">
        <v>1263</v>
      </c>
    </row>
    <row r="4" spans="1:16" ht="93" customHeight="1">
      <c r="A4" s="1330"/>
      <c r="B4" s="1330"/>
      <c r="C4" s="1330"/>
      <c r="D4" s="1330"/>
      <c r="E4" s="1330"/>
      <c r="F4" s="1330"/>
      <c r="G4" s="1330"/>
      <c r="H4" s="1330"/>
      <c r="I4" s="1330"/>
      <c r="J4" s="1330"/>
      <c r="K4" s="1330"/>
      <c r="L4" s="1330"/>
      <c r="M4" s="1330"/>
      <c r="N4" s="1330"/>
      <c r="O4" s="1330"/>
      <c r="P4" s="1330"/>
    </row>
    <row r="5" spans="1:16" ht="26.25">
      <c r="A5" s="664">
        <v>1</v>
      </c>
      <c r="B5" s="664">
        <v>2</v>
      </c>
      <c r="C5" s="664">
        <v>3</v>
      </c>
      <c r="D5" s="664">
        <v>4</v>
      </c>
      <c r="E5" s="664">
        <v>5</v>
      </c>
      <c r="F5" s="664">
        <v>6</v>
      </c>
      <c r="G5" s="664">
        <v>7</v>
      </c>
      <c r="H5" s="664">
        <v>8</v>
      </c>
      <c r="I5" s="664">
        <v>9</v>
      </c>
      <c r="J5" s="664">
        <v>10</v>
      </c>
      <c r="K5" s="664">
        <v>11</v>
      </c>
      <c r="L5" s="664">
        <v>12</v>
      </c>
      <c r="M5" s="664">
        <v>13</v>
      </c>
      <c r="N5" s="664">
        <v>14</v>
      </c>
      <c r="O5" s="664">
        <v>15</v>
      </c>
      <c r="P5" s="664">
        <v>16</v>
      </c>
    </row>
    <row r="6" spans="1:16" ht="41.25" customHeight="1">
      <c r="A6" s="1327">
        <v>1</v>
      </c>
      <c r="B6" s="1328" t="s">
        <v>1264</v>
      </c>
      <c r="C6" s="1319">
        <f>K6+L6</f>
        <v>250.1144969636108</v>
      </c>
      <c r="D6" s="1319">
        <f>'33KV FEEDER INPUT'!Q4</f>
        <v>-8.7191362021249663E-2</v>
      </c>
      <c r="E6" s="1319">
        <f>C6-D6</f>
        <v>250.20168832563206</v>
      </c>
      <c r="F6" s="1319">
        <f>'SS INPUT'!J154/100000</f>
        <v>212.80718832900001</v>
      </c>
      <c r="G6" s="1329">
        <v>0</v>
      </c>
      <c r="H6" s="1329">
        <f>'33 KV HT'!N139/100000</f>
        <v>20.752359999999999</v>
      </c>
      <c r="I6" s="1329">
        <f>'33 KV HT'!N140/100000</f>
        <v>8.0098099999999999</v>
      </c>
      <c r="J6" s="1319">
        <v>185.76668000000001</v>
      </c>
      <c r="K6" s="1319">
        <f>'T&amp;D'!K64/100000</f>
        <v>220.9208944136108</v>
      </c>
      <c r="L6" s="1319">
        <f>(G6+H6+I6)*1.015</f>
        <v>29.193602549999994</v>
      </c>
      <c r="M6" s="1318">
        <f>C6-L6</f>
        <v>220.92089441361082</v>
      </c>
      <c r="N6" s="1319">
        <f>G6+H6+I6+J6</f>
        <v>214.52885000000001</v>
      </c>
      <c r="O6" s="1319">
        <f>(C6-N6)*100/C6</f>
        <v>14.227742652113507</v>
      </c>
      <c r="P6" s="1319">
        <f>(M6-J6)*100/M6</f>
        <v>15.912580159934834</v>
      </c>
    </row>
    <row r="7" spans="1:16" ht="41.25" customHeight="1">
      <c r="A7" s="1327"/>
      <c r="B7" s="1328"/>
      <c r="C7" s="1319"/>
      <c r="D7" s="1319"/>
      <c r="E7" s="1319"/>
      <c r="F7" s="1319"/>
      <c r="G7" s="1329"/>
      <c r="H7" s="1329"/>
      <c r="I7" s="1329"/>
      <c r="J7" s="1319"/>
      <c r="K7" s="1319"/>
      <c r="L7" s="1319"/>
      <c r="M7" s="1318"/>
      <c r="N7" s="1319"/>
      <c r="O7" s="1319"/>
      <c r="P7" s="1319"/>
    </row>
    <row r="8" spans="1:16" ht="41.25" customHeight="1">
      <c r="A8" s="1327">
        <v>2</v>
      </c>
      <c r="B8" s="1328" t="s">
        <v>1265</v>
      </c>
      <c r="C8" s="1319">
        <f>K8+L8</f>
        <v>223.0883420308798</v>
      </c>
      <c r="D8" s="1319">
        <f>'33KV FEEDER INPUT'!Q5</f>
        <v>-4.271268127032523E-2</v>
      </c>
      <c r="E8" s="1319">
        <f>C8-D8</f>
        <v>223.13105471215013</v>
      </c>
      <c r="F8" s="1319">
        <f>'SS INPUT'!J249/100000</f>
        <v>223.12672167099893</v>
      </c>
      <c r="G8" s="1319">
        <v>0</v>
      </c>
      <c r="H8" s="1329">
        <f>'33 KV HT'!O139/100000</f>
        <v>6.7691600000000003</v>
      </c>
      <c r="I8" s="1329">
        <f>'33 KV HT'!O140/100000</f>
        <v>4.7911299999999999</v>
      </c>
      <c r="J8" s="1329">
        <v>137.97862000000001</v>
      </c>
      <c r="K8" s="1319">
        <f>'T&amp;D'!K110/100000</f>
        <v>211.35464768087979</v>
      </c>
      <c r="L8" s="1319">
        <f>(G8+H8+I8)*1.015</f>
        <v>11.733694349999999</v>
      </c>
      <c r="M8" s="1318">
        <f>C8-L8</f>
        <v>211.35464768087979</v>
      </c>
      <c r="N8" s="1319">
        <f>G8+H8+I8+J8</f>
        <v>149.53891000000002</v>
      </c>
      <c r="O8" s="1319">
        <f>(C8-N8)*100/C8</f>
        <v>32.96874743042337</v>
      </c>
      <c r="P8" s="1319">
        <f>(M8-J8)*100/M8</f>
        <v>34.717016392120605</v>
      </c>
    </row>
    <row r="9" spans="1:16" ht="41.25" customHeight="1">
      <c r="A9" s="1327"/>
      <c r="B9" s="1328"/>
      <c r="C9" s="1319"/>
      <c r="D9" s="1319"/>
      <c r="E9" s="1319"/>
      <c r="F9" s="1319"/>
      <c r="G9" s="1319"/>
      <c r="H9" s="1329"/>
      <c r="I9" s="1329"/>
      <c r="J9" s="1329"/>
      <c r="K9" s="1319"/>
      <c r="L9" s="1319"/>
      <c r="M9" s="1318"/>
      <c r="N9" s="1319"/>
      <c r="O9" s="1319"/>
      <c r="P9" s="1319"/>
    </row>
    <row r="10" spans="1:16" ht="41.25" customHeight="1">
      <c r="A10" s="1327">
        <v>3</v>
      </c>
      <c r="B10" s="1328" t="s">
        <v>1266</v>
      </c>
      <c r="C10" s="1319">
        <f>K10+L10</f>
        <v>595.94627722501934</v>
      </c>
      <c r="D10" s="1319">
        <f>'33KV FEEDER INPUT'!Q7</f>
        <v>-58.274711085854641</v>
      </c>
      <c r="E10" s="1319">
        <f>C10-D10</f>
        <v>654.22098831087396</v>
      </c>
      <c r="F10" s="1319">
        <f>'SS INPUT'!J525/100000</f>
        <v>523.74211000000059</v>
      </c>
      <c r="G10" s="1319">
        <v>0</v>
      </c>
      <c r="H10" s="1329">
        <f>'33 KV HT'!P139/100000</f>
        <v>78.370559999999998</v>
      </c>
      <c r="I10" s="1329">
        <f>'33 KV HT'!P140/100000</f>
        <v>16.77835</v>
      </c>
      <c r="J10" s="1329">
        <v>302.90357999999998</v>
      </c>
      <c r="K10" s="1319">
        <f>'T&amp;D'!K308/100000</f>
        <v>499.37013357501939</v>
      </c>
      <c r="L10" s="1319">
        <f>(G10+H10+I10)*1.015</f>
        <v>96.576143649999992</v>
      </c>
      <c r="M10" s="1318">
        <f>C10-L10</f>
        <v>499.37013357501934</v>
      </c>
      <c r="N10" s="1319">
        <f>G10+H10+I10+J10</f>
        <v>398.05248999999998</v>
      </c>
      <c r="O10" s="1319">
        <f>(C10-N10)*100/C10</f>
        <v>33.20664878493703</v>
      </c>
      <c r="P10" s="1319">
        <f>(M10-J10)*100/M10</f>
        <v>39.342872223555716</v>
      </c>
    </row>
    <row r="11" spans="1:16" ht="41.25" customHeight="1">
      <c r="A11" s="1327"/>
      <c r="B11" s="1328"/>
      <c r="C11" s="1319"/>
      <c r="D11" s="1319"/>
      <c r="E11" s="1319"/>
      <c r="F11" s="1319"/>
      <c r="G11" s="1319"/>
      <c r="H11" s="1329"/>
      <c r="I11" s="1329"/>
      <c r="J11" s="1329"/>
      <c r="K11" s="1319"/>
      <c r="L11" s="1319"/>
      <c r="M11" s="1318"/>
      <c r="N11" s="1319"/>
      <c r="O11" s="1319"/>
      <c r="P11" s="1319"/>
    </row>
    <row r="12" spans="1:16" ht="41.25" customHeight="1">
      <c r="A12" s="1327">
        <v>4</v>
      </c>
      <c r="B12" s="1328" t="s">
        <v>1267</v>
      </c>
      <c r="C12" s="1319">
        <f>K12+L12</f>
        <v>440.33301048049026</v>
      </c>
      <c r="D12" s="1319">
        <f>'33KV FEEDER INPUT'!Q9</f>
        <v>-50.65631487085399</v>
      </c>
      <c r="E12" s="1319">
        <f>C12-D12</f>
        <v>490.98932535134423</v>
      </c>
      <c r="F12" s="1319">
        <f>'SS INPUT'!J702/100000</f>
        <v>370.7822999999986</v>
      </c>
      <c r="G12" s="1319">
        <v>0</v>
      </c>
      <c r="H12" s="1329">
        <f>'33 KV HT'!Q139/100000</f>
        <v>50.680039999999998</v>
      </c>
      <c r="I12" s="1329">
        <f>'33 KV HT'!Q140/100000</f>
        <v>12.07751</v>
      </c>
      <c r="J12" s="1329">
        <v>170.36930000000001</v>
      </c>
      <c r="K12" s="1319">
        <f>'T&amp;D'!K192/100000</f>
        <v>376.63409723049028</v>
      </c>
      <c r="L12" s="1319">
        <f>(G12+H12+I12)*1.015</f>
        <v>63.69891324999999</v>
      </c>
      <c r="M12" s="1318">
        <f>C12-L12</f>
        <v>376.63409723049028</v>
      </c>
      <c r="N12" s="1319">
        <f>G12+H12+I12+J12</f>
        <v>233.12684999999999</v>
      </c>
      <c r="O12" s="1319">
        <f>(C12-N12)*100/C12</f>
        <v>47.056694717115896</v>
      </c>
      <c r="P12" s="1319">
        <f>(M12-J12)*100/M12</f>
        <v>54.76530105670745</v>
      </c>
    </row>
    <row r="13" spans="1:16" ht="41.25" customHeight="1">
      <c r="A13" s="1327"/>
      <c r="B13" s="1328"/>
      <c r="C13" s="1319"/>
      <c r="D13" s="1319"/>
      <c r="E13" s="1319"/>
      <c r="F13" s="1319"/>
      <c r="G13" s="1319"/>
      <c r="H13" s="1329"/>
      <c r="I13" s="1329"/>
      <c r="J13" s="1329"/>
      <c r="K13" s="1319"/>
      <c r="L13" s="1319"/>
      <c r="M13" s="1318"/>
      <c r="N13" s="1319"/>
      <c r="O13" s="1319"/>
      <c r="P13" s="1319"/>
    </row>
    <row r="14" spans="1:16" ht="41.25" customHeight="1">
      <c r="A14" s="1322"/>
      <c r="B14" s="1323" t="s">
        <v>71</v>
      </c>
      <c r="C14" s="1324">
        <f>SUM(C6:C13)</f>
        <v>1509.4821267000002</v>
      </c>
      <c r="D14" s="1325">
        <f t="shared" ref="D14:M14" si="0">D6+D8+D10+D12</f>
        <v>-109.06093000000021</v>
      </c>
      <c r="E14" s="1318">
        <f t="shared" si="0"/>
        <v>1618.5430567000003</v>
      </c>
      <c r="F14" s="1318">
        <f t="shared" si="0"/>
        <v>1330.4583199999981</v>
      </c>
      <c r="G14" s="1318">
        <f t="shared" si="0"/>
        <v>0</v>
      </c>
      <c r="H14" s="1318">
        <f t="shared" si="0"/>
        <v>156.57211999999998</v>
      </c>
      <c r="I14" s="1318">
        <f t="shared" si="0"/>
        <v>41.656800000000004</v>
      </c>
      <c r="J14" s="1326">
        <f t="shared" si="0"/>
        <v>797.01818000000003</v>
      </c>
      <c r="K14" s="1318">
        <f t="shared" si="0"/>
        <v>1308.2797729000004</v>
      </c>
      <c r="L14" s="1318">
        <f t="shared" si="0"/>
        <v>201.20235379999997</v>
      </c>
      <c r="M14" s="1318">
        <f t="shared" si="0"/>
        <v>1308.2797729000004</v>
      </c>
      <c r="N14" s="1318">
        <f>G14+H14+I14+J14</f>
        <v>995.24710000000005</v>
      </c>
      <c r="O14" s="1318">
        <f>(C14-N14)*100/C14</f>
        <v>34.066983477585822</v>
      </c>
      <c r="P14" s="1319">
        <f>(M14-J14)*100/M14</f>
        <v>39.07891901184955</v>
      </c>
    </row>
    <row r="15" spans="1:16" ht="41.25" customHeight="1">
      <c r="A15" s="1322"/>
      <c r="B15" s="1323"/>
      <c r="C15" s="1324"/>
      <c r="D15" s="1325"/>
      <c r="E15" s="1318"/>
      <c r="F15" s="1318"/>
      <c r="G15" s="1318"/>
      <c r="H15" s="1318"/>
      <c r="I15" s="1318"/>
      <c r="J15" s="1326"/>
      <c r="K15" s="1318"/>
      <c r="L15" s="1318"/>
      <c r="M15" s="1318"/>
      <c r="N15" s="1318"/>
      <c r="O15" s="1318"/>
      <c r="P15" s="1319"/>
    </row>
    <row r="16" spans="1:16" ht="26.25">
      <c r="A16" s="665"/>
      <c r="B16" s="666"/>
      <c r="C16" s="666"/>
      <c r="D16" s="667"/>
      <c r="E16" s="666"/>
      <c r="F16" s="666"/>
      <c r="G16" s="665"/>
      <c r="H16" s="668"/>
      <c r="I16" s="669"/>
      <c r="J16" s="668"/>
      <c r="K16" s="668"/>
      <c r="L16" s="670"/>
      <c r="M16" s="670"/>
      <c r="N16" s="665"/>
      <c r="O16" s="668"/>
      <c r="P16" s="671"/>
    </row>
    <row r="17" spans="1:16" ht="26.25">
      <c r="A17" s="666"/>
      <c r="B17" s="666"/>
      <c r="C17" s="1244">
        <v>1623.44768</v>
      </c>
      <c r="D17" s="1244">
        <v>1623.4396099999999</v>
      </c>
      <c r="E17" s="666"/>
      <c r="F17" s="666"/>
      <c r="G17" s="666"/>
      <c r="H17" s="666"/>
      <c r="I17" s="673"/>
      <c r="J17" s="666"/>
      <c r="K17" s="666"/>
      <c r="L17" s="666"/>
      <c r="M17" s="666"/>
      <c r="N17" s="666"/>
      <c r="O17" s="666"/>
      <c r="P17" s="666"/>
    </row>
    <row r="18" spans="1:16" ht="15" customHeight="1">
      <c r="A18" s="666"/>
      <c r="B18" s="666"/>
      <c r="C18" s="672"/>
      <c r="D18" s="672"/>
      <c r="E18" s="674"/>
      <c r="F18" s="674"/>
      <c r="G18" s="674"/>
      <c r="H18" s="674"/>
      <c r="I18" s="674"/>
      <c r="J18" s="674"/>
      <c r="K18" s="674"/>
      <c r="L18" s="674"/>
      <c r="M18" s="674"/>
      <c r="N18" s="674"/>
      <c r="O18" s="674"/>
      <c r="P18" s="674"/>
    </row>
    <row r="19" spans="1:16" s="1" customFormat="1" ht="52.5" customHeight="1">
      <c r="A19" s="675"/>
      <c r="B19" s="675"/>
      <c r="C19" s="676">
        <f>C17-'CIRCLE INPUT'!T32</f>
        <v>-150941952.70232004</v>
      </c>
      <c r="D19" s="1245">
        <f>D17-C17</f>
        <v>-8.0700000000888394E-3</v>
      </c>
      <c r="E19" s="676">
        <v>150943516</v>
      </c>
      <c r="F19" s="675"/>
      <c r="G19" s="675"/>
      <c r="H19" s="1320" t="s">
        <v>1268</v>
      </c>
      <c r="I19" s="1320"/>
      <c r="J19" s="1320"/>
      <c r="K19" s="1320"/>
      <c r="L19" s="1320"/>
      <c r="M19" s="675"/>
      <c r="N19" s="675"/>
      <c r="O19" s="675"/>
      <c r="P19" s="675"/>
    </row>
    <row r="20" spans="1:16" ht="26.25">
      <c r="A20" s="666"/>
      <c r="B20" s="666"/>
      <c r="C20" s="677"/>
      <c r="D20" s="677"/>
      <c r="E20" s="677">
        <v>150948212</v>
      </c>
      <c r="F20" s="666"/>
      <c r="G20" s="666"/>
      <c r="H20" s="1321" t="s">
        <v>1269</v>
      </c>
      <c r="I20" s="1321"/>
      <c r="J20" s="1321"/>
      <c r="K20" s="1321"/>
      <c r="L20" s="1321"/>
      <c r="M20" s="666"/>
      <c r="N20" s="666"/>
      <c r="O20" s="666"/>
      <c r="P20" s="666"/>
    </row>
    <row r="21" spans="1:16">
      <c r="E21" s="222">
        <f>E19-E20</f>
        <v>-4696</v>
      </c>
    </row>
    <row r="22" spans="1:16">
      <c r="E22" s="136"/>
    </row>
    <row r="25" spans="1:16">
      <c r="I25">
        <f>150948612-150943516</f>
        <v>5096</v>
      </c>
    </row>
  </sheetData>
  <mergeCells count="100">
    <mergeCell ref="A2:L2"/>
    <mergeCell ref="M2:P2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N3:N4"/>
    <mergeCell ref="O3:O4"/>
    <mergeCell ref="P3:P4"/>
    <mergeCell ref="A6:A7"/>
    <mergeCell ref="B6:B7"/>
    <mergeCell ref="C6:C7"/>
    <mergeCell ref="D6:D7"/>
    <mergeCell ref="E6:E7"/>
    <mergeCell ref="F6:F7"/>
    <mergeCell ref="G6:G7"/>
    <mergeCell ref="H6:H7"/>
    <mergeCell ref="I6:I7"/>
    <mergeCell ref="J6:J7"/>
    <mergeCell ref="K6:K7"/>
    <mergeCell ref="L6:L7"/>
    <mergeCell ref="M6:M7"/>
    <mergeCell ref="N6:N7"/>
    <mergeCell ref="O6:O7"/>
    <mergeCell ref="P6:P7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K9"/>
    <mergeCell ref="L8:L9"/>
    <mergeCell ref="M8:M9"/>
    <mergeCell ref="N8:N9"/>
    <mergeCell ref="O8:O9"/>
    <mergeCell ref="P8:P9"/>
    <mergeCell ref="A10:A11"/>
    <mergeCell ref="B10:B11"/>
    <mergeCell ref="C10:C11"/>
    <mergeCell ref="D10:D11"/>
    <mergeCell ref="E10:E11"/>
    <mergeCell ref="F10:F11"/>
    <mergeCell ref="G10:G11"/>
    <mergeCell ref="H10:H11"/>
    <mergeCell ref="I10:I11"/>
    <mergeCell ref="J10:J11"/>
    <mergeCell ref="K10:K11"/>
    <mergeCell ref="L10:L11"/>
    <mergeCell ref="M10:M11"/>
    <mergeCell ref="N10:N11"/>
    <mergeCell ref="O10:O11"/>
    <mergeCell ref="P10:P11"/>
    <mergeCell ref="A12:A13"/>
    <mergeCell ref="B12:B13"/>
    <mergeCell ref="C12:C13"/>
    <mergeCell ref="D12:D13"/>
    <mergeCell ref="E12:E13"/>
    <mergeCell ref="F12:F13"/>
    <mergeCell ref="G12:G13"/>
    <mergeCell ref="H12:H13"/>
    <mergeCell ref="I12:I13"/>
    <mergeCell ref="J12:J13"/>
    <mergeCell ref="K12:K13"/>
    <mergeCell ref="L12:L13"/>
    <mergeCell ref="M12:M13"/>
    <mergeCell ref="N12:N13"/>
    <mergeCell ref="F14:F15"/>
    <mergeCell ref="G14:G15"/>
    <mergeCell ref="H14:H15"/>
    <mergeCell ref="I14:I15"/>
    <mergeCell ref="J14:J15"/>
    <mergeCell ref="A14:A15"/>
    <mergeCell ref="B14:B15"/>
    <mergeCell ref="C14:C15"/>
    <mergeCell ref="D14:D15"/>
    <mergeCell ref="E14:E15"/>
    <mergeCell ref="O14:O15"/>
    <mergeCell ref="P14:P15"/>
    <mergeCell ref="H19:L19"/>
    <mergeCell ref="H20:L20"/>
    <mergeCell ref="O12:O13"/>
    <mergeCell ref="P12:P13"/>
    <mergeCell ref="K14:K15"/>
    <mergeCell ref="L14:L15"/>
    <mergeCell ref="M14:M15"/>
    <mergeCell ref="N14:N15"/>
  </mergeCells>
  <printOptions horizontalCentered="1"/>
  <pageMargins left="0" right="0" top="0.59027777777777801" bottom="0" header="0.51180555555555496" footer="0.51180555555555496"/>
  <pageSetup paperSize="9" firstPageNumber="0" orientation="landscape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"/>
  <sheetViews>
    <sheetView topLeftCell="A40" zoomScaleNormal="100" workbookViewId="0">
      <selection activeCell="G10" sqref="G10"/>
    </sheetView>
  </sheetViews>
  <sheetFormatPr defaultRowHeight="15"/>
  <cols>
    <col min="1" max="1" width="6.42578125" style="1" customWidth="1"/>
    <col min="2" max="2" width="23.5703125" style="1" customWidth="1"/>
    <col min="3" max="3" width="15.5703125" style="1" customWidth="1"/>
    <col min="4" max="5" width="13.5703125" style="1" customWidth="1"/>
    <col min="6" max="6" width="11.85546875" style="1" customWidth="1"/>
    <col min="7" max="7" width="55.28515625" style="1" customWidth="1"/>
    <col min="8" max="8" width="8.7109375" customWidth="1"/>
    <col min="9" max="9" width="11" customWidth="1"/>
    <col min="10" max="10" width="8.7109375" customWidth="1"/>
    <col min="11" max="11" width="18" customWidth="1"/>
    <col min="12" max="12" width="8.7109375" customWidth="1"/>
    <col min="13" max="13" width="3" customWidth="1"/>
    <col min="14" max="1025" width="8.7109375" customWidth="1"/>
  </cols>
  <sheetData>
    <row r="1" spans="1:7">
      <c r="A1" s="1285"/>
      <c r="B1" s="1285"/>
      <c r="C1" s="1285"/>
      <c r="D1" s="1285"/>
      <c r="E1" s="1285"/>
      <c r="F1" s="1285"/>
      <c r="G1" s="1285"/>
    </row>
    <row r="2" spans="1:7">
      <c r="A2" s="678" t="s">
        <v>1270</v>
      </c>
      <c r="B2" s="1333" t="s">
        <v>1271</v>
      </c>
      <c r="C2" s="1333"/>
      <c r="D2" s="1333"/>
      <c r="E2" s="679" t="str">
        <f>'CIRCLE INPUT'!Q3</f>
        <v>OCT.2024</v>
      </c>
      <c r="F2" s="19"/>
      <c r="G2" s="680"/>
    </row>
    <row r="3" spans="1:7">
      <c r="A3" s="11" t="s">
        <v>345</v>
      </c>
      <c r="B3" s="11" t="s">
        <v>1272</v>
      </c>
      <c r="C3" s="11" t="s">
        <v>1273</v>
      </c>
      <c r="D3" s="1334" t="s">
        <v>1274</v>
      </c>
      <c r="E3" s="1334"/>
      <c r="F3" s="11" t="s">
        <v>1275</v>
      </c>
      <c r="G3" s="682" t="s">
        <v>293</v>
      </c>
    </row>
    <row r="4" spans="1:7">
      <c r="A4" s="11"/>
      <c r="B4" s="11"/>
      <c r="C4" s="11" t="s">
        <v>1276</v>
      </c>
      <c r="D4" s="683" t="s">
        <v>1277</v>
      </c>
      <c r="E4" s="684" t="s">
        <v>1278</v>
      </c>
      <c r="F4" s="11"/>
      <c r="G4" s="682"/>
    </row>
    <row r="5" spans="1:7">
      <c r="A5" s="678"/>
      <c r="B5" s="678"/>
      <c r="C5" s="685"/>
      <c r="D5" s="685"/>
      <c r="E5" s="686"/>
      <c r="F5" s="678"/>
      <c r="G5" s="680"/>
    </row>
    <row r="6" spans="1:7">
      <c r="A6" s="1285" t="s">
        <v>1279</v>
      </c>
      <c r="B6" s="1285"/>
      <c r="C6" s="685"/>
      <c r="D6" s="685"/>
      <c r="E6" s="686"/>
      <c r="F6" s="678"/>
      <c r="G6" s="680"/>
    </row>
    <row r="7" spans="1:7" ht="15" customHeight="1">
      <c r="A7" s="685">
        <v>1</v>
      </c>
      <c r="B7" s="687" t="s">
        <v>1280</v>
      </c>
      <c r="C7" s="685" t="s">
        <v>1281</v>
      </c>
      <c r="D7" s="688">
        <f>'SS INPUT'!J12</f>
        <v>1700000</v>
      </c>
      <c r="E7" s="689">
        <f>'SS INPUT'!J20</f>
        <v>1681405.1411999823</v>
      </c>
      <c r="F7" s="690">
        <f t="shared" ref="F7:F22" si="0">(D7-E7)*100/D7</f>
        <v>1.0938152235304552</v>
      </c>
      <c r="G7" s="680"/>
    </row>
    <row r="8" spans="1:7" ht="14.25" customHeight="1">
      <c r="A8" s="685">
        <v>2</v>
      </c>
      <c r="B8" s="687" t="s">
        <v>1159</v>
      </c>
      <c r="C8" s="685" t="s">
        <v>1282</v>
      </c>
      <c r="D8" s="685">
        <f>'SS INPUT'!J24</f>
        <v>1765864.0000000037</v>
      </c>
      <c r="E8" s="691">
        <f>'SS INPUT'!J29</f>
        <v>1739120.0000000061</v>
      </c>
      <c r="F8" s="690">
        <f t="shared" si="0"/>
        <v>1.514499417848578</v>
      </c>
      <c r="G8" s="692"/>
    </row>
    <row r="9" spans="1:7" ht="14.25" customHeight="1">
      <c r="A9" s="685">
        <v>3</v>
      </c>
      <c r="B9" s="687" t="s">
        <v>928</v>
      </c>
      <c r="C9" s="685" t="s">
        <v>1283</v>
      </c>
      <c r="D9" s="685">
        <f>'SS INPUT'!J32</f>
        <v>1624200.0000000116</v>
      </c>
      <c r="E9" s="686">
        <f>'SS INPUT'!J38</f>
        <v>1599444.0000000116</v>
      </c>
      <c r="F9" s="693">
        <f t="shared" si="0"/>
        <v>1.5241965275212304</v>
      </c>
      <c r="G9" s="692"/>
    </row>
    <row r="10" spans="1:7" ht="14.25" customHeight="1">
      <c r="A10" s="685">
        <v>4</v>
      </c>
      <c r="B10" s="694" t="s">
        <v>1175</v>
      </c>
      <c r="C10" s="685" t="s">
        <v>1283</v>
      </c>
      <c r="D10" s="685">
        <f>'SS INPUT'!J43</f>
        <v>2255500</v>
      </c>
      <c r="E10" s="686">
        <f>'SS INPUT'!J48</f>
        <v>2242790.0000000047</v>
      </c>
      <c r="F10" s="693">
        <f t="shared" si="0"/>
        <v>0.56351141653714665</v>
      </c>
      <c r="G10" s="692"/>
    </row>
    <row r="11" spans="1:7" ht="14.25" customHeight="1">
      <c r="A11" s="685">
        <v>5</v>
      </c>
      <c r="B11" s="694" t="s">
        <v>1284</v>
      </c>
      <c r="C11" s="685" t="s">
        <v>1285</v>
      </c>
      <c r="D11" s="685">
        <f>'SS INPUT'!J52</f>
        <v>1640000</v>
      </c>
      <c r="E11" s="691">
        <f>'SS INPUT'!J56</f>
        <v>1609064.8180000135</v>
      </c>
      <c r="F11" s="693">
        <f t="shared" si="0"/>
        <v>1.8862915853650319</v>
      </c>
      <c r="G11" s="692"/>
    </row>
    <row r="12" spans="1:7" ht="14.25" customHeight="1">
      <c r="A12" s="685">
        <v>6</v>
      </c>
      <c r="B12" s="694" t="s">
        <v>1286</v>
      </c>
      <c r="C12" s="685" t="s">
        <v>1281</v>
      </c>
      <c r="D12" s="685">
        <f>'SS INPUT'!J61</f>
        <v>1817279.9999999767</v>
      </c>
      <c r="E12" s="686">
        <f>'SS INPUT'!J66</f>
        <v>1809409.9999999856</v>
      </c>
      <c r="F12" s="693">
        <f t="shared" si="0"/>
        <v>0.43306480014038856</v>
      </c>
      <c r="G12" s="692"/>
    </row>
    <row r="13" spans="1:7" ht="14.25" customHeight="1">
      <c r="A13" s="685">
        <v>7</v>
      </c>
      <c r="B13" s="687" t="s">
        <v>202</v>
      </c>
      <c r="C13" s="685" t="s">
        <v>1281</v>
      </c>
      <c r="D13" s="685">
        <f>'SS INPUT'!J70</f>
        <v>3210000</v>
      </c>
      <c r="E13" s="691">
        <f>'SS INPUT'!J77</f>
        <v>3200842.1101000132</v>
      </c>
      <c r="F13" s="693">
        <f t="shared" si="0"/>
        <v>0.28529252024880986</v>
      </c>
      <c r="G13" s="695"/>
    </row>
    <row r="14" spans="1:7" ht="14.25" customHeight="1">
      <c r="A14" s="696">
        <v>8</v>
      </c>
      <c r="B14" s="697" t="s">
        <v>1287</v>
      </c>
      <c r="C14" s="685" t="s">
        <v>1285</v>
      </c>
      <c r="D14" s="685">
        <f>'SS INPUT'!J81</f>
        <v>1593799.9999999884</v>
      </c>
      <c r="E14" s="691">
        <f>'SS INPUT'!J87</f>
        <v>1591455.9459200019</v>
      </c>
      <c r="F14" s="690">
        <f t="shared" si="0"/>
        <v>0.14707328899400346</v>
      </c>
      <c r="G14" s="698"/>
    </row>
    <row r="15" spans="1:7" ht="14.25" customHeight="1">
      <c r="A15" s="685">
        <v>9</v>
      </c>
      <c r="B15" s="687" t="s">
        <v>1288</v>
      </c>
      <c r="C15" s="685" t="s">
        <v>1285</v>
      </c>
      <c r="D15" s="685">
        <v>50800</v>
      </c>
      <c r="E15" s="691">
        <v>50000</v>
      </c>
      <c r="F15" s="693">
        <f t="shared" si="0"/>
        <v>1.5748031496062993</v>
      </c>
      <c r="G15" s="680"/>
    </row>
    <row r="16" spans="1:7" ht="14.25" customHeight="1">
      <c r="A16" s="685">
        <v>10</v>
      </c>
      <c r="B16" s="687" t="s">
        <v>1289</v>
      </c>
      <c r="C16" s="685" t="s">
        <v>1285</v>
      </c>
      <c r="D16" s="685">
        <f>'SS INPUT'!J105</f>
        <v>64755</v>
      </c>
      <c r="E16" s="686">
        <f>'SS INPUT'!J110</f>
        <v>64480</v>
      </c>
      <c r="F16" s="693">
        <f t="shared" si="0"/>
        <v>0.42467763107095979</v>
      </c>
      <c r="G16" s="699" t="s">
        <v>1290</v>
      </c>
    </row>
    <row r="17" spans="1:7" ht="14.25" customHeight="1">
      <c r="A17" s="685">
        <v>11</v>
      </c>
      <c r="B17" s="687" t="s">
        <v>1291</v>
      </c>
      <c r="C17" s="685" t="s">
        <v>1283</v>
      </c>
      <c r="D17" s="688">
        <f>'SS INPUT'!J115</f>
        <v>2260219.9999999916</v>
      </c>
      <c r="E17" s="700">
        <f>'SS INPUT'!J121</f>
        <v>2255000.7008000039</v>
      </c>
      <c r="F17" s="701">
        <f t="shared" si="0"/>
        <v>0.23091996354282715</v>
      </c>
      <c r="G17" s="680"/>
    </row>
    <row r="18" spans="1:7" ht="14.25" customHeight="1">
      <c r="A18" s="685">
        <v>12</v>
      </c>
      <c r="B18" s="687" t="s">
        <v>1292</v>
      </c>
      <c r="C18" s="685" t="s">
        <v>1293</v>
      </c>
      <c r="D18" s="688">
        <f>'SS INPUT'!J125</f>
        <v>390000</v>
      </c>
      <c r="E18" s="700">
        <f>'SS INPUT'!J128</f>
        <v>382839</v>
      </c>
      <c r="F18" s="701">
        <f t="shared" si="0"/>
        <v>1.8361538461538462</v>
      </c>
      <c r="G18" s="699" t="s">
        <v>1294</v>
      </c>
    </row>
    <row r="19" spans="1:7" ht="14.25" customHeight="1">
      <c r="A19" s="685">
        <v>13</v>
      </c>
      <c r="B19" s="687" t="s">
        <v>1295</v>
      </c>
      <c r="C19" s="685" t="s">
        <v>1285</v>
      </c>
      <c r="D19" s="688">
        <f>'SS INPUT'!J130</f>
        <v>23100</v>
      </c>
      <c r="E19" s="700">
        <f>'SS INPUT'!J135</f>
        <v>22639.980499999998</v>
      </c>
      <c r="F19" s="701">
        <f t="shared" si="0"/>
        <v>1.9914264069264163</v>
      </c>
      <c r="G19" s="699" t="s">
        <v>1294</v>
      </c>
    </row>
    <row r="20" spans="1:7" ht="14.25" customHeight="1">
      <c r="A20" s="685">
        <v>14</v>
      </c>
      <c r="B20" s="687" t="s">
        <v>1296</v>
      </c>
      <c r="C20" s="685"/>
      <c r="D20" s="688">
        <f>'SS INPUT'!J137</f>
        <v>1065200.0000000007</v>
      </c>
      <c r="E20" s="700">
        <f>'SS INPUT'!J143</f>
        <v>1044940</v>
      </c>
      <c r="F20" s="701">
        <f t="shared" si="0"/>
        <v>1.9019902365753554</v>
      </c>
      <c r="G20" s="699"/>
    </row>
    <row r="21" spans="1:7" ht="14.25" customHeight="1">
      <c r="A21" s="685" t="s">
        <v>1297</v>
      </c>
      <c r="B21" s="687" t="s">
        <v>973</v>
      </c>
      <c r="C21" s="685" t="s">
        <v>1285</v>
      </c>
      <c r="D21" s="702">
        <f>'SS INPUT'!J90</f>
        <v>1314600.0000000049</v>
      </c>
      <c r="E21" s="700">
        <f>'SS INPUT'!J94</f>
        <v>1303399.9999999942</v>
      </c>
      <c r="F21" s="701">
        <f t="shared" si="0"/>
        <v>0.85197018104447497</v>
      </c>
      <c r="G21" s="680"/>
    </row>
    <row r="22" spans="1:7" ht="14.25" customHeight="1">
      <c r="A22" s="703"/>
      <c r="B22" s="704" t="s">
        <v>1298</v>
      </c>
      <c r="C22" s="685"/>
      <c r="D22" s="703">
        <f>SUM(D7:D21)</f>
        <v>20775318.999999978</v>
      </c>
      <c r="E22" s="705">
        <f>SUM(E7:E21)</f>
        <v>20596831.696520019</v>
      </c>
      <c r="F22" s="693">
        <f t="shared" si="0"/>
        <v>0.85913146979817023</v>
      </c>
      <c r="G22" s="706"/>
    </row>
    <row r="23" spans="1:7" ht="14.25" customHeight="1">
      <c r="A23" s="1285" t="s">
        <v>1299</v>
      </c>
      <c r="B23" s="1285"/>
      <c r="C23" s="685"/>
      <c r="D23" s="685"/>
      <c r="E23" s="686"/>
      <c r="F23" s="693"/>
      <c r="G23" s="680"/>
    </row>
    <row r="24" spans="1:7" ht="14.25" customHeight="1">
      <c r="A24" s="707">
        <v>1</v>
      </c>
      <c r="B24" s="708" t="s">
        <v>1300</v>
      </c>
      <c r="C24" s="685" t="s">
        <v>1301</v>
      </c>
      <c r="D24" s="709">
        <f>'SS INPUT'!J164</f>
        <v>7394359.9999999972</v>
      </c>
      <c r="E24" s="691">
        <f>'SS INPUT'!J174</f>
        <v>7288102.0829000436</v>
      </c>
      <c r="F24" s="693">
        <f t="shared" ref="F24:F32" si="1">(D24-E24)*100/D24</f>
        <v>1.4370130356102986</v>
      </c>
      <c r="G24" s="710"/>
    </row>
    <row r="25" spans="1:7" ht="14.25" customHeight="1">
      <c r="A25" s="685">
        <v>2</v>
      </c>
      <c r="B25" s="687" t="s">
        <v>1302</v>
      </c>
      <c r="C25" s="685" t="s">
        <v>1303</v>
      </c>
      <c r="D25" s="709">
        <f>'SS INPUT'!J181</f>
        <v>3577679.9999999031</v>
      </c>
      <c r="E25" s="691">
        <f>'SS INPUT'!J189</f>
        <v>3570294.6759999432</v>
      </c>
      <c r="F25" s="690">
        <f t="shared" si="1"/>
        <v>0.20642774088124638</v>
      </c>
      <c r="G25" s="680"/>
    </row>
    <row r="26" spans="1:7" ht="14.25" customHeight="1">
      <c r="A26" s="685">
        <v>3</v>
      </c>
      <c r="B26" s="687" t="s">
        <v>1304</v>
      </c>
      <c r="C26" s="685" t="s">
        <v>1283</v>
      </c>
      <c r="D26" s="685">
        <f>'SS INPUT'!J192</f>
        <v>2289600.0000000275</v>
      </c>
      <c r="E26" s="691">
        <f>'SS INPUT'!J198</f>
        <v>2265504.6901000137</v>
      </c>
      <c r="F26" s="693">
        <f t="shared" si="1"/>
        <v>1.0523807608321734</v>
      </c>
      <c r="G26" s="680"/>
    </row>
    <row r="27" spans="1:7" ht="14.25" customHeight="1">
      <c r="A27" s="685">
        <v>4</v>
      </c>
      <c r="B27" s="687" t="s">
        <v>1200</v>
      </c>
      <c r="C27" s="685" t="s">
        <v>1281</v>
      </c>
      <c r="D27" s="685">
        <f>'SS INPUT'!J202</f>
        <v>2653560.0000000116</v>
      </c>
      <c r="E27" s="686">
        <f>'SS INPUT'!J207</f>
        <v>2632279.9999999916</v>
      </c>
      <c r="F27" s="693">
        <f t="shared" si="1"/>
        <v>0.80194154268303453</v>
      </c>
      <c r="G27" s="692"/>
    </row>
    <row r="28" spans="1:7" ht="14.25" customHeight="1">
      <c r="A28" s="685">
        <v>5</v>
      </c>
      <c r="B28" s="678" t="s">
        <v>1195</v>
      </c>
      <c r="C28" s="685" t="s">
        <v>1285</v>
      </c>
      <c r="D28" s="685">
        <f>'SS INPUT'!J211</f>
        <v>2435580.0000000009</v>
      </c>
      <c r="E28" s="691">
        <f>'SS INPUT'!J218</f>
        <v>2410493.6266999952</v>
      </c>
      <c r="F28" s="693">
        <f t="shared" si="1"/>
        <v>1.0299958654614372</v>
      </c>
      <c r="G28" s="680"/>
    </row>
    <row r="29" spans="1:7" ht="14.25" customHeight="1">
      <c r="A29" s="685">
        <v>6</v>
      </c>
      <c r="B29" s="711" t="s">
        <v>1305</v>
      </c>
      <c r="C29" s="685" t="s">
        <v>1285</v>
      </c>
      <c r="D29" s="685">
        <f>'SS INPUT'!J221</f>
        <v>1455899.9999999942</v>
      </c>
      <c r="E29" s="691">
        <f>'SS INPUT'!J226</f>
        <v>1455202.8520999947</v>
      </c>
      <c r="F29" s="693">
        <f t="shared" si="1"/>
        <v>4.7884325846522351E-2</v>
      </c>
      <c r="G29" s="680"/>
    </row>
    <row r="30" spans="1:7" ht="14.25" customHeight="1">
      <c r="A30" s="685">
        <v>7</v>
      </c>
      <c r="B30" s="711" t="s">
        <v>1306</v>
      </c>
      <c r="C30" s="685" t="s">
        <v>1283</v>
      </c>
      <c r="D30" s="685">
        <f>'SS INPUT'!J230</f>
        <v>3341399.999999987</v>
      </c>
      <c r="E30" s="691">
        <f>'SS INPUT'!J236</f>
        <v>3310819.9999999935</v>
      </c>
      <c r="F30" s="693">
        <f t="shared" si="1"/>
        <v>0.91518525169071652</v>
      </c>
      <c r="G30" s="680"/>
    </row>
    <row r="31" spans="1:7" ht="14.25" customHeight="1">
      <c r="A31" s="712">
        <v>8</v>
      </c>
      <c r="B31" s="711" t="s">
        <v>1307</v>
      </c>
      <c r="C31" s="685" t="s">
        <v>1285</v>
      </c>
      <c r="D31" s="685">
        <f>'SS INPUT'!J239</f>
        <v>844632</v>
      </c>
      <c r="E31" s="691">
        <f>'SS INPUT'!J243</f>
        <v>839040</v>
      </c>
      <c r="F31" s="693">
        <f t="shared" si="1"/>
        <v>0.66206347853266279</v>
      </c>
      <c r="G31" s="713"/>
    </row>
    <row r="32" spans="1:7" ht="14.25" customHeight="1">
      <c r="A32" s="714"/>
      <c r="B32" s="704" t="s">
        <v>1298</v>
      </c>
      <c r="C32" s="685"/>
      <c r="D32" s="551">
        <f>SUM(D24:D31)</f>
        <v>23992711.999999918</v>
      </c>
      <c r="E32" s="705">
        <f>SUM(E24:E31)</f>
        <v>23771737.927799977</v>
      </c>
      <c r="F32" s="693">
        <f t="shared" si="1"/>
        <v>0.92100497934515047</v>
      </c>
      <c r="G32" s="714"/>
    </row>
    <row r="33" spans="1:7" ht="14.25" customHeight="1">
      <c r="A33" s="1285" t="s">
        <v>1308</v>
      </c>
      <c r="B33" s="1285"/>
      <c r="C33" s="685"/>
      <c r="D33" s="685"/>
      <c r="E33" s="686"/>
      <c r="F33" s="693"/>
      <c r="G33" s="680"/>
    </row>
    <row r="34" spans="1:7" ht="14.25" customHeight="1">
      <c r="A34" s="685">
        <v>1</v>
      </c>
      <c r="B34" s="687" t="s">
        <v>973</v>
      </c>
      <c r="C34" s="685" t="s">
        <v>1309</v>
      </c>
      <c r="D34" s="709">
        <f>'SS INPUT'!J538</f>
        <v>3367199.9999999842</v>
      </c>
      <c r="E34" s="691">
        <f>'SS INPUT'!J545</f>
        <v>3363489.9999999837</v>
      </c>
      <c r="F34" s="693">
        <f t="shared" ref="F34:F48" si="2">(D34-E34)*100/D34</f>
        <v>0.11018056545499177</v>
      </c>
      <c r="G34" s="680"/>
    </row>
    <row r="35" spans="1:7" ht="14.25" customHeight="1">
      <c r="A35" s="685">
        <v>2</v>
      </c>
      <c r="B35" s="694" t="s">
        <v>1310</v>
      </c>
      <c r="C35" s="685" t="s">
        <v>1311</v>
      </c>
      <c r="D35" s="702">
        <f>'SS INPUT'!J552</f>
        <v>6623799.9999999302</v>
      </c>
      <c r="E35" s="689">
        <f>'SS INPUT'!J562</f>
        <v>6616688.9999999665</v>
      </c>
      <c r="F35" s="693">
        <f t="shared" si="2"/>
        <v>0.10735529454337017</v>
      </c>
      <c r="G35" s="692"/>
    </row>
    <row r="36" spans="1:7" ht="14.25" customHeight="1">
      <c r="A36" s="685">
        <v>3</v>
      </c>
      <c r="B36" s="687" t="s">
        <v>216</v>
      </c>
      <c r="C36" s="685" t="s">
        <v>1285</v>
      </c>
      <c r="D36" s="709">
        <f>'SS INPUT'!J566</f>
        <v>1317200.0000000116</v>
      </c>
      <c r="E36" s="691">
        <f>'SS INPUT'!J571</f>
        <v>1306000</v>
      </c>
      <c r="F36" s="693">
        <f t="shared" si="2"/>
        <v>0.85028849073880519</v>
      </c>
      <c r="G36" s="680"/>
    </row>
    <row r="37" spans="1:7" ht="14.25" customHeight="1">
      <c r="A37" s="685">
        <v>4</v>
      </c>
      <c r="B37" s="687" t="s">
        <v>220</v>
      </c>
      <c r="C37" s="685" t="s">
        <v>1312</v>
      </c>
      <c r="D37" s="709">
        <f>'SS INPUT'!J576</f>
        <v>6552063.9999999944</v>
      </c>
      <c r="E37" s="691">
        <f>'SS INPUT'!J588</f>
        <v>6546900.0000000577</v>
      </c>
      <c r="F37" s="690">
        <f t="shared" si="2"/>
        <v>7.8814858950350217E-2</v>
      </c>
      <c r="G37" s="680"/>
    </row>
    <row r="38" spans="1:7" ht="14.25" customHeight="1">
      <c r="A38" s="685">
        <v>5</v>
      </c>
      <c r="B38" s="687" t="s">
        <v>961</v>
      </c>
      <c r="C38" s="685" t="s">
        <v>1313</v>
      </c>
      <c r="D38" s="709">
        <f>'SS INPUT'!J593</f>
        <v>3378049.9999999739</v>
      </c>
      <c r="E38" s="691">
        <f>'SS INPUT'!J599</f>
        <v>3336534.8356000176</v>
      </c>
      <c r="F38" s="690">
        <f t="shared" si="2"/>
        <v>1.2289683219596119</v>
      </c>
      <c r="G38" s="680"/>
    </row>
    <row r="39" spans="1:7" ht="14.25" customHeight="1">
      <c r="A39" s="685">
        <v>6</v>
      </c>
      <c r="B39" s="694" t="s">
        <v>1314</v>
      </c>
      <c r="C39" s="685" t="s">
        <v>1282</v>
      </c>
      <c r="D39" s="709">
        <f>'SS INPUT'!J603</f>
        <v>2218399.9999999651</v>
      </c>
      <c r="E39" s="691">
        <f>'SS INPUT'!J608</f>
        <v>2215445.8601999842</v>
      </c>
      <c r="F39" s="715">
        <f t="shared" si="2"/>
        <v>0.13316533537598985</v>
      </c>
      <c r="G39" s="680"/>
    </row>
    <row r="40" spans="1:7" ht="14.25" customHeight="1">
      <c r="A40" s="685">
        <v>7</v>
      </c>
      <c r="B40" s="687" t="s">
        <v>222</v>
      </c>
      <c r="C40" s="685" t="s">
        <v>1281</v>
      </c>
      <c r="D40" s="709">
        <f>'SS INPUT'!J612</f>
        <v>3024600.000000013</v>
      </c>
      <c r="E40" s="691">
        <f>'SS INPUT'!J621</f>
        <v>2982240.9364000014</v>
      </c>
      <c r="F40" s="693">
        <f t="shared" si="2"/>
        <v>1.4004848112150847</v>
      </c>
      <c r="G40" s="680"/>
    </row>
    <row r="41" spans="1:7" ht="14.25" customHeight="1">
      <c r="A41" s="685">
        <v>8</v>
      </c>
      <c r="B41" s="687" t="s">
        <v>1315</v>
      </c>
      <c r="C41" s="685" t="s">
        <v>1283</v>
      </c>
      <c r="D41" s="709">
        <f>'SS INPUT'!J625</f>
        <v>3867296</v>
      </c>
      <c r="E41" s="691">
        <f>'SS INPUT'!J632</f>
        <v>3859138.5929000131</v>
      </c>
      <c r="F41" s="693">
        <f t="shared" si="2"/>
        <v>0.2109330938202536</v>
      </c>
      <c r="G41" s="692"/>
    </row>
    <row r="42" spans="1:7" ht="14.25" customHeight="1">
      <c r="A42" s="685">
        <v>9</v>
      </c>
      <c r="B42" s="694" t="s">
        <v>1316</v>
      </c>
      <c r="C42" s="685" t="s">
        <v>1285</v>
      </c>
      <c r="D42" s="709">
        <f>'SS INPUT'!J637</f>
        <v>2030679.9999999825</v>
      </c>
      <c r="E42" s="691">
        <f>'SS INPUT'!J643</f>
        <v>1997165.8925000005</v>
      </c>
      <c r="F42" s="693">
        <f t="shared" si="2"/>
        <v>1.6503884166871337</v>
      </c>
      <c r="G42" s="692"/>
    </row>
    <row r="43" spans="1:7" ht="14.25" customHeight="1">
      <c r="A43" s="685">
        <v>10</v>
      </c>
      <c r="B43" s="687" t="s">
        <v>1317</v>
      </c>
      <c r="C43" s="685" t="s">
        <v>1285</v>
      </c>
      <c r="D43" s="709">
        <f>'SS INPUT'!J646</f>
        <v>1636399.9999999942</v>
      </c>
      <c r="E43" s="691">
        <f>'SS INPUT'!J651</f>
        <v>1627400.0000000014</v>
      </c>
      <c r="F43" s="693">
        <f t="shared" si="2"/>
        <v>0.54998777804893761</v>
      </c>
      <c r="G43" s="680"/>
    </row>
    <row r="44" spans="1:7" s="379" customFormat="1" ht="14.25" customHeight="1">
      <c r="A44" s="688">
        <v>11</v>
      </c>
      <c r="B44" s="716" t="s">
        <v>1318</v>
      </c>
      <c r="C44" s="685" t="s">
        <v>1285</v>
      </c>
      <c r="D44" s="702">
        <f>'SS INPUT'!J654</f>
        <v>1307800.0000000028</v>
      </c>
      <c r="E44" s="689">
        <f>'SS INPUT'!J659</f>
        <v>1296759.9999999912</v>
      </c>
      <c r="F44" s="690">
        <f t="shared" si="2"/>
        <v>0.84416577458415798</v>
      </c>
      <c r="G44" s="692"/>
    </row>
    <row r="45" spans="1:7" s="379" customFormat="1" ht="14.25" customHeight="1">
      <c r="A45" s="688">
        <v>12</v>
      </c>
      <c r="B45" s="716" t="s">
        <v>1319</v>
      </c>
      <c r="C45" s="685" t="s">
        <v>1282</v>
      </c>
      <c r="D45" s="702">
        <f>'SS INPUT'!J663</f>
        <v>36020.000000000029</v>
      </c>
      <c r="E45" s="689">
        <f>'SS INPUT'!J669</f>
        <v>35379.985299991269</v>
      </c>
      <c r="F45" s="717">
        <f t="shared" si="2"/>
        <v>1.7768314825340352</v>
      </c>
      <c r="G45" s="692"/>
    </row>
    <row r="46" spans="1:7" s="379" customFormat="1" ht="14.25" customHeight="1">
      <c r="A46" s="685">
        <v>13</v>
      </c>
      <c r="B46" s="716" t="s">
        <v>1221</v>
      </c>
      <c r="C46" s="685" t="s">
        <v>1285</v>
      </c>
      <c r="D46" s="702">
        <f>'SS INPUT'!J671</f>
        <v>2051280.0000000061</v>
      </c>
      <c r="E46" s="689">
        <f>'SS INPUT'!J677</f>
        <v>2037860.2029999983</v>
      </c>
      <c r="F46" s="717">
        <f t="shared" si="2"/>
        <v>0.65421575796613163</v>
      </c>
      <c r="G46" s="692"/>
    </row>
    <row r="47" spans="1:7" s="379" customFormat="1" ht="14.25" customHeight="1">
      <c r="A47" s="688">
        <v>14</v>
      </c>
      <c r="B47" s="716" t="s">
        <v>1320</v>
      </c>
      <c r="C47" s="685"/>
      <c r="D47" s="702">
        <f>'SS INPUT'!J681</f>
        <v>1214200</v>
      </c>
      <c r="E47" s="689">
        <f>'SS INPUT'!J688</f>
        <v>1208340.1024</v>
      </c>
      <c r="F47" s="717">
        <f t="shared" si="2"/>
        <v>0.48261386921429961</v>
      </c>
      <c r="G47" s="692"/>
    </row>
    <row r="48" spans="1:7" ht="14.25" customHeight="1">
      <c r="A48" s="718"/>
      <c r="B48" s="704" t="s">
        <v>1298</v>
      </c>
      <c r="C48" s="685"/>
      <c r="D48" s="551">
        <f>SUM(D34:D46)</f>
        <v>37410789.999999858</v>
      </c>
      <c r="E48" s="551">
        <f>SUM(E34:E46)</f>
        <v>37221005.305900007</v>
      </c>
      <c r="F48" s="693">
        <f t="shared" si="2"/>
        <v>0.50729934893075412</v>
      </c>
      <c r="G48" s="706"/>
    </row>
    <row r="49" spans="1:7" ht="14.25" customHeight="1">
      <c r="A49" s="1285" t="s">
        <v>1321</v>
      </c>
      <c r="B49" s="1285"/>
      <c r="C49" s="685"/>
      <c r="D49" s="11" t="s">
        <v>1277</v>
      </c>
      <c r="E49" s="681" t="s">
        <v>1278</v>
      </c>
      <c r="F49" s="693"/>
      <c r="G49" s="680"/>
    </row>
    <row r="50" spans="1:7" ht="14.25" customHeight="1">
      <c r="A50" s="707">
        <v>1</v>
      </c>
      <c r="B50" s="708" t="s">
        <v>1322</v>
      </c>
      <c r="C50" s="685" t="s">
        <v>1283</v>
      </c>
      <c r="D50" s="709">
        <f>'SS INPUT'!J262</f>
        <v>1721599.9999999912</v>
      </c>
      <c r="E50" s="691">
        <f>'SS INPUT'!J268</f>
        <v>1714380.8779000156</v>
      </c>
      <c r="F50" s="693">
        <f t="shared" ref="F50:F75" si="3">(D50-E50)*100/D50</f>
        <v>0.41932633015657683</v>
      </c>
      <c r="G50" s="710"/>
    </row>
    <row r="51" spans="1:7" ht="14.25" customHeight="1">
      <c r="A51" s="685">
        <v>2</v>
      </c>
      <c r="B51" s="687" t="s">
        <v>158</v>
      </c>
      <c r="C51" s="685" t="s">
        <v>1283</v>
      </c>
      <c r="D51" s="709">
        <f>'SS INPUT'!J273</f>
        <v>2727719.9999999823</v>
      </c>
      <c r="E51" s="691">
        <f>'SS INPUT'!J279</f>
        <v>2720544.9240000024</v>
      </c>
      <c r="F51" s="693">
        <f t="shared" si="3"/>
        <v>0.26304298095038742</v>
      </c>
      <c r="G51" s="680"/>
    </row>
    <row r="52" spans="1:7" ht="14.25" customHeight="1">
      <c r="A52" s="685">
        <v>3</v>
      </c>
      <c r="B52" s="694" t="s">
        <v>162</v>
      </c>
      <c r="C52" s="685" t="s">
        <v>1312</v>
      </c>
      <c r="D52" s="709">
        <f>'SS INPUT'!J285</f>
        <v>4583739.9999999991</v>
      </c>
      <c r="E52" s="691">
        <f>'SS INPUT'!J293</f>
        <v>4531439.0000000112</v>
      </c>
      <c r="F52" s="693">
        <f t="shared" si="3"/>
        <v>1.141011488434944</v>
      </c>
      <c r="G52" s="680"/>
    </row>
    <row r="53" spans="1:7" ht="14.25" customHeight="1">
      <c r="A53" s="685">
        <v>4</v>
      </c>
      <c r="B53" s="694" t="s">
        <v>1323</v>
      </c>
      <c r="C53" s="685" t="s">
        <v>1283</v>
      </c>
      <c r="D53" s="709">
        <f>'SS INPUT'!J296</f>
        <v>3224000</v>
      </c>
      <c r="E53" s="691">
        <f>'SS INPUT'!J302</f>
        <v>3196569.9999999972</v>
      </c>
      <c r="F53" s="690">
        <f t="shared" si="3"/>
        <v>0.85080645161298984</v>
      </c>
      <c r="G53" s="680"/>
    </row>
    <row r="54" spans="1:7" ht="14.25" customHeight="1">
      <c r="A54" s="685">
        <v>5</v>
      </c>
      <c r="B54" s="687" t="s">
        <v>904</v>
      </c>
      <c r="C54" s="685" t="s">
        <v>1324</v>
      </c>
      <c r="D54" s="709">
        <f>'SS INPUT'!J305</f>
        <v>1814490.0000000012</v>
      </c>
      <c r="E54" s="691">
        <f>'SS INPUT'!J313</f>
        <v>1791735.5213000006</v>
      </c>
      <c r="F54" s="715">
        <f t="shared" si="3"/>
        <v>1.2540426621254757</v>
      </c>
      <c r="G54" s="680"/>
    </row>
    <row r="55" spans="1:7" ht="14.25" customHeight="1">
      <c r="A55" s="685">
        <v>6</v>
      </c>
      <c r="B55" s="687" t="s">
        <v>210</v>
      </c>
      <c r="C55" s="685" t="s">
        <v>1283</v>
      </c>
      <c r="D55" s="709">
        <f>'SS INPUT'!J322</f>
        <v>1796536.0000000289</v>
      </c>
      <c r="E55" s="691">
        <f>'SS INPUT'!J329</f>
        <v>1763910.0000000028</v>
      </c>
      <c r="F55" s="690">
        <f t="shared" si="3"/>
        <v>1.8160504437442697</v>
      </c>
      <c r="G55" s="680"/>
    </row>
    <row r="56" spans="1:7" ht="14.25" customHeight="1">
      <c r="A56" s="685">
        <v>7</v>
      </c>
      <c r="B56" s="687" t="s">
        <v>1068</v>
      </c>
      <c r="C56" s="685" t="s">
        <v>1283</v>
      </c>
      <c r="D56" s="709">
        <f>'SS INPUT'!J332</f>
        <v>3080000</v>
      </c>
      <c r="E56" s="691">
        <f>'SS INPUT'!J338</f>
        <v>3073566.5698000062</v>
      </c>
      <c r="F56" s="690">
        <f t="shared" si="3"/>
        <v>0.20887760389590176</v>
      </c>
      <c r="G56" s="680"/>
    </row>
    <row r="57" spans="1:7" ht="14.25" customHeight="1">
      <c r="A57" s="685">
        <v>8</v>
      </c>
      <c r="B57" s="687" t="s">
        <v>1078</v>
      </c>
      <c r="C57" s="685" t="s">
        <v>1325</v>
      </c>
      <c r="D57" s="709">
        <f>'SS INPUT'!J350</f>
        <v>4777130.0000000512</v>
      </c>
      <c r="E57" s="691">
        <f>'SS INPUT'!J360</f>
        <v>4756748.7458923282</v>
      </c>
      <c r="F57" s="693">
        <f t="shared" si="3"/>
        <v>0.42664223305044646</v>
      </c>
      <c r="G57" s="680"/>
    </row>
    <row r="58" spans="1:7" ht="14.25" customHeight="1">
      <c r="A58" s="685">
        <v>9</v>
      </c>
      <c r="B58" s="687" t="s">
        <v>1326</v>
      </c>
      <c r="C58" s="685" t="s">
        <v>1283</v>
      </c>
      <c r="D58" s="709">
        <f>'SS INPUT'!J365</f>
        <v>3011600.0000000349</v>
      </c>
      <c r="E58" s="691">
        <f>'SS INPUT'!J373</f>
        <v>2999480.5477000279</v>
      </c>
      <c r="F58" s="693">
        <f t="shared" si="3"/>
        <v>0.4024256973039862</v>
      </c>
      <c r="G58" s="680"/>
    </row>
    <row r="59" spans="1:7" ht="14.25" customHeight="1">
      <c r="A59" s="685">
        <v>10</v>
      </c>
      <c r="B59" s="687" t="s">
        <v>1327</v>
      </c>
      <c r="C59" s="685" t="s">
        <v>1283</v>
      </c>
      <c r="D59" s="709">
        <f>'SS INPUT'!J379</f>
        <v>2602519.999999966</v>
      </c>
      <c r="E59" s="691">
        <f>'SS INPUT'!J387</f>
        <v>2565543.401800001</v>
      </c>
      <c r="F59" s="693">
        <f t="shared" si="3"/>
        <v>1.4207997709898657</v>
      </c>
      <c r="G59" s="680"/>
    </row>
    <row r="60" spans="1:7" ht="14.25" customHeight="1">
      <c r="A60" s="685">
        <v>11</v>
      </c>
      <c r="B60" s="687" t="s">
        <v>167</v>
      </c>
      <c r="C60" s="685" t="s">
        <v>1283</v>
      </c>
      <c r="D60" s="709">
        <f>'SS INPUT'!J391</f>
        <v>3344754.9999999944</v>
      </c>
      <c r="E60" s="691">
        <f>'SS INPUT'!J397</f>
        <v>3295479.9999999995</v>
      </c>
      <c r="F60" s="690">
        <f t="shared" si="3"/>
        <v>1.473202073096384</v>
      </c>
      <c r="G60" s="680"/>
    </row>
    <row r="61" spans="1:7" ht="14.25" customHeight="1">
      <c r="A61" s="685">
        <v>12</v>
      </c>
      <c r="B61" s="694" t="s">
        <v>1328</v>
      </c>
      <c r="C61" s="685" t="s">
        <v>1283</v>
      </c>
      <c r="D61" s="709">
        <f>'SS INPUT'!J401</f>
        <v>2648000</v>
      </c>
      <c r="E61" s="691">
        <f>'SS INPUT'!J407</f>
        <v>2598857.7799999989</v>
      </c>
      <c r="F61" s="693">
        <f t="shared" si="3"/>
        <v>1.8558240181269312</v>
      </c>
      <c r="G61" s="680"/>
    </row>
    <row r="62" spans="1:7" ht="14.25" customHeight="1">
      <c r="A62" s="685">
        <v>13</v>
      </c>
      <c r="B62" s="711" t="s">
        <v>1329</v>
      </c>
      <c r="C62" s="685" t="s">
        <v>1285</v>
      </c>
      <c r="D62" s="709">
        <f>'SS INPUT'!J415</f>
        <v>2281440.0000000522</v>
      </c>
      <c r="E62" s="691">
        <f>'SS INPUT'!J421</f>
        <v>2276111.6051999992</v>
      </c>
      <c r="F62" s="693">
        <f t="shared" si="3"/>
        <v>0.23355401851693913</v>
      </c>
      <c r="G62" s="680"/>
    </row>
    <row r="63" spans="1:7" ht="14.25" customHeight="1">
      <c r="A63" s="685">
        <v>14</v>
      </c>
      <c r="B63" s="678" t="s">
        <v>1330</v>
      </c>
      <c r="C63" s="685" t="s">
        <v>1282</v>
      </c>
      <c r="D63" s="709">
        <f>'SS INPUT'!J424</f>
        <v>1695000</v>
      </c>
      <c r="E63" s="691">
        <f>'SS INPUT'!J429</f>
        <v>1662066.5131000015</v>
      </c>
      <c r="F63" s="693">
        <f t="shared" si="3"/>
        <v>1.9429785781710032</v>
      </c>
      <c r="G63" s="680"/>
    </row>
    <row r="64" spans="1:7" ht="14.25" customHeight="1">
      <c r="A64" s="685">
        <v>15</v>
      </c>
      <c r="B64" s="678" t="s">
        <v>1331</v>
      </c>
      <c r="C64" s="685" t="s">
        <v>1285</v>
      </c>
      <c r="D64" s="709">
        <f>'SS INPUT'!J432</f>
        <v>1105699.9999999972</v>
      </c>
      <c r="E64" s="691">
        <f>'SS INPUT'!J437</f>
        <v>1099280.0000000044</v>
      </c>
      <c r="F64" s="690">
        <f t="shared" si="3"/>
        <v>0.58062765668741956</v>
      </c>
      <c r="G64" s="680"/>
    </row>
    <row r="65" spans="1:10" ht="14.25" customHeight="1">
      <c r="A65" s="685">
        <v>16</v>
      </c>
      <c r="B65" s="711" t="s">
        <v>1332</v>
      </c>
      <c r="C65" s="685" t="s">
        <v>1333</v>
      </c>
      <c r="D65" s="709">
        <f>'SS INPUT'!J440</f>
        <v>1007600.0000000022</v>
      </c>
      <c r="E65" s="691">
        <f>'SS INPUT'!J446</f>
        <v>1003916.9021536993</v>
      </c>
      <c r="F65" s="715">
        <f t="shared" si="3"/>
        <v>0.36553174338059691</v>
      </c>
      <c r="G65" s="680"/>
    </row>
    <row r="66" spans="1:10" ht="14.25" customHeight="1">
      <c r="A66" s="685">
        <v>17</v>
      </c>
      <c r="B66" s="678" t="s">
        <v>1334</v>
      </c>
      <c r="C66" s="685" t="s">
        <v>1283</v>
      </c>
      <c r="D66" s="709">
        <f>'SS INPUT'!J451</f>
        <v>3579199.9999999534</v>
      </c>
      <c r="E66" s="691">
        <f>'SS INPUT'!J459</f>
        <v>3564846.468899989</v>
      </c>
      <c r="F66" s="690">
        <f t="shared" si="3"/>
        <v>0.40102623770576068</v>
      </c>
      <c r="G66" s="680"/>
    </row>
    <row r="67" spans="1:10" ht="14.25" customHeight="1">
      <c r="A67" s="685">
        <v>18</v>
      </c>
      <c r="B67" s="678" t="s">
        <v>1335</v>
      </c>
      <c r="C67" s="685" t="s">
        <v>1285</v>
      </c>
      <c r="D67" s="702">
        <f>'SS INPUT'!J462</f>
        <v>1097500</v>
      </c>
      <c r="E67" s="689">
        <f>'SS INPUT'!J466</f>
        <v>1089063.9440000087</v>
      </c>
      <c r="F67" s="690">
        <f t="shared" si="3"/>
        <v>0.7686611389513669</v>
      </c>
      <c r="G67" s="680"/>
    </row>
    <row r="68" spans="1:10" ht="14.25" customHeight="1">
      <c r="A68" s="719">
        <v>19</v>
      </c>
      <c r="B68" s="678" t="s">
        <v>927</v>
      </c>
      <c r="C68" s="685" t="s">
        <v>1285</v>
      </c>
      <c r="D68" s="709">
        <f>'SS INPUT'!J469</f>
        <v>1490160.0000000035</v>
      </c>
      <c r="E68" s="691">
        <f>'SS INPUT'!J475</f>
        <v>1475639.9999999977</v>
      </c>
      <c r="F68" s="693">
        <f t="shared" si="3"/>
        <v>0.9743920115964585</v>
      </c>
      <c r="G68" s="680"/>
    </row>
    <row r="69" spans="1:10" ht="14.25" customHeight="1">
      <c r="A69" s="719">
        <v>20</v>
      </c>
      <c r="B69" s="678" t="s">
        <v>1336</v>
      </c>
      <c r="C69" s="685" t="s">
        <v>1285</v>
      </c>
      <c r="D69" s="709">
        <f>'SS INPUT'!J478</f>
        <v>2635839.9999999963</v>
      </c>
      <c r="E69" s="691">
        <f>'SS INPUT'!J483</f>
        <v>2604060.0000000014</v>
      </c>
      <c r="F69" s="690">
        <f t="shared" si="3"/>
        <v>1.2056877503943686</v>
      </c>
      <c r="G69" s="680"/>
    </row>
    <row r="70" spans="1:10" ht="40.5" customHeight="1">
      <c r="A70" s="719">
        <v>21</v>
      </c>
      <c r="B70" s="678" t="s">
        <v>1337</v>
      </c>
      <c r="C70" s="685" t="s">
        <v>1285</v>
      </c>
      <c r="D70" s="709">
        <f>'SS INPUT'!J487</f>
        <v>80920</v>
      </c>
      <c r="E70" s="691">
        <f>'SS INPUT'!J492</f>
        <v>80199</v>
      </c>
      <c r="F70" s="690">
        <f t="shared" si="3"/>
        <v>0.89100346020761245</v>
      </c>
      <c r="G70" s="699" t="s">
        <v>1338</v>
      </c>
      <c r="I70">
        <v>9329235941</v>
      </c>
    </row>
    <row r="71" spans="1:10" ht="14.25" customHeight="1">
      <c r="A71" s="719">
        <v>22</v>
      </c>
      <c r="B71" s="678" t="s">
        <v>1339</v>
      </c>
      <c r="C71" s="685" t="s">
        <v>1285</v>
      </c>
      <c r="D71" s="709">
        <f>'SS INPUT'!J498</f>
        <v>1137840</v>
      </c>
      <c r="E71" s="691">
        <f>'SS INPUT'!J503</f>
        <v>1131480</v>
      </c>
      <c r="F71" s="690">
        <f t="shared" si="3"/>
        <v>0.55895380721366805</v>
      </c>
      <c r="G71" s="680"/>
    </row>
    <row r="72" spans="1:10" ht="14.25" customHeight="1">
      <c r="A72" s="719">
        <v>23</v>
      </c>
      <c r="B72" s="678" t="s">
        <v>979</v>
      </c>
      <c r="C72" s="685" t="s">
        <v>1285</v>
      </c>
      <c r="D72" s="709">
        <f>'SS INPUT'!J508</f>
        <v>616439.99999999942</v>
      </c>
      <c r="E72" s="691">
        <f>'SS INPUT'!J514</f>
        <v>606398.49649999978</v>
      </c>
      <c r="F72" s="690">
        <f t="shared" si="3"/>
        <v>1.6289506683537167</v>
      </c>
      <c r="G72" s="699"/>
    </row>
    <row r="73" spans="1:10" ht="38.25" customHeight="1">
      <c r="A73" s="719">
        <v>24</v>
      </c>
      <c r="B73" s="678" t="s">
        <v>1340</v>
      </c>
      <c r="C73" s="685" t="s">
        <v>1285</v>
      </c>
      <c r="D73" s="709">
        <f>'SS INPUT'!J517</f>
        <v>314480</v>
      </c>
      <c r="E73" s="691">
        <f>'SS INPUT'!J522</f>
        <v>311560</v>
      </c>
      <c r="F73" s="690">
        <f t="shared" si="3"/>
        <v>0.92851691681505977</v>
      </c>
      <c r="G73" s="699" t="s">
        <v>1341</v>
      </c>
    </row>
    <row r="74" spans="1:10" ht="15.75" customHeight="1">
      <c r="A74" s="720"/>
      <c r="B74" s="704" t="s">
        <v>1298</v>
      </c>
      <c r="C74" s="685"/>
      <c r="D74" s="551">
        <f>SUM(D50:D73)</f>
        <v>52374211.00000006</v>
      </c>
      <c r="E74" s="705">
        <f>SUM(E50:E73)</f>
        <v>51912880.298246093</v>
      </c>
      <c r="F74" s="693">
        <f t="shared" si="3"/>
        <v>0.88083561154547219</v>
      </c>
      <c r="G74" s="706"/>
    </row>
    <row r="75" spans="1:10" ht="15" customHeight="1">
      <c r="A75" s="721"/>
      <c r="B75" s="721"/>
      <c r="C75" s="721"/>
      <c r="D75" s="722">
        <f>D22+D32+D48+D74</f>
        <v>134553031.99999982</v>
      </c>
      <c r="E75" s="722">
        <f>E22+E32+E48+E74</f>
        <v>133502455.22846609</v>
      </c>
      <c r="F75" s="690">
        <f t="shared" si="3"/>
        <v>0.78079011369563867</v>
      </c>
      <c r="G75" s="723"/>
      <c r="I75">
        <v>799911</v>
      </c>
      <c r="J75">
        <v>877</v>
      </c>
    </row>
    <row r="77" spans="1:10">
      <c r="E77" s="72">
        <f>D75-E75</f>
        <v>1050576.7715337276</v>
      </c>
    </row>
    <row r="88" spans="6:7">
      <c r="F88" s="1" t="s">
        <v>1342</v>
      </c>
      <c r="G88" s="1">
        <v>2</v>
      </c>
    </row>
    <row r="89" spans="6:7">
      <c r="F89" s="1" t="s">
        <v>1343</v>
      </c>
      <c r="G89" s="1">
        <v>6</v>
      </c>
    </row>
    <row r="90" spans="6:7">
      <c r="F90" s="1" t="s">
        <v>1344</v>
      </c>
      <c r="G90" s="1">
        <v>6</v>
      </c>
    </row>
    <row r="91" spans="6:7">
      <c r="F91" s="1" t="s">
        <v>1345</v>
      </c>
      <c r="G91" s="1">
        <v>4</v>
      </c>
    </row>
    <row r="92" spans="6:7">
      <c r="F92" s="1" t="s">
        <v>1346</v>
      </c>
      <c r="G92" s="1">
        <v>2</v>
      </c>
    </row>
    <row r="93" spans="6:7">
      <c r="F93" s="1" t="s">
        <v>1347</v>
      </c>
      <c r="G93" s="1">
        <v>1</v>
      </c>
    </row>
    <row r="94" spans="6:7">
      <c r="F94" s="1" t="s">
        <v>1348</v>
      </c>
      <c r="G94" s="1">
        <v>1</v>
      </c>
    </row>
  </sheetData>
  <mergeCells count="7">
    <mergeCell ref="A33:B33"/>
    <mergeCell ref="A49:B49"/>
    <mergeCell ref="A1:G1"/>
    <mergeCell ref="B2:D2"/>
    <mergeCell ref="D3:E3"/>
    <mergeCell ref="A6:B6"/>
    <mergeCell ref="A23:B23"/>
  </mergeCells>
  <conditionalFormatting sqref="F7:F75">
    <cfRule type="dataBar" priority="2">
      <dataBar>
        <cfvo type="min"/>
        <cfvo type="max"/>
        <color rgb="FFFFFFFF"/>
      </dataBar>
      <extLst>
        <ext xmlns:x14="http://schemas.microsoft.com/office/spreadsheetml/2009/9/main" uri="{B025F937-C7B1-47D3-B67F-A62EFF666E3E}">
          <x14:id>{603720AB-BC22-4414-B86C-2A8235B65691}</x14:id>
        </ext>
      </extLst>
    </cfRule>
    <cfRule type="dataBar" priority="3">
      <dataBar>
        <cfvo type="percent" val="0"/>
        <cfvo type="percent" val="1.99"/>
        <color rgb="FF638EC6"/>
      </dataBar>
      <extLst>
        <ext xmlns:x14="http://schemas.microsoft.com/office/spreadsheetml/2009/9/main" uri="{B025F937-C7B1-47D3-B67F-A62EFF666E3E}">
          <x14:id>{5C34775F-9358-4D94-B467-50FB7F94E1D0}</x14:id>
        </ext>
      </extLst>
    </cfRule>
    <cfRule type="cellIs" dxfId="4" priority="4" operator="between">
      <formula>0</formula>
      <formula>1.99</formula>
    </cfRule>
    <cfRule type="cellIs" dxfId="3" priority="5" operator="between">
      <formula>0</formula>
      <formula>1.99</formula>
    </cfRule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{E357B5D7-67FD-404A-99E9-7A4C6FABF3F1}</x14:id>
        </ext>
      </extLst>
    </cfRule>
  </conditionalFormatting>
  <conditionalFormatting sqref="F17:F75">
    <cfRule type="dataBar" priority="7">
      <dataBar>
        <cfvo type="min"/>
        <cfvo type="max"/>
        <color rgb="FFFFFFFF"/>
      </dataBar>
      <extLst>
        <ext xmlns:x14="http://schemas.microsoft.com/office/spreadsheetml/2009/9/main" uri="{B025F937-C7B1-47D3-B67F-A62EFF666E3E}">
          <x14:id>{FA9D22C9-B3F1-4651-94E1-1EE33E948B28}</x14:id>
        </ext>
      </extLst>
    </cfRule>
  </conditionalFormatting>
  <conditionalFormatting sqref="F34:F35">
    <cfRule type="cellIs" dxfId="2" priority="8" operator="lessThan">
      <formula>2</formula>
    </cfRule>
    <cfRule type="cellIs" dxfId="1" priority="9" operator="lessThan">
      <formula>2</formula>
    </cfRule>
    <cfRule type="cellIs" dxfId="0" priority="10" operator="between">
      <formula>"-"</formula>
      <formula>2</formula>
    </cfRule>
  </conditionalFormatting>
  <pageMargins left="0.7" right="0.7" top="0.75" bottom="0.75" header="0.51180555555555496" footer="0.51180555555555496"/>
  <pageSetup firstPageNumber="0" orientation="portrait" horizontalDpi="300" verticalDpi="30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03720AB-BC22-4414-B86C-2A8235B65691}">
            <x14:dataBar axisPosition="none">
              <x14:cfvo type="min"/>
              <x14:cfvo type="max"/>
              <x14:negativeFillColor rgb="FFFFFFFF"/>
            </x14:dataBar>
          </x14:cfRule>
          <x14:cfRule type="dataBar" id="{5C34775F-9358-4D94-B467-50FB7F94E1D0}">
            <x14:dataBar axisPosition="none">
              <x14:cfvo type="percent">
                <xm:f>0</xm:f>
              </x14:cfvo>
              <x14:cfvo type="percent">
                <xm:f>1.99</xm:f>
              </x14:cfvo>
              <x14:negativeFillColor rgb="FF638EC6"/>
            </x14:dataBar>
          </x14:cfRule>
          <x14:cfRule type="dataBar" id="{E357B5D7-67FD-404A-99E9-7A4C6FABF3F1}">
            <x14:dataBar axisPosition="none">
              <x14:cfvo type="min"/>
              <x14:cfvo type="max"/>
              <x14:negativeFillColor rgb="FF638EC6"/>
            </x14:dataBar>
          </x14:cfRule>
          <xm:sqref>F7:F75</xm:sqref>
        </x14:conditionalFormatting>
        <x14:conditionalFormatting xmlns:xm="http://schemas.microsoft.com/office/excel/2006/main">
          <x14:cfRule type="dataBar" id="{FA9D22C9-B3F1-4651-94E1-1EE33E948B28}">
            <x14:dataBar axisPosition="none">
              <x14:cfvo type="min"/>
              <x14:cfvo type="max"/>
              <x14:negativeFillColor rgb="FFFFFFFF"/>
            </x14:dataBar>
          </x14:cfRule>
          <xm:sqref>F17:F75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MK721"/>
  <sheetViews>
    <sheetView tabSelected="1" topLeftCell="A658" zoomScale="90" zoomScaleNormal="90" workbookViewId="0">
      <selection activeCell="B665" sqref="B665:C667"/>
    </sheetView>
  </sheetViews>
  <sheetFormatPr defaultRowHeight="15"/>
  <cols>
    <col min="1" max="1" width="5.5703125" style="379" customWidth="1"/>
    <col min="2" max="2" width="30.5703125" style="724" customWidth="1"/>
    <col min="3" max="3" width="11.140625" style="379" customWidth="1"/>
    <col min="4" max="5" width="16.5703125" style="379" customWidth="1"/>
    <col min="6" max="6" width="10.5703125" style="379" bestFit="1" customWidth="1"/>
    <col min="7" max="7" width="9" style="379" customWidth="1"/>
    <col min="8" max="8" width="10.7109375" style="379" customWidth="1"/>
    <col min="9" max="9" width="11" style="379" customWidth="1"/>
    <col min="10" max="10" width="12.5703125" style="379" customWidth="1"/>
    <col min="11" max="11" width="16.7109375" style="379" customWidth="1"/>
    <col min="12" max="12" width="14" style="379" customWidth="1"/>
    <col min="13" max="13" width="12.7109375" style="379" customWidth="1"/>
    <col min="14" max="14" width="11" style="379" customWidth="1"/>
    <col min="15" max="16" width="8.7109375" style="379" customWidth="1"/>
    <col min="17" max="17" width="11" style="379" customWidth="1"/>
    <col min="18" max="19" width="8.7109375" style="379" customWidth="1"/>
    <col min="20" max="20" width="9" style="379" customWidth="1"/>
    <col min="21" max="1025" width="9.140625" style="379" customWidth="1"/>
  </cols>
  <sheetData>
    <row r="1" spans="1:14" customFormat="1" ht="18">
      <c r="A1" s="1340" t="s">
        <v>1349</v>
      </c>
      <c r="B1" s="1340"/>
      <c r="C1" s="1340"/>
      <c r="D1" s="1340"/>
      <c r="E1" s="1340"/>
      <c r="F1" s="1340"/>
      <c r="G1" s="1340"/>
      <c r="H1" s="1340"/>
      <c r="I1" s="1340"/>
      <c r="J1" s="1340"/>
      <c r="K1" s="1340"/>
      <c r="L1" s="379"/>
      <c r="M1" s="379"/>
      <c r="N1" s="379"/>
    </row>
    <row r="2" spans="1:14" customFormat="1">
      <c r="A2" s="1341" t="s">
        <v>1350</v>
      </c>
      <c r="B2" s="1341"/>
      <c r="C2" s="1341"/>
      <c r="D2" s="1344" t="str">
        <f>'CIRCLE INPUT'!Q3</f>
        <v>OCT.2024</v>
      </c>
      <c r="E2" s="1344"/>
      <c r="F2" s="153"/>
      <c r="G2" s="153"/>
      <c r="H2" s="153"/>
      <c r="I2" s="153"/>
      <c r="J2" s="153"/>
      <c r="K2" s="153"/>
      <c r="L2" s="379"/>
      <c r="M2" s="379"/>
      <c r="N2" s="379"/>
    </row>
    <row r="3" spans="1:14" customFormat="1" ht="34.5" customHeight="1">
      <c r="A3" s="14" t="s">
        <v>345</v>
      </c>
      <c r="B3" s="725" t="s">
        <v>898</v>
      </c>
      <c r="C3" s="726" t="s">
        <v>1351</v>
      </c>
      <c r="D3" s="1345" t="s">
        <v>1352</v>
      </c>
      <c r="E3" s="1345"/>
      <c r="F3" s="727" t="s">
        <v>1353</v>
      </c>
      <c r="G3" s="14" t="s">
        <v>135</v>
      </c>
      <c r="H3" s="14" t="s">
        <v>13</v>
      </c>
      <c r="I3" s="728" t="s">
        <v>292</v>
      </c>
      <c r="J3" s="727" t="s">
        <v>291</v>
      </c>
      <c r="K3" s="729"/>
      <c r="L3" s="379" t="s">
        <v>291</v>
      </c>
      <c r="M3" s="379"/>
      <c r="N3" s="379"/>
    </row>
    <row r="4" spans="1:14" customFormat="1" ht="15.75">
      <c r="A4" s="14"/>
      <c r="B4" s="725"/>
      <c r="C4" s="238"/>
      <c r="D4" s="730">
        <v>45565</v>
      </c>
      <c r="E4" s="730">
        <v>45596</v>
      </c>
      <c r="F4" s="14"/>
      <c r="G4" s="14"/>
      <c r="H4" s="14"/>
      <c r="I4" s="14"/>
      <c r="J4" s="731"/>
      <c r="K4" s="153" t="s">
        <v>1354</v>
      </c>
      <c r="L4" s="379"/>
      <c r="M4" s="379"/>
      <c r="N4" s="379"/>
    </row>
    <row r="5" spans="1:14" customFormat="1">
      <c r="A5" s="153">
        <v>1</v>
      </c>
      <c r="B5" s="732" t="s">
        <v>1355</v>
      </c>
      <c r="C5" s="733"/>
      <c r="D5" s="153"/>
      <c r="E5" s="153"/>
      <c r="F5" s="153"/>
      <c r="G5" s="153"/>
      <c r="H5" s="153"/>
      <c r="I5" s="153"/>
      <c r="J5" s="153"/>
      <c r="K5" s="153"/>
      <c r="L5" s="379"/>
      <c r="M5" s="379"/>
      <c r="N5" s="379"/>
    </row>
    <row r="6" spans="1:14" customFormat="1" ht="14.45" customHeight="1">
      <c r="A6" s="153">
        <v>1</v>
      </c>
      <c r="B6" s="734" t="s">
        <v>1356</v>
      </c>
      <c r="C6" s="238" t="s">
        <v>1357</v>
      </c>
      <c r="D6" s="153">
        <v>588.64</v>
      </c>
      <c r="E6" s="153">
        <v>588.64</v>
      </c>
      <c r="F6" s="247">
        <f>E6-D6</f>
        <v>0</v>
      </c>
      <c r="G6" s="153">
        <v>80000</v>
      </c>
      <c r="H6" s="153">
        <f>F6*G6</f>
        <v>0</v>
      </c>
      <c r="I6" s="153"/>
      <c r="J6" s="153">
        <f>H6+I6</f>
        <v>0</v>
      </c>
      <c r="K6" s="153"/>
      <c r="L6" s="735">
        <v>0</v>
      </c>
      <c r="M6" s="736" t="e">
        <f>J6/L6</f>
        <v>#DIV/0!</v>
      </c>
      <c r="N6" s="379"/>
    </row>
    <row r="7" spans="1:14" customFormat="1" ht="14.45" customHeight="1">
      <c r="A7" s="153">
        <v>2</v>
      </c>
      <c r="B7" s="734" t="s">
        <v>1358</v>
      </c>
      <c r="C7" s="238" t="s">
        <v>1359</v>
      </c>
      <c r="D7" s="153">
        <v>100948.1</v>
      </c>
      <c r="E7" s="153">
        <v>100948.1</v>
      </c>
      <c r="F7" s="153">
        <f>E7-D7</f>
        <v>0</v>
      </c>
      <c r="G7" s="153">
        <v>4000</v>
      </c>
      <c r="H7" s="153">
        <f>F7*G7</f>
        <v>0</v>
      </c>
      <c r="I7" s="153">
        <v>1700000</v>
      </c>
      <c r="J7" s="153">
        <f>H7+I7</f>
        <v>1700000</v>
      </c>
      <c r="K7" s="153"/>
      <c r="L7" s="735">
        <v>1760000</v>
      </c>
      <c r="M7" s="736">
        <f t="shared" ref="M7:M70" si="0">J7/L7</f>
        <v>0.96590909090909094</v>
      </c>
      <c r="N7" s="379"/>
    </row>
    <row r="8" spans="1:14" customFormat="1" ht="14.45" customHeight="1">
      <c r="A8" s="153"/>
      <c r="B8" s="737" t="s">
        <v>1360</v>
      </c>
      <c r="C8" s="733"/>
      <c r="D8" s="153"/>
      <c r="E8" s="153"/>
      <c r="F8" s="153"/>
      <c r="G8" s="153"/>
      <c r="H8" s="153"/>
      <c r="I8" s="153"/>
      <c r="J8" s="153"/>
      <c r="K8" s="153"/>
      <c r="L8" s="735"/>
      <c r="M8" s="736" t="e">
        <f t="shared" si="0"/>
        <v>#DIV/0!</v>
      </c>
      <c r="N8" s="379"/>
    </row>
    <row r="9" spans="1:14" customFormat="1" ht="14.45" customHeight="1">
      <c r="A9" s="153">
        <v>1</v>
      </c>
      <c r="B9" s="734" t="s">
        <v>1361</v>
      </c>
      <c r="C9" s="153" t="s">
        <v>1362</v>
      </c>
      <c r="D9" s="153">
        <v>109.16</v>
      </c>
      <c r="E9" s="153">
        <v>109.16</v>
      </c>
      <c r="F9" s="153">
        <f>E9-D9</f>
        <v>0</v>
      </c>
      <c r="G9" s="153">
        <v>24000</v>
      </c>
      <c r="H9" s="153">
        <f>F9*G9</f>
        <v>0</v>
      </c>
      <c r="I9" s="153"/>
      <c r="J9" s="153">
        <f>H9+I9</f>
        <v>0</v>
      </c>
      <c r="K9" s="153"/>
      <c r="L9" s="735">
        <v>0</v>
      </c>
      <c r="M9" s="736" t="e">
        <f t="shared" si="0"/>
        <v>#DIV/0!</v>
      </c>
      <c r="N9" s="379"/>
    </row>
    <row r="10" spans="1:14" customFormat="1" ht="14.45" customHeight="1">
      <c r="A10" s="153">
        <v>2</v>
      </c>
      <c r="B10" s="734" t="s">
        <v>1358</v>
      </c>
      <c r="C10" s="153" t="s">
        <v>1359</v>
      </c>
      <c r="D10" s="153">
        <v>74.599999999999994</v>
      </c>
      <c r="E10" s="153">
        <v>74.599999999999994</v>
      </c>
      <c r="F10" s="153">
        <f>E10-D10</f>
        <v>0</v>
      </c>
      <c r="G10" s="153">
        <v>4000</v>
      </c>
      <c r="H10" s="153">
        <f>F10*G10</f>
        <v>0</v>
      </c>
      <c r="I10" s="153"/>
      <c r="J10" s="153">
        <f>H10+I10</f>
        <v>0</v>
      </c>
      <c r="K10" s="153"/>
      <c r="L10" s="735">
        <v>0</v>
      </c>
      <c r="M10" s="736" t="e">
        <f t="shared" si="0"/>
        <v>#DIV/0!</v>
      </c>
      <c r="N10" s="379"/>
    </row>
    <row r="11" spans="1:14" customFormat="1" ht="14.45" customHeight="1">
      <c r="A11" s="153">
        <v>2</v>
      </c>
      <c r="B11" s="734" t="s">
        <v>1356</v>
      </c>
      <c r="C11" s="238" t="s">
        <v>1357</v>
      </c>
      <c r="D11" s="153">
        <v>7.77</v>
      </c>
      <c r="E11" s="153">
        <v>7.77</v>
      </c>
      <c r="F11" s="153">
        <f>E11-D11</f>
        <v>0</v>
      </c>
      <c r="G11" s="153">
        <v>80000</v>
      </c>
      <c r="H11" s="153">
        <f>F11*G11</f>
        <v>0</v>
      </c>
      <c r="I11" s="153"/>
      <c r="J11" s="153">
        <f>H11+I11</f>
        <v>0</v>
      </c>
      <c r="K11" s="153"/>
      <c r="L11" s="735">
        <v>0</v>
      </c>
      <c r="M11" s="736" t="e">
        <f t="shared" si="0"/>
        <v>#DIV/0!</v>
      </c>
      <c r="N11" s="379"/>
    </row>
    <row r="12" spans="1:14" customFormat="1" ht="14.45" customHeight="1">
      <c r="A12" s="153"/>
      <c r="B12" s="734" t="s">
        <v>1363</v>
      </c>
      <c r="C12" s="238"/>
      <c r="D12" s="153"/>
      <c r="E12" s="153"/>
      <c r="F12" s="153"/>
      <c r="G12" s="153"/>
      <c r="H12" s="153"/>
      <c r="I12" s="153"/>
      <c r="J12" s="153">
        <f>J6+J7-J11-J10-J9</f>
        <v>1700000</v>
      </c>
      <c r="K12" s="153"/>
      <c r="L12" s="735">
        <v>1760000</v>
      </c>
      <c r="M12" s="736">
        <f t="shared" si="0"/>
        <v>0.96590909090909094</v>
      </c>
      <c r="N12" s="379"/>
    </row>
    <row r="13" spans="1:14" customFormat="1" ht="14.45" customHeight="1">
      <c r="A13" s="153"/>
      <c r="B13" s="737" t="s">
        <v>1364</v>
      </c>
      <c r="C13" s="733"/>
      <c r="D13" s="153"/>
      <c r="E13" s="153"/>
      <c r="F13" s="153"/>
      <c r="G13" s="153"/>
      <c r="H13" s="153"/>
      <c r="I13" s="153"/>
      <c r="J13" s="153"/>
      <c r="K13" s="153"/>
      <c r="L13" s="735"/>
      <c r="M13" s="736" t="e">
        <f t="shared" si="0"/>
        <v>#DIV/0!</v>
      </c>
      <c r="N13" s="379"/>
    </row>
    <row r="14" spans="1:14" customFormat="1" ht="14.45" customHeight="1">
      <c r="A14" s="153">
        <v>1</v>
      </c>
      <c r="B14" s="734" t="s">
        <v>1365</v>
      </c>
      <c r="C14" s="238" t="s">
        <v>1366</v>
      </c>
      <c r="D14" s="153">
        <v>52882.2</v>
      </c>
      <c r="E14" s="153">
        <v>56991.199999999997</v>
      </c>
      <c r="F14" s="153">
        <f t="shared" ref="F14:F19" si="1">E14-D14</f>
        <v>4109</v>
      </c>
      <c r="G14" s="153">
        <v>133.333</v>
      </c>
      <c r="H14" s="244">
        <f t="shared" ref="H14:H19" si="2">F14*G14</f>
        <v>547865.29700000002</v>
      </c>
      <c r="I14" s="244"/>
      <c r="J14" s="244">
        <f t="shared" ref="J14:J19" si="3">H14+I14</f>
        <v>547865.29700000002</v>
      </c>
      <c r="K14" s="153"/>
      <c r="L14" s="735">
        <v>585731.86899999995</v>
      </c>
      <c r="M14" s="736">
        <f t="shared" si="0"/>
        <v>0.93535169587980893</v>
      </c>
      <c r="N14" s="379"/>
    </row>
    <row r="15" spans="1:14" customFormat="1">
      <c r="A15" s="153">
        <v>2</v>
      </c>
      <c r="B15" s="734" t="s">
        <v>1296</v>
      </c>
      <c r="C15" s="238" t="s">
        <v>1367</v>
      </c>
      <c r="D15" s="153">
        <v>89990.7</v>
      </c>
      <c r="E15" s="153">
        <v>89990.7</v>
      </c>
      <c r="F15" s="153">
        <f t="shared" si="1"/>
        <v>0</v>
      </c>
      <c r="G15" s="153">
        <v>2000</v>
      </c>
      <c r="H15" s="153">
        <f t="shared" si="2"/>
        <v>0</v>
      </c>
      <c r="I15" s="153"/>
      <c r="J15" s="153">
        <f t="shared" si="3"/>
        <v>0</v>
      </c>
      <c r="K15" s="153"/>
      <c r="L15" s="735">
        <v>0</v>
      </c>
      <c r="M15" s="736" t="e">
        <f t="shared" si="0"/>
        <v>#DIV/0!</v>
      </c>
      <c r="N15" s="379">
        <f>L15*M14</f>
        <v>0</v>
      </c>
    </row>
    <row r="16" spans="1:14" customFormat="1">
      <c r="A16" s="153">
        <v>3</v>
      </c>
      <c r="B16" s="734" t="s">
        <v>1368</v>
      </c>
      <c r="C16" s="238" t="s">
        <v>1369</v>
      </c>
      <c r="D16" s="153">
        <v>5818.2</v>
      </c>
      <c r="E16" s="153">
        <v>5837.9</v>
      </c>
      <c r="F16" s="153">
        <f t="shared" si="1"/>
        <v>19.699999999999818</v>
      </c>
      <c r="G16" s="153">
        <v>1000</v>
      </c>
      <c r="H16" s="153">
        <f t="shared" si="2"/>
        <v>19699.999999999818</v>
      </c>
      <c r="I16" s="153"/>
      <c r="J16" s="153">
        <f t="shared" si="3"/>
        <v>19699.999999999818</v>
      </c>
      <c r="K16" s="153"/>
      <c r="L16" s="735">
        <v>18899.999999999636</v>
      </c>
      <c r="M16" s="736">
        <f t="shared" si="0"/>
        <v>1.0423280423280528</v>
      </c>
      <c r="N16" s="379">
        <f>L15*0.71</f>
        <v>0</v>
      </c>
    </row>
    <row r="17" spans="1:16" customFormat="1">
      <c r="A17" s="153">
        <v>4</v>
      </c>
      <c r="B17" s="734" t="s">
        <v>1154</v>
      </c>
      <c r="C17" s="238" t="s">
        <v>1370</v>
      </c>
      <c r="D17" s="153">
        <v>106481.1</v>
      </c>
      <c r="E17" s="153">
        <v>107025.2</v>
      </c>
      <c r="F17" s="153">
        <f t="shared" si="1"/>
        <v>544.09999999999127</v>
      </c>
      <c r="G17" s="153">
        <v>2000</v>
      </c>
      <c r="H17" s="153">
        <f t="shared" si="2"/>
        <v>1088199.9999999825</v>
      </c>
      <c r="I17" s="244"/>
      <c r="J17" s="244">
        <f t="shared" si="3"/>
        <v>1088199.9999999825</v>
      </c>
      <c r="K17" s="738"/>
      <c r="L17" s="735">
        <v>1115400.0000000233</v>
      </c>
      <c r="M17" s="736">
        <f t="shared" si="0"/>
        <v>0.97561412946024728</v>
      </c>
      <c r="N17" s="379"/>
      <c r="O17" s="379"/>
      <c r="P17" s="379"/>
    </row>
    <row r="18" spans="1:16" customFormat="1">
      <c r="A18" s="1339">
        <v>5</v>
      </c>
      <c r="B18" s="1346" t="s">
        <v>1371</v>
      </c>
      <c r="C18" s="238" t="s">
        <v>1372</v>
      </c>
      <c r="D18" s="153">
        <v>2186.1999999999998</v>
      </c>
      <c r="E18" s="153">
        <v>2326.1</v>
      </c>
      <c r="F18" s="153">
        <f t="shared" si="1"/>
        <v>139.90000000000009</v>
      </c>
      <c r="G18" s="153">
        <v>133.33000000000001</v>
      </c>
      <c r="H18" s="244">
        <f t="shared" si="2"/>
        <v>18652.867000000013</v>
      </c>
      <c r="I18" s="244">
        <v>6986.9772000000339</v>
      </c>
      <c r="J18" s="244">
        <f t="shared" si="3"/>
        <v>25639.844200000047</v>
      </c>
      <c r="K18" s="153"/>
      <c r="L18" s="735">
        <v>18760.016199999998</v>
      </c>
      <c r="M18" s="736">
        <f t="shared" si="0"/>
        <v>1.3667282547442603</v>
      </c>
      <c r="N18" s="379"/>
      <c r="O18" s="379"/>
      <c r="P18" s="379"/>
    </row>
    <row r="19" spans="1:16" customFormat="1">
      <c r="A19" s="1339"/>
      <c r="B19" s="1346"/>
      <c r="C19" s="238" t="s">
        <v>1373</v>
      </c>
      <c r="D19" s="153">
        <v>1161680</v>
      </c>
      <c r="E19" s="153">
        <v>1161680</v>
      </c>
      <c r="F19" s="153">
        <f t="shared" si="1"/>
        <v>0</v>
      </c>
      <c r="G19" s="153">
        <v>0.5</v>
      </c>
      <c r="H19" s="244">
        <f t="shared" si="2"/>
        <v>0</v>
      </c>
      <c r="I19" s="244"/>
      <c r="J19" s="244">
        <f t="shared" si="3"/>
        <v>0</v>
      </c>
      <c r="K19" s="153"/>
      <c r="L19" s="735">
        <v>0</v>
      </c>
      <c r="M19" s="736" t="e">
        <f t="shared" si="0"/>
        <v>#DIV/0!</v>
      </c>
      <c r="N19" s="379">
        <f>40/30</f>
        <v>1.3333333333333333</v>
      </c>
      <c r="O19" s="379">
        <f>N19*1000</f>
        <v>1333.3333333333333</v>
      </c>
      <c r="P19" s="379"/>
    </row>
    <row r="20" spans="1:16" customFormat="1">
      <c r="A20" s="153"/>
      <c r="B20" s="238"/>
      <c r="C20" s="238"/>
      <c r="D20" s="153"/>
      <c r="E20" s="153"/>
      <c r="F20" s="153"/>
      <c r="G20" s="153"/>
      <c r="H20" s="153"/>
      <c r="I20" s="244"/>
      <c r="J20" s="244">
        <f>SUM(J14:J19)</f>
        <v>1681405.1411999823</v>
      </c>
      <c r="K20" s="740">
        <f>(J12-J20)/J12</f>
        <v>1.0938152235304553E-2</v>
      </c>
      <c r="L20" s="735">
        <v>1738791.8852000227</v>
      </c>
      <c r="M20" s="736">
        <f t="shared" si="0"/>
        <v>0.96699619748142607</v>
      </c>
      <c r="N20" s="379"/>
      <c r="O20" s="379"/>
      <c r="P20" s="379"/>
    </row>
    <row r="21" spans="1:16" customFormat="1">
      <c r="A21" s="95">
        <v>2</v>
      </c>
      <c r="B21" s="741" t="s">
        <v>1374</v>
      </c>
      <c r="C21" s="238"/>
      <c r="D21" s="153"/>
      <c r="E21" s="153"/>
      <c r="F21" s="153"/>
      <c r="G21" s="153"/>
      <c r="H21" s="153"/>
      <c r="I21" s="153"/>
      <c r="J21" s="244"/>
      <c r="K21" s="153"/>
      <c r="L21" s="735"/>
      <c r="M21" s="736" t="e">
        <f t="shared" si="0"/>
        <v>#DIV/0!</v>
      </c>
      <c r="N21" s="379"/>
      <c r="O21" s="379"/>
      <c r="P21" s="379"/>
    </row>
    <row r="22" spans="1:16" customFormat="1">
      <c r="A22" s="153">
        <v>1</v>
      </c>
      <c r="B22" s="238" t="s">
        <v>1375</v>
      </c>
      <c r="C22" s="1342">
        <v>3743657</v>
      </c>
      <c r="D22" s="742">
        <v>974488.5</v>
      </c>
      <c r="E22" s="742">
        <v>996561.8</v>
      </c>
      <c r="F22" s="1339">
        <f>E22-D22</f>
        <v>22073.300000000047</v>
      </c>
      <c r="G22" s="1339">
        <v>80</v>
      </c>
      <c r="H22" s="1339">
        <f>F22*G22</f>
        <v>1765864.0000000037</v>
      </c>
      <c r="I22" s="1343"/>
      <c r="J22" s="1339">
        <f>H22+I22</f>
        <v>1765864.0000000037</v>
      </c>
      <c r="K22" s="743"/>
      <c r="L22" s="735">
        <v>1896335.9999999963</v>
      </c>
      <c r="M22" s="736">
        <f t="shared" si="0"/>
        <v>0.93119784679508655</v>
      </c>
      <c r="N22" s="379"/>
      <c r="O22" s="379"/>
      <c r="P22" s="379"/>
    </row>
    <row r="23" spans="1:16" customFormat="1">
      <c r="A23" s="153">
        <v>2</v>
      </c>
      <c r="B23" s="238" t="s">
        <v>1376</v>
      </c>
      <c r="C23" s="1342"/>
      <c r="D23" s="744"/>
      <c r="E23" s="744"/>
      <c r="F23" s="1339"/>
      <c r="G23" s="1339"/>
      <c r="H23" s="1339"/>
      <c r="I23" s="1343"/>
      <c r="J23" s="1339"/>
      <c r="K23" s="153"/>
      <c r="L23" s="735"/>
      <c r="M23" s="736" t="e">
        <f t="shared" si="0"/>
        <v>#DIV/0!</v>
      </c>
      <c r="N23" s="379"/>
      <c r="O23" s="379"/>
      <c r="P23" s="379"/>
    </row>
    <row r="24" spans="1:16" customFormat="1">
      <c r="A24" s="153"/>
      <c r="B24" s="734" t="s">
        <v>1363</v>
      </c>
      <c r="C24" s="238"/>
      <c r="D24" s="153"/>
      <c r="E24" s="153"/>
      <c r="F24" s="153"/>
      <c r="G24" s="153"/>
      <c r="H24" s="153"/>
      <c r="I24" s="153"/>
      <c r="J24" s="153">
        <f>SUM(J22)</f>
        <v>1765864.0000000037</v>
      </c>
      <c r="K24" s="743"/>
      <c r="L24" s="735">
        <v>1896335.9999999963</v>
      </c>
      <c r="M24" s="736">
        <f t="shared" si="0"/>
        <v>0.93119784679508655</v>
      </c>
      <c r="N24" s="379"/>
      <c r="O24" s="379"/>
      <c r="P24" s="379"/>
    </row>
    <row r="25" spans="1:16" customFormat="1">
      <c r="A25" s="153" t="s">
        <v>15</v>
      </c>
      <c r="B25" s="737" t="s">
        <v>1364</v>
      </c>
      <c r="C25" s="238"/>
      <c r="D25" s="153"/>
      <c r="E25" s="153"/>
      <c r="F25" s="153"/>
      <c r="G25" s="153"/>
      <c r="H25" s="153"/>
      <c r="I25" s="153"/>
      <c r="J25" s="153"/>
      <c r="K25" s="153"/>
      <c r="L25" s="735"/>
      <c r="M25" s="736" t="e">
        <f t="shared" si="0"/>
        <v>#DIV/0!</v>
      </c>
      <c r="N25" s="379"/>
      <c r="O25" s="379"/>
      <c r="P25" s="379"/>
    </row>
    <row r="26" spans="1:16" customFormat="1">
      <c r="A26" s="153"/>
      <c r="B26" s="238" t="s">
        <v>1162</v>
      </c>
      <c r="C26" s="238" t="s">
        <v>1377</v>
      </c>
      <c r="D26" s="745">
        <v>2953.83</v>
      </c>
      <c r="E26" s="745">
        <v>3001.75</v>
      </c>
      <c r="F26" s="153">
        <f>E26-D26</f>
        <v>47.920000000000073</v>
      </c>
      <c r="G26" s="153">
        <v>6000</v>
      </c>
      <c r="H26" s="153">
        <f>F26*G26</f>
        <v>287520.00000000047</v>
      </c>
      <c r="I26" s="241">
        <v>35000</v>
      </c>
      <c r="J26" s="153">
        <f>H26+I26</f>
        <v>322520.00000000047</v>
      </c>
      <c r="K26" s="743"/>
      <c r="L26" s="735">
        <v>344780.00000000064</v>
      </c>
      <c r="M26" s="736">
        <f t="shared" si="0"/>
        <v>0.93543709031846356</v>
      </c>
      <c r="N26" s="379"/>
      <c r="O26" s="379"/>
      <c r="P26" s="379"/>
    </row>
    <row r="27" spans="1:16" customFormat="1">
      <c r="A27" s="153">
        <v>7</v>
      </c>
      <c r="B27" s="238" t="s">
        <v>1165</v>
      </c>
      <c r="C27" s="238" t="s">
        <v>1378</v>
      </c>
      <c r="D27" s="153">
        <v>60989</v>
      </c>
      <c r="E27" s="241">
        <v>61303.4</v>
      </c>
      <c r="F27" s="153">
        <f>E27-D27</f>
        <v>314.40000000000146</v>
      </c>
      <c r="G27" s="153">
        <v>2000</v>
      </c>
      <c r="H27" s="244">
        <f>F27*G27</f>
        <v>628800.00000000291</v>
      </c>
      <c r="I27" s="244">
        <v>620000</v>
      </c>
      <c r="J27" s="244">
        <f>H27+I27</f>
        <v>1248800.0000000028</v>
      </c>
      <c r="K27" s="153"/>
      <c r="L27" s="735">
        <v>1344800.0000000028</v>
      </c>
      <c r="M27" s="736">
        <f t="shared" si="0"/>
        <v>0.92861392028554446</v>
      </c>
      <c r="N27" s="379"/>
      <c r="O27" s="379"/>
      <c r="P27" s="379"/>
    </row>
    <row r="28" spans="1:16" customFormat="1">
      <c r="A28" s="153">
        <v>8</v>
      </c>
      <c r="B28" s="238" t="s">
        <v>1158</v>
      </c>
      <c r="C28" s="238" t="s">
        <v>1379</v>
      </c>
      <c r="D28" s="153">
        <v>62823.9</v>
      </c>
      <c r="E28" s="153">
        <v>62907.8</v>
      </c>
      <c r="F28" s="153">
        <f>E28-D28</f>
        <v>83.900000000001455</v>
      </c>
      <c r="G28" s="153">
        <v>2000</v>
      </c>
      <c r="H28" s="153">
        <f>F28*G28</f>
        <v>167800.00000000291</v>
      </c>
      <c r="I28" s="153"/>
      <c r="J28" s="153">
        <f>H28+I28</f>
        <v>167800.00000000291</v>
      </c>
      <c r="K28" s="743"/>
      <c r="L28" s="735">
        <v>182000</v>
      </c>
      <c r="M28" s="736">
        <f t="shared" si="0"/>
        <v>0.92197802197803802</v>
      </c>
      <c r="N28" s="379"/>
      <c r="O28" s="379"/>
      <c r="P28" s="379"/>
    </row>
    <row r="29" spans="1:16" customFormat="1">
      <c r="A29" s="153"/>
      <c r="B29" s="238"/>
      <c r="C29" s="238"/>
      <c r="D29" s="153"/>
      <c r="E29" s="153"/>
      <c r="F29" s="153"/>
      <c r="G29" s="153"/>
      <c r="H29" s="153"/>
      <c r="I29" s="153"/>
      <c r="J29" s="244">
        <f>SUM(J26+J27+J28)</f>
        <v>1739120.0000000061</v>
      </c>
      <c r="K29" s="743">
        <f>(J24-J29)/J24</f>
        <v>1.5144994178485782E-2</v>
      </c>
      <c r="L29" s="735">
        <v>1871580.0000000035</v>
      </c>
      <c r="M29" s="736">
        <f t="shared" si="0"/>
        <v>0.92922557411385187</v>
      </c>
      <c r="N29" s="379"/>
      <c r="O29" s="379"/>
      <c r="P29" s="379"/>
    </row>
    <row r="30" spans="1:16" customFormat="1">
      <c r="A30" s="95">
        <v>3</v>
      </c>
      <c r="B30" s="741" t="s">
        <v>1380</v>
      </c>
      <c r="C30" s="238"/>
      <c r="D30" s="153"/>
      <c r="E30" s="153"/>
      <c r="F30" s="153"/>
      <c r="G30" s="153"/>
      <c r="H30" s="153"/>
      <c r="I30" s="153"/>
      <c r="J30" s="153"/>
      <c r="K30" s="153"/>
      <c r="L30" s="735"/>
      <c r="M30" s="736" t="e">
        <f t="shared" si="0"/>
        <v>#DIV/0!</v>
      </c>
      <c r="N30" s="379"/>
      <c r="O30" s="379"/>
      <c r="P30" s="379"/>
    </row>
    <row r="31" spans="1:16" customFormat="1">
      <c r="A31" s="153">
        <v>1</v>
      </c>
      <c r="B31" s="238" t="s">
        <v>1381</v>
      </c>
      <c r="C31" s="238" t="s">
        <v>1382</v>
      </c>
      <c r="D31" s="153">
        <v>163068.79999999999</v>
      </c>
      <c r="E31" s="153">
        <v>163880.9</v>
      </c>
      <c r="F31" s="153">
        <f>E31-D31</f>
        <v>812.10000000000582</v>
      </c>
      <c r="G31" s="153">
        <v>2000</v>
      </c>
      <c r="H31" s="153">
        <f>F31*G31</f>
        <v>1624200.0000000116</v>
      </c>
      <c r="I31" s="153"/>
      <c r="J31" s="153">
        <f>H31+I31</f>
        <v>1624200.0000000116</v>
      </c>
      <c r="K31" s="746"/>
      <c r="L31" s="735">
        <v>1547000</v>
      </c>
      <c r="M31" s="736">
        <f t="shared" si="0"/>
        <v>1.0499030381383399</v>
      </c>
      <c r="N31" s="379"/>
      <c r="O31" s="379"/>
      <c r="P31" s="379"/>
    </row>
    <row r="32" spans="1:16" customFormat="1">
      <c r="A32" s="153"/>
      <c r="B32" s="734" t="s">
        <v>1363</v>
      </c>
      <c r="C32" s="238"/>
      <c r="D32" s="153"/>
      <c r="E32" s="153"/>
      <c r="F32" s="153"/>
      <c r="G32" s="153"/>
      <c r="H32" s="153"/>
      <c r="I32" s="153"/>
      <c r="J32" s="153">
        <f>SUM(J31)</f>
        <v>1624200.0000000116</v>
      </c>
      <c r="K32" s="153"/>
      <c r="L32" s="735">
        <v>1547000</v>
      </c>
      <c r="M32" s="736">
        <f t="shared" si="0"/>
        <v>1.0499030381383399</v>
      </c>
      <c r="N32" s="379"/>
      <c r="O32" s="379">
        <v>120000</v>
      </c>
      <c r="P32" s="379">
        <f>O32-H35</f>
        <v>120000</v>
      </c>
    </row>
    <row r="33" spans="1:17" customFormat="1">
      <c r="A33" s="153"/>
      <c r="B33" s="737" t="s">
        <v>1364</v>
      </c>
      <c r="C33" s="238"/>
      <c r="D33" s="747"/>
      <c r="E33" s="747"/>
      <c r="F33" s="747"/>
      <c r="G33" s="747"/>
      <c r="H33" s="747"/>
      <c r="I33" s="747"/>
      <c r="J33" s="747"/>
      <c r="K33" s="743"/>
      <c r="L33" s="735"/>
      <c r="M33" s="736" t="e">
        <f t="shared" si="0"/>
        <v>#DIV/0!</v>
      </c>
      <c r="N33" s="379"/>
      <c r="O33" s="379"/>
      <c r="P33" s="379"/>
      <c r="Q33" s="379"/>
    </row>
    <row r="34" spans="1:17" customFormat="1">
      <c r="A34" s="747"/>
      <c r="B34" s="734" t="s">
        <v>1183</v>
      </c>
      <c r="C34" s="238" t="s">
        <v>335</v>
      </c>
      <c r="D34" s="747">
        <v>38667.800000000003</v>
      </c>
      <c r="E34" s="747">
        <v>38940.300000000003</v>
      </c>
      <c r="F34" s="747">
        <f>E34-D34</f>
        <v>272.5</v>
      </c>
      <c r="G34" s="747">
        <v>2000</v>
      </c>
      <c r="H34" s="747">
        <f>F34*G34</f>
        <v>545000</v>
      </c>
      <c r="I34" s="747"/>
      <c r="J34" s="747">
        <f>H34+I34</f>
        <v>545000</v>
      </c>
      <c r="K34" s="743"/>
      <c r="L34" s="735">
        <v>634600.00000000582</v>
      </c>
      <c r="M34" s="736">
        <f t="shared" si="0"/>
        <v>0.85880869839268048</v>
      </c>
      <c r="N34" s="379">
        <v>34553.5</v>
      </c>
      <c r="O34" s="379">
        <f>N34-D34</f>
        <v>-4114.3000000000029</v>
      </c>
      <c r="P34" s="379">
        <f>O34*G34</f>
        <v>-8228600.0000000056</v>
      </c>
      <c r="Q34" s="379"/>
    </row>
    <row r="35" spans="1:17" customFormat="1">
      <c r="A35" s="153">
        <v>9</v>
      </c>
      <c r="B35" s="748" t="s">
        <v>1383</v>
      </c>
      <c r="C35" s="748" t="s">
        <v>1384</v>
      </c>
      <c r="D35" s="153">
        <v>42299.9</v>
      </c>
      <c r="E35" s="153">
        <v>42299.9</v>
      </c>
      <c r="F35" s="153">
        <f>E35-D35</f>
        <v>0</v>
      </c>
      <c r="G35" s="153">
        <v>2000</v>
      </c>
      <c r="H35" s="153">
        <f>F35*G35</f>
        <v>0</v>
      </c>
      <c r="I35" s="244">
        <v>99360</v>
      </c>
      <c r="J35" s="749">
        <f>H35+I35</f>
        <v>99360</v>
      </c>
      <c r="K35" s="743"/>
      <c r="L35" s="735">
        <v>39360</v>
      </c>
      <c r="M35" s="736">
        <f t="shared" si="0"/>
        <v>2.524390243902439</v>
      </c>
      <c r="N35" s="379">
        <v>41854.9</v>
      </c>
      <c r="O35" s="379">
        <v>41878.5</v>
      </c>
      <c r="P35" s="379">
        <f>O35-N35</f>
        <v>23.599999999998545</v>
      </c>
      <c r="Q35" s="379">
        <f>P35*G35</f>
        <v>47199.99999999709</v>
      </c>
    </row>
    <row r="36" spans="1:17" customFormat="1">
      <c r="A36" s="153">
        <v>10</v>
      </c>
      <c r="B36" s="734" t="s">
        <v>1385</v>
      </c>
      <c r="C36" s="238" t="s">
        <v>1386</v>
      </c>
      <c r="D36" s="153">
        <v>53961.2</v>
      </c>
      <c r="E36" s="153">
        <v>54256.3</v>
      </c>
      <c r="F36" s="153">
        <f>E36-D36</f>
        <v>295.10000000000582</v>
      </c>
      <c r="G36" s="153">
        <v>2000</v>
      </c>
      <c r="H36" s="153">
        <f>F36*G36</f>
        <v>590200.00000001164</v>
      </c>
      <c r="I36" s="153"/>
      <c r="J36" s="161">
        <f>H36+I36</f>
        <v>590200.00000001164</v>
      </c>
      <c r="K36" s="153"/>
      <c r="L36" s="735">
        <v>507000</v>
      </c>
      <c r="M36" s="736">
        <f t="shared" si="0"/>
        <v>1.1641025641025871</v>
      </c>
      <c r="N36" s="379">
        <v>47628.9</v>
      </c>
      <c r="O36" s="379"/>
      <c r="P36" s="379"/>
      <c r="Q36" s="379"/>
    </row>
    <row r="37" spans="1:17" customFormat="1">
      <c r="A37" s="153">
        <v>11</v>
      </c>
      <c r="B37" s="734" t="s">
        <v>1387</v>
      </c>
      <c r="C37" s="238" t="s">
        <v>1388</v>
      </c>
      <c r="D37" s="153">
        <v>2199.29</v>
      </c>
      <c r="E37" s="153">
        <v>2199.29</v>
      </c>
      <c r="F37" s="153">
        <f>E37-D37</f>
        <v>0</v>
      </c>
      <c r="G37" s="153">
        <v>20000</v>
      </c>
      <c r="H37" s="153">
        <f>F37*G37</f>
        <v>0</v>
      </c>
      <c r="I37" s="244">
        <v>364884</v>
      </c>
      <c r="J37" s="749">
        <f>H37+I37</f>
        <v>364884</v>
      </c>
      <c r="K37" s="743"/>
      <c r="L37" s="735">
        <v>364884</v>
      </c>
      <c r="M37" s="736">
        <f t="shared" si="0"/>
        <v>1</v>
      </c>
      <c r="N37" s="379"/>
      <c r="O37" s="379"/>
      <c r="P37" s="379"/>
      <c r="Q37" s="379"/>
    </row>
    <row r="38" spans="1:17" customFormat="1">
      <c r="A38" s="153"/>
      <c r="B38" s="238"/>
      <c r="C38" s="238"/>
      <c r="D38" s="153"/>
      <c r="E38" s="153"/>
      <c r="F38" s="153"/>
      <c r="G38" s="153"/>
      <c r="H38" s="153"/>
      <c r="I38" s="153"/>
      <c r="J38" s="244">
        <f>SUM(J34:J37)</f>
        <v>1599444.0000000116</v>
      </c>
      <c r="K38" s="743">
        <f>(J31-J38)/J31</f>
        <v>1.5241965275212302E-2</v>
      </c>
      <c r="L38" s="735">
        <v>1545844.0000000058</v>
      </c>
      <c r="M38" s="736">
        <f t="shared" si="0"/>
        <v>1.0346736151901521</v>
      </c>
      <c r="N38" s="379"/>
      <c r="O38" s="379"/>
      <c r="P38" s="379"/>
      <c r="Q38" s="379"/>
    </row>
    <row r="39" spans="1:17" customFormat="1">
      <c r="A39" s="95">
        <v>4</v>
      </c>
      <c r="B39" s="741" t="s">
        <v>1389</v>
      </c>
      <c r="C39" s="238"/>
      <c r="D39" s="153"/>
      <c r="E39" s="153"/>
      <c r="F39" s="153"/>
      <c r="G39" s="153"/>
      <c r="H39" s="153"/>
      <c r="I39" s="153"/>
      <c r="J39" s="153"/>
      <c r="K39" s="153"/>
      <c r="L39" s="735"/>
      <c r="M39" s="736" t="e">
        <f t="shared" si="0"/>
        <v>#DIV/0!</v>
      </c>
      <c r="N39" s="379"/>
      <c r="O39" s="379"/>
      <c r="P39" s="379"/>
      <c r="Q39" s="379"/>
    </row>
    <row r="40" spans="1:17" customFormat="1">
      <c r="A40" s="153">
        <v>1</v>
      </c>
      <c r="B40" s="238" t="s">
        <v>1390</v>
      </c>
      <c r="C40" s="238" t="s">
        <v>1391</v>
      </c>
      <c r="D40" s="153">
        <v>24427.8</v>
      </c>
      <c r="E40" s="153">
        <v>25512.5</v>
      </c>
      <c r="F40" s="153">
        <f>E40-D40</f>
        <v>1084.7000000000007</v>
      </c>
      <c r="G40" s="153">
        <v>1000</v>
      </c>
      <c r="H40" s="153">
        <f>F40*G40</f>
        <v>1084700.0000000007</v>
      </c>
      <c r="I40" s="153"/>
      <c r="J40" s="153">
        <f>H40+I40</f>
        <v>1084700.0000000007</v>
      </c>
      <c r="K40" s="153"/>
      <c r="L40" s="735">
        <v>1028200.0000000007</v>
      </c>
      <c r="M40" s="736">
        <f t="shared" si="0"/>
        <v>1.0549503987551059</v>
      </c>
      <c r="N40" s="379"/>
      <c r="O40" s="379"/>
      <c r="P40" s="379"/>
      <c r="Q40" s="379"/>
    </row>
    <row r="41" spans="1:17" customFormat="1">
      <c r="A41" s="153">
        <v>2</v>
      </c>
      <c r="B41" s="238" t="s">
        <v>1392</v>
      </c>
      <c r="C41" s="238" t="s">
        <v>1393</v>
      </c>
      <c r="D41" s="153">
        <v>29171.4</v>
      </c>
      <c r="E41" s="153">
        <v>30342.2</v>
      </c>
      <c r="F41" s="153">
        <f>E41-D41</f>
        <v>1170.7999999999993</v>
      </c>
      <c r="G41" s="153">
        <v>1000</v>
      </c>
      <c r="H41" s="153">
        <f>F41*G41</f>
        <v>1170799.9999999993</v>
      </c>
      <c r="I41" s="153"/>
      <c r="J41" s="153">
        <f>H41+I41</f>
        <v>1170799.9999999993</v>
      </c>
      <c r="K41" s="153"/>
      <c r="L41" s="735">
        <v>1183900.0000000014</v>
      </c>
      <c r="M41" s="736">
        <f t="shared" si="0"/>
        <v>0.98893487625643883</v>
      </c>
      <c r="N41" s="379"/>
      <c r="O41" s="379"/>
      <c r="P41" s="379"/>
      <c r="Q41" s="379"/>
    </row>
    <row r="42" spans="1:17" customFormat="1">
      <c r="A42" s="153"/>
      <c r="B42" s="238"/>
      <c r="C42" s="238"/>
      <c r="D42" s="153"/>
      <c r="E42" s="153"/>
      <c r="F42" s="153"/>
      <c r="G42" s="153"/>
      <c r="H42" s="153"/>
      <c r="I42" s="153"/>
      <c r="J42" s="153"/>
      <c r="K42" s="153"/>
      <c r="L42" s="735"/>
      <c r="M42" s="736" t="e">
        <f t="shared" si="0"/>
        <v>#DIV/0!</v>
      </c>
      <c r="N42" s="379"/>
      <c r="O42" s="379"/>
      <c r="P42" s="379"/>
      <c r="Q42" s="379"/>
    </row>
    <row r="43" spans="1:17" customFormat="1">
      <c r="A43" s="153"/>
      <c r="B43" s="734" t="s">
        <v>1363</v>
      </c>
      <c r="C43" s="238"/>
      <c r="D43" s="153"/>
      <c r="E43" s="153"/>
      <c r="F43" s="153"/>
      <c r="G43" s="153"/>
      <c r="H43" s="153"/>
      <c r="I43" s="153"/>
      <c r="J43" s="153">
        <f>SUM(J40:J42)</f>
        <v>2255500</v>
      </c>
      <c r="K43" s="153"/>
      <c r="L43" s="735">
        <v>2212100.0000000019</v>
      </c>
      <c r="M43" s="736">
        <f t="shared" si="0"/>
        <v>1.0196193662130999</v>
      </c>
      <c r="N43" s="379"/>
      <c r="O43" s="379"/>
      <c r="P43" s="379"/>
      <c r="Q43" s="379"/>
    </row>
    <row r="44" spans="1:17" customFormat="1">
      <c r="A44" s="153"/>
      <c r="B44" s="737" t="s">
        <v>1364</v>
      </c>
      <c r="C44" s="733"/>
      <c r="D44" s="153"/>
      <c r="E44" s="153"/>
      <c r="F44" s="153"/>
      <c r="G44" s="153"/>
      <c r="H44" s="153"/>
      <c r="I44" s="153"/>
      <c r="J44" s="153"/>
      <c r="K44" s="153"/>
      <c r="L44" s="735"/>
      <c r="M44" s="736" t="e">
        <f t="shared" si="0"/>
        <v>#DIV/0!</v>
      </c>
      <c r="N44" s="379"/>
      <c r="O44" s="379"/>
      <c r="P44" s="379"/>
      <c r="Q44" s="379"/>
    </row>
    <row r="45" spans="1:17" customFormat="1">
      <c r="A45" s="153">
        <v>12</v>
      </c>
      <c r="B45" s="734" t="s">
        <v>1394</v>
      </c>
      <c r="C45" s="238" t="s">
        <v>1395</v>
      </c>
      <c r="D45" s="153">
        <v>7041.41</v>
      </c>
      <c r="E45" s="153">
        <v>7319.09</v>
      </c>
      <c r="F45" s="153">
        <f>E45-D45</f>
        <v>277.68000000000029</v>
      </c>
      <c r="G45" s="153">
        <v>1000</v>
      </c>
      <c r="H45" s="153">
        <f>F45*G45</f>
        <v>277680.00000000029</v>
      </c>
      <c r="I45" s="244"/>
      <c r="J45" s="244">
        <f>H45+I45</f>
        <v>277680.00000000029</v>
      </c>
      <c r="K45" s="750"/>
      <c r="L45" s="735">
        <v>283680.00000000029</v>
      </c>
      <c r="M45" s="736">
        <f t="shared" si="0"/>
        <v>0.978849407783418</v>
      </c>
      <c r="N45" s="379"/>
      <c r="O45" s="379"/>
      <c r="P45" s="379"/>
      <c r="Q45" s="379"/>
    </row>
    <row r="46" spans="1:17" customFormat="1">
      <c r="A46" s="153">
        <v>13</v>
      </c>
      <c r="B46" s="734" t="s">
        <v>1174</v>
      </c>
      <c r="C46" s="238" t="s">
        <v>1396</v>
      </c>
      <c r="D46" s="153">
        <v>24247.85</v>
      </c>
      <c r="E46" s="153">
        <v>25324.31</v>
      </c>
      <c r="F46" s="153">
        <f>E46-D46</f>
        <v>1076.4600000000028</v>
      </c>
      <c r="G46" s="153">
        <v>1000</v>
      </c>
      <c r="H46" s="153">
        <f>F46*G46</f>
        <v>1076460.0000000028</v>
      </c>
      <c r="I46" s="244"/>
      <c r="J46" s="244">
        <f>H46+I46</f>
        <v>1076460.0000000028</v>
      </c>
      <c r="K46" s="750"/>
      <c r="L46" s="735">
        <v>1022279.9999999988</v>
      </c>
      <c r="M46" s="736">
        <f t="shared" si="0"/>
        <v>1.0529991783073169</v>
      </c>
      <c r="N46" s="379"/>
      <c r="O46" s="379"/>
      <c r="P46" s="379"/>
      <c r="Q46" s="379"/>
    </row>
    <row r="47" spans="1:17" customFormat="1">
      <c r="A47" s="153"/>
      <c r="B47" s="734" t="s">
        <v>1397</v>
      </c>
      <c r="C47" s="238" t="s">
        <v>1398</v>
      </c>
      <c r="D47" s="153">
        <v>21430.35</v>
      </c>
      <c r="E47" s="153">
        <v>22319</v>
      </c>
      <c r="F47" s="153">
        <f>E47-D47</f>
        <v>888.65000000000146</v>
      </c>
      <c r="G47" s="153">
        <v>1000</v>
      </c>
      <c r="H47" s="153">
        <f>F47*G47</f>
        <v>888650.0000000014</v>
      </c>
      <c r="I47" s="244"/>
      <c r="J47" s="153">
        <f>H47+I47</f>
        <v>888650.0000000014</v>
      </c>
      <c r="K47" s="153"/>
      <c r="L47" s="735">
        <v>891590.00000000012</v>
      </c>
      <c r="M47" s="736">
        <f t="shared" si="0"/>
        <v>0.99670252021669292</v>
      </c>
      <c r="N47" s="379"/>
      <c r="O47" s="379"/>
      <c r="P47" s="379"/>
      <c r="Q47" s="379"/>
    </row>
    <row r="48" spans="1:17" customFormat="1">
      <c r="A48" s="153"/>
      <c r="B48" s="238"/>
      <c r="C48" s="238"/>
      <c r="D48" s="153"/>
      <c r="E48" s="153"/>
      <c r="F48" s="153"/>
      <c r="G48" s="153"/>
      <c r="H48" s="153">
        <f>F48*G48</f>
        <v>0</v>
      </c>
      <c r="I48" s="153"/>
      <c r="J48" s="153">
        <f>SUM(J45:J47)</f>
        <v>2242790.0000000047</v>
      </c>
      <c r="K48" s="743">
        <f>(J43-J48)/J43</f>
        <v>5.6351141653714666E-3</v>
      </c>
      <c r="L48" s="735">
        <v>2197549.9999999991</v>
      </c>
      <c r="M48" s="736">
        <f t="shared" si="0"/>
        <v>1.0205865623080275</v>
      </c>
      <c r="N48" s="379"/>
      <c r="O48" s="379"/>
      <c r="P48" s="379"/>
      <c r="Q48" s="379"/>
    </row>
    <row r="49" spans="1:13" customFormat="1">
      <c r="A49" s="95">
        <v>5</v>
      </c>
      <c r="B49" s="741" t="s">
        <v>1399</v>
      </c>
      <c r="C49" s="238"/>
      <c r="D49" s="153"/>
      <c r="E49" s="153"/>
      <c r="F49" s="153"/>
      <c r="G49" s="153"/>
      <c r="H49" s="153"/>
      <c r="I49" s="153"/>
      <c r="J49" s="153"/>
      <c r="K49" s="153"/>
      <c r="L49" s="735"/>
      <c r="M49" s="736" t="e">
        <f t="shared" si="0"/>
        <v>#DIV/0!</v>
      </c>
    </row>
    <row r="50" spans="1:13" customFormat="1">
      <c r="A50" s="153">
        <v>1</v>
      </c>
      <c r="B50" s="238" t="s">
        <v>1400</v>
      </c>
      <c r="C50" s="238">
        <v>3300082</v>
      </c>
      <c r="D50" s="153">
        <v>891073.9</v>
      </c>
      <c r="E50" s="153">
        <v>891073.9</v>
      </c>
      <c r="F50" s="153">
        <f>E50-D50</f>
        <v>0</v>
      </c>
      <c r="G50" s="153">
        <v>80</v>
      </c>
      <c r="H50" s="153">
        <f>F50*G50</f>
        <v>0</v>
      </c>
      <c r="I50" s="153"/>
      <c r="J50" s="153">
        <f>H50+I50</f>
        <v>0</v>
      </c>
      <c r="K50" s="738"/>
      <c r="L50" s="735">
        <v>0</v>
      </c>
      <c r="M50" s="736" t="e">
        <f t="shared" si="0"/>
        <v>#DIV/0!</v>
      </c>
    </row>
    <row r="51" spans="1:13" customFormat="1">
      <c r="A51" s="153"/>
      <c r="B51" s="238" t="s">
        <v>1400</v>
      </c>
      <c r="C51" s="238" t="s">
        <v>1401</v>
      </c>
      <c r="D51" s="153">
        <v>350278</v>
      </c>
      <c r="E51" s="241">
        <v>350278</v>
      </c>
      <c r="F51" s="153">
        <f>E51-D51</f>
        <v>0</v>
      </c>
      <c r="G51" s="153">
        <v>240</v>
      </c>
      <c r="H51" s="153">
        <f>F51*G51</f>
        <v>0</v>
      </c>
      <c r="I51" s="153">
        <v>1640000</v>
      </c>
      <c r="J51" s="153">
        <f>H51+I51</f>
        <v>1640000</v>
      </c>
      <c r="K51" s="738"/>
      <c r="L51" s="735">
        <v>1713280</v>
      </c>
      <c r="M51" s="736">
        <f t="shared" si="0"/>
        <v>0.95722824056779976</v>
      </c>
    </row>
    <row r="52" spans="1:13" customFormat="1">
      <c r="A52" s="153"/>
      <c r="B52" s="734" t="s">
        <v>1363</v>
      </c>
      <c r="C52" s="238"/>
      <c r="D52" s="153"/>
      <c r="E52" s="153"/>
      <c r="F52" s="153"/>
      <c r="G52" s="153"/>
      <c r="H52" s="153"/>
      <c r="I52" s="153"/>
      <c r="J52" s="153">
        <f>SUM(J50:J51)</f>
        <v>1640000</v>
      </c>
      <c r="K52" s="153"/>
      <c r="L52" s="735">
        <v>1713280</v>
      </c>
      <c r="M52" s="736">
        <f t="shared" si="0"/>
        <v>0.95722824056779976</v>
      </c>
    </row>
    <row r="53" spans="1:13" customFormat="1">
      <c r="A53" s="153"/>
      <c r="B53" s="737" t="s">
        <v>1364</v>
      </c>
      <c r="C53" s="238"/>
      <c r="D53" s="153"/>
      <c r="E53" s="153"/>
      <c r="F53" s="153"/>
      <c r="G53" s="153"/>
      <c r="H53" s="153"/>
      <c r="I53" s="153"/>
      <c r="J53" s="153"/>
      <c r="K53" s="153"/>
      <c r="L53" s="735"/>
      <c r="M53" s="736" t="e">
        <f t="shared" si="0"/>
        <v>#DIV/0!</v>
      </c>
    </row>
    <row r="54" spans="1:13" customFormat="1">
      <c r="A54" s="153">
        <v>15</v>
      </c>
      <c r="B54" s="238" t="s">
        <v>1402</v>
      </c>
      <c r="C54" s="238" t="s">
        <v>1403</v>
      </c>
      <c r="D54" s="153">
        <v>99325.7</v>
      </c>
      <c r="E54" s="153">
        <v>99880.3</v>
      </c>
      <c r="F54" s="153">
        <f>E54-D54</f>
        <v>554.60000000000582</v>
      </c>
      <c r="G54" s="153">
        <v>1333.33</v>
      </c>
      <c r="H54" s="244">
        <f>F54*G54</f>
        <v>739464.81800000777</v>
      </c>
      <c r="I54" s="153"/>
      <c r="J54" s="244">
        <f>H54+I54</f>
        <v>739464.81800000777</v>
      </c>
      <c r="K54" s="153"/>
      <c r="L54" s="735">
        <v>783598.04099999613</v>
      </c>
      <c r="M54" s="736">
        <f t="shared" si="0"/>
        <v>0.94367874766038551</v>
      </c>
    </row>
    <row r="55" spans="1:13" customFormat="1">
      <c r="A55" s="153">
        <v>16</v>
      </c>
      <c r="B55" s="238" t="s">
        <v>1404</v>
      </c>
      <c r="C55" s="238" t="s">
        <v>1405</v>
      </c>
      <c r="D55" s="153">
        <v>86000.3</v>
      </c>
      <c r="E55" s="153">
        <v>86435.1</v>
      </c>
      <c r="F55" s="153">
        <f>E55-D55</f>
        <v>434.80000000000291</v>
      </c>
      <c r="G55" s="153">
        <v>2000</v>
      </c>
      <c r="H55" s="153">
        <f>F55*G55</f>
        <v>869600.00000000582</v>
      </c>
      <c r="I55" s="153"/>
      <c r="J55" s="153">
        <f>H55+I55</f>
        <v>869600.00000000582</v>
      </c>
      <c r="K55" s="153"/>
      <c r="L55" s="735">
        <v>913200.00000001164</v>
      </c>
      <c r="M55" s="736">
        <f t="shared" si="0"/>
        <v>0.9522558037669675</v>
      </c>
    </row>
    <row r="56" spans="1:13" customFormat="1">
      <c r="A56" s="153"/>
      <c r="B56" s="238"/>
      <c r="C56" s="238"/>
      <c r="D56" s="153"/>
      <c r="E56" s="153"/>
      <c r="F56" s="153"/>
      <c r="G56" s="153"/>
      <c r="H56" s="153"/>
      <c r="I56" s="244"/>
      <c r="J56" s="244">
        <f>SUM(J54:J55)</f>
        <v>1609064.8180000135</v>
      </c>
      <c r="K56" s="743">
        <f>(J52-J56)/J52</f>
        <v>1.8862915853650322E-2</v>
      </c>
      <c r="L56" s="735">
        <v>1696798.0410000077</v>
      </c>
      <c r="M56" s="736">
        <f t="shared" si="0"/>
        <v>0.94829483481234533</v>
      </c>
    </row>
    <row r="57" spans="1:13" customFormat="1">
      <c r="A57" s="95">
        <v>6</v>
      </c>
      <c r="B57" s="741" t="s">
        <v>1406</v>
      </c>
      <c r="C57" s="238"/>
      <c r="D57" s="153"/>
      <c r="E57" s="153"/>
      <c r="F57" s="153"/>
      <c r="G57" s="153"/>
      <c r="H57" s="153"/>
      <c r="I57" s="153"/>
      <c r="J57" s="153"/>
      <c r="K57" s="743"/>
      <c r="L57" s="735"/>
      <c r="M57" s="736" t="e">
        <f t="shared" si="0"/>
        <v>#DIV/0!</v>
      </c>
    </row>
    <row r="58" spans="1:13" customFormat="1">
      <c r="A58" s="153">
        <v>1</v>
      </c>
      <c r="B58" s="238" t="s">
        <v>1407</v>
      </c>
      <c r="C58" s="238" t="s">
        <v>1408</v>
      </c>
      <c r="D58" s="153">
        <v>76654.5</v>
      </c>
      <c r="E58" s="241">
        <v>77226.899999999994</v>
      </c>
      <c r="F58" s="153">
        <f>E58-D58</f>
        <v>572.39999999999418</v>
      </c>
      <c r="G58" s="153">
        <v>4000</v>
      </c>
      <c r="H58" s="153">
        <f>F58*G58</f>
        <v>2289599.9999999767</v>
      </c>
      <c r="I58" s="153"/>
      <c r="J58" s="153">
        <f>H58+I58</f>
        <v>2289599.9999999767</v>
      </c>
      <c r="K58" s="743"/>
      <c r="L58" s="735">
        <v>1760400.0000000233</v>
      </c>
      <c r="M58" s="736">
        <f t="shared" si="0"/>
        <v>1.300613496932485</v>
      </c>
    </row>
    <row r="59" spans="1:13" customFormat="1">
      <c r="A59" s="153">
        <v>2</v>
      </c>
      <c r="B59" s="734" t="s">
        <v>1400</v>
      </c>
      <c r="C59" s="751" t="s">
        <v>1409</v>
      </c>
      <c r="D59" s="153">
        <v>174486</v>
      </c>
      <c r="E59" s="153">
        <v>179393</v>
      </c>
      <c r="F59" s="153">
        <f>E59-D59</f>
        <v>4907</v>
      </c>
      <c r="G59" s="153">
        <v>240</v>
      </c>
      <c r="H59" s="153">
        <f>F59*G59</f>
        <v>1177680</v>
      </c>
      <c r="I59" s="153"/>
      <c r="J59" s="153">
        <f>H59+I59</f>
        <v>1177680</v>
      </c>
      <c r="K59" s="161"/>
      <c r="L59" s="735">
        <v>447000</v>
      </c>
      <c r="M59" s="736">
        <f t="shared" si="0"/>
        <v>2.6346308724832217</v>
      </c>
    </row>
    <row r="60" spans="1:13" customFormat="1">
      <c r="A60" s="153"/>
      <c r="B60" s="734" t="s">
        <v>1410</v>
      </c>
      <c r="C60" s="734"/>
      <c r="D60" s="153"/>
      <c r="E60" s="153"/>
      <c r="F60" s="153"/>
      <c r="G60" s="153"/>
      <c r="H60" s="153"/>
      <c r="I60" s="153"/>
      <c r="J60" s="153">
        <v>1650000</v>
      </c>
      <c r="K60" s="161"/>
      <c r="L60" s="735">
        <v>300000</v>
      </c>
      <c r="M60" s="736">
        <f t="shared" si="0"/>
        <v>5.5</v>
      </c>
    </row>
    <row r="61" spans="1:13" customFormat="1">
      <c r="A61" s="153"/>
      <c r="B61" s="734" t="s">
        <v>1363</v>
      </c>
      <c r="C61" s="238"/>
      <c r="D61" s="153"/>
      <c r="E61" s="153"/>
      <c r="F61" s="153"/>
      <c r="G61" s="153"/>
      <c r="H61" s="153"/>
      <c r="I61" s="153"/>
      <c r="J61" s="153">
        <f>J58+J59-J60</f>
        <v>1817279.9999999767</v>
      </c>
      <c r="K61" s="743"/>
      <c r="L61" s="735">
        <v>1907400.0000000233</v>
      </c>
      <c r="M61" s="736">
        <f t="shared" si="0"/>
        <v>0.95275243787352126</v>
      </c>
    </row>
    <row r="62" spans="1:13" customFormat="1">
      <c r="A62" s="153"/>
      <c r="B62" s="737" t="s">
        <v>1364</v>
      </c>
      <c r="C62" s="238"/>
      <c r="D62" s="153"/>
      <c r="E62" s="153"/>
      <c r="F62" s="153"/>
      <c r="G62" s="153"/>
      <c r="H62" s="153"/>
      <c r="I62" s="153"/>
      <c r="J62" s="153"/>
      <c r="K62" s="743"/>
      <c r="L62" s="735"/>
      <c r="M62" s="736" t="e">
        <f t="shared" si="0"/>
        <v>#DIV/0!</v>
      </c>
    </row>
    <row r="63" spans="1:13" customFormat="1">
      <c r="A63" s="153">
        <v>17</v>
      </c>
      <c r="B63" s="751" t="s">
        <v>1169</v>
      </c>
      <c r="C63" s="752" t="s">
        <v>1411</v>
      </c>
      <c r="D63" s="155">
        <v>105984.8</v>
      </c>
      <c r="E63" s="155">
        <v>106594.4</v>
      </c>
      <c r="F63" s="155">
        <f>E63-D63</f>
        <v>609.59999999999127</v>
      </c>
      <c r="G63" s="155">
        <v>2000</v>
      </c>
      <c r="H63" s="155">
        <f>F63*G63</f>
        <v>1219199.9999999825</v>
      </c>
      <c r="I63" s="158"/>
      <c r="J63" s="155">
        <f>H63+I63</f>
        <v>1219199.9999999825</v>
      </c>
      <c r="K63" s="743"/>
      <c r="L63" s="735">
        <v>1241000</v>
      </c>
      <c r="M63" s="736">
        <f t="shared" si="0"/>
        <v>0.98243352135373285</v>
      </c>
    </row>
    <row r="64" spans="1:13" customFormat="1">
      <c r="A64" s="153">
        <v>18</v>
      </c>
      <c r="B64" s="734" t="s">
        <v>1412</v>
      </c>
      <c r="C64" s="238" t="s">
        <v>1413</v>
      </c>
      <c r="D64" s="153">
        <v>22067.8</v>
      </c>
      <c r="E64" s="153">
        <v>22158.2</v>
      </c>
      <c r="F64" s="153">
        <f>E64-D64</f>
        <v>90.400000000001455</v>
      </c>
      <c r="G64" s="153">
        <v>2000</v>
      </c>
      <c r="H64" s="153">
        <f>F64*G64</f>
        <v>180800.00000000291</v>
      </c>
      <c r="I64" s="244"/>
      <c r="J64" s="153">
        <f>H64+I64</f>
        <v>180800.00000000291</v>
      </c>
      <c r="K64" s="743"/>
      <c r="L64" s="735">
        <v>195599.99999999854</v>
      </c>
      <c r="M64" s="736">
        <f t="shared" si="0"/>
        <v>0.92433537832313017</v>
      </c>
    </row>
    <row r="65" spans="1:14" customFormat="1">
      <c r="A65" s="153">
        <v>19</v>
      </c>
      <c r="B65" s="734" t="s">
        <v>1414</v>
      </c>
      <c r="C65" s="238" t="s">
        <v>1415</v>
      </c>
      <c r="D65" s="153">
        <v>433850</v>
      </c>
      <c r="E65" s="153">
        <v>440673.5</v>
      </c>
      <c r="F65" s="153">
        <f>E65-D65</f>
        <v>6823.5</v>
      </c>
      <c r="G65" s="153">
        <v>60</v>
      </c>
      <c r="H65" s="153">
        <f>F65*G65</f>
        <v>409410</v>
      </c>
      <c r="I65" s="244"/>
      <c r="J65" s="244">
        <f>H65+I65</f>
        <v>409410</v>
      </c>
      <c r="K65" s="153"/>
      <c r="L65" s="735">
        <v>436020</v>
      </c>
      <c r="M65" s="736">
        <f t="shared" si="0"/>
        <v>0.93897068941791662</v>
      </c>
      <c r="N65" s="379"/>
    </row>
    <row r="66" spans="1:14" customFormat="1">
      <c r="A66" s="153"/>
      <c r="B66" s="238"/>
      <c r="C66" s="238"/>
      <c r="D66" s="153"/>
      <c r="E66" s="153"/>
      <c r="F66" s="153"/>
      <c r="G66" s="153"/>
      <c r="H66" s="153"/>
      <c r="I66" s="153"/>
      <c r="J66" s="244">
        <f>SUM(J63:J65)</f>
        <v>1809409.9999999856</v>
      </c>
      <c r="K66" s="743">
        <f>(J61-J66)/J61</f>
        <v>4.330648001403886E-3</v>
      </c>
      <c r="L66" s="735">
        <v>1872619.9999999986</v>
      </c>
      <c r="M66" s="736">
        <f t="shared" si="0"/>
        <v>0.96624515384861154</v>
      </c>
      <c r="N66" s="379"/>
    </row>
    <row r="67" spans="1:14" customFormat="1">
      <c r="A67" s="95">
        <v>7</v>
      </c>
      <c r="B67" s="741" t="s">
        <v>1416</v>
      </c>
      <c r="C67" s="238"/>
      <c r="D67" s="153"/>
      <c r="E67" s="153"/>
      <c r="F67" s="153"/>
      <c r="G67" s="153"/>
      <c r="H67" s="153"/>
      <c r="I67" s="244"/>
      <c r="J67" s="153"/>
      <c r="K67" s="743"/>
      <c r="L67" s="735"/>
      <c r="M67" s="736" t="e">
        <f t="shared" si="0"/>
        <v>#DIV/0!</v>
      </c>
      <c r="N67" s="379"/>
    </row>
    <row r="68" spans="1:14" customFormat="1">
      <c r="A68" s="153">
        <v>1</v>
      </c>
      <c r="B68" s="238" t="s">
        <v>1417</v>
      </c>
      <c r="C68" s="238" t="s">
        <v>1418</v>
      </c>
      <c r="D68" s="153">
        <v>254731.6</v>
      </c>
      <c r="E68" s="153">
        <v>254731.6</v>
      </c>
      <c r="F68" s="153">
        <f>E68-D68</f>
        <v>0</v>
      </c>
      <c r="G68" s="153">
        <v>2000</v>
      </c>
      <c r="H68" s="153">
        <f>F68*G68</f>
        <v>0</v>
      </c>
      <c r="I68" s="153"/>
      <c r="J68" s="153">
        <f>H68+I68</f>
        <v>0</v>
      </c>
      <c r="K68" s="743"/>
      <c r="L68" s="735">
        <v>3051200.0000000116</v>
      </c>
      <c r="M68" s="736">
        <f t="shared" si="0"/>
        <v>0</v>
      </c>
      <c r="N68" s="379"/>
    </row>
    <row r="69" spans="1:14" customFormat="1">
      <c r="A69" s="153"/>
      <c r="B69" s="238" t="s">
        <v>3136</v>
      </c>
      <c r="C69" s="238"/>
      <c r="D69" s="153"/>
      <c r="E69" s="153"/>
      <c r="F69" s="153"/>
      <c r="G69" s="153"/>
      <c r="H69" s="153"/>
      <c r="I69" s="153"/>
      <c r="J69" s="153">
        <v>3210000</v>
      </c>
      <c r="K69" s="743"/>
      <c r="L69" s="735">
        <v>390000</v>
      </c>
      <c r="M69" s="736">
        <f t="shared" si="0"/>
        <v>8.2307692307692299</v>
      </c>
      <c r="N69" s="379"/>
    </row>
    <row r="70" spans="1:14" customFormat="1">
      <c r="A70" s="153"/>
      <c r="B70" s="734" t="s">
        <v>1363</v>
      </c>
      <c r="C70" s="238"/>
      <c r="D70" s="153"/>
      <c r="E70" s="153"/>
      <c r="F70" s="153"/>
      <c r="G70" s="153"/>
      <c r="H70" s="153"/>
      <c r="I70" s="153"/>
      <c r="J70" s="153">
        <f>SUM(J68:J69)</f>
        <v>3210000</v>
      </c>
      <c r="K70" s="753"/>
      <c r="L70" s="735">
        <v>3441200.0000000116</v>
      </c>
      <c r="M70" s="736">
        <f t="shared" si="0"/>
        <v>0.9328141346042047</v>
      </c>
      <c r="N70" s="379"/>
    </row>
    <row r="71" spans="1:14" customFormat="1">
      <c r="A71" s="153"/>
      <c r="B71" s="737" t="s">
        <v>1364</v>
      </c>
      <c r="C71" s="238"/>
      <c r="D71" s="153"/>
      <c r="E71" s="153"/>
      <c r="F71" s="153"/>
      <c r="G71" s="153"/>
      <c r="H71" s="153"/>
      <c r="I71" s="153"/>
      <c r="J71" s="153"/>
      <c r="K71" s="743"/>
      <c r="L71" s="735"/>
      <c r="M71" s="736" t="e">
        <f t="shared" ref="M71:M134" si="4">J71/L71</f>
        <v>#DIV/0!</v>
      </c>
      <c r="N71" s="379"/>
    </row>
    <row r="72" spans="1:14" customFormat="1">
      <c r="A72" s="153">
        <v>20</v>
      </c>
      <c r="B72" s="734" t="s">
        <v>1419</v>
      </c>
      <c r="C72" s="238" t="s">
        <v>1420</v>
      </c>
      <c r="D72" s="153">
        <v>9068.89</v>
      </c>
      <c r="E72" s="153">
        <v>9113.5300000000007</v>
      </c>
      <c r="F72" s="153">
        <f>E72-D72</f>
        <v>44.640000000001237</v>
      </c>
      <c r="G72" s="153">
        <v>12000</v>
      </c>
      <c r="H72" s="153">
        <f>F72*G72</f>
        <v>535680.0000000149</v>
      </c>
      <c r="I72" s="244"/>
      <c r="J72" s="244">
        <f>H72+I72</f>
        <v>535680.0000000149</v>
      </c>
      <c r="K72" s="743"/>
      <c r="L72" s="735">
        <v>578879.99999999744</v>
      </c>
      <c r="M72" s="736">
        <f t="shared" si="4"/>
        <v>0.92537313432838808</v>
      </c>
      <c r="N72" s="754"/>
    </row>
    <row r="73" spans="1:14" customFormat="1">
      <c r="A73" s="153">
        <v>21</v>
      </c>
      <c r="B73" s="734" t="s">
        <v>1421</v>
      </c>
      <c r="C73" s="238" t="s">
        <v>1422</v>
      </c>
      <c r="D73" s="153">
        <v>10125.09</v>
      </c>
      <c r="E73" s="153">
        <v>10125.09</v>
      </c>
      <c r="F73" s="247">
        <f>E73-D73</f>
        <v>0</v>
      </c>
      <c r="G73" s="153">
        <v>12000</v>
      </c>
      <c r="H73" s="153">
        <f>F73*G73</f>
        <v>0</v>
      </c>
      <c r="I73" s="244">
        <v>859302.11009999202</v>
      </c>
      <c r="J73" s="244">
        <f>H73+I73</f>
        <v>859302.11009999202</v>
      </c>
      <c r="K73" s="727"/>
      <c r="L73" s="735">
        <v>899302.11009999202</v>
      </c>
      <c r="M73" s="736">
        <f t="shared" si="4"/>
        <v>0.95552106511175372</v>
      </c>
      <c r="N73" s="379"/>
    </row>
    <row r="74" spans="1:14" customFormat="1">
      <c r="A74" s="153">
        <v>22</v>
      </c>
      <c r="B74" s="734" t="s">
        <v>1423</v>
      </c>
      <c r="C74" s="238" t="s">
        <v>1424</v>
      </c>
      <c r="D74" s="153">
        <v>4209.34</v>
      </c>
      <c r="E74" s="153">
        <v>4291.3100000000004</v>
      </c>
      <c r="F74" s="247">
        <f>E74-D74</f>
        <v>81.970000000000255</v>
      </c>
      <c r="G74" s="153">
        <v>6000</v>
      </c>
      <c r="H74" s="153">
        <f>F74*G74</f>
        <v>491820.00000000151</v>
      </c>
      <c r="I74" s="244"/>
      <c r="J74" s="244">
        <f>H74+I74</f>
        <v>491820.00000000151</v>
      </c>
      <c r="K74" s="727"/>
      <c r="L74" s="735">
        <v>535020.00000000047</v>
      </c>
      <c r="M74" s="736">
        <f t="shared" si="4"/>
        <v>0.91925535494000432</v>
      </c>
      <c r="N74" s="379"/>
    </row>
    <row r="75" spans="1:14" customFormat="1">
      <c r="A75" s="153">
        <v>23</v>
      </c>
      <c r="B75" s="734" t="s">
        <v>1425</v>
      </c>
      <c r="C75" s="238" t="s">
        <v>1426</v>
      </c>
      <c r="D75" s="153">
        <v>2067.02</v>
      </c>
      <c r="E75" s="153">
        <v>2103.0100000000002</v>
      </c>
      <c r="F75" s="153">
        <f>E75-D75</f>
        <v>35.990000000000236</v>
      </c>
      <c r="G75" s="153">
        <v>20000</v>
      </c>
      <c r="H75" s="153">
        <f>F75*G75</f>
        <v>719800.00000000477</v>
      </c>
      <c r="I75" s="244"/>
      <c r="J75" s="244">
        <f>H75+I75</f>
        <v>719800.00000000477</v>
      </c>
      <c r="K75" s="727"/>
      <c r="L75" s="735">
        <v>770799.9999999993</v>
      </c>
      <c r="M75" s="736">
        <f t="shared" si="4"/>
        <v>0.93383497664764581</v>
      </c>
      <c r="N75" s="379"/>
    </row>
    <row r="76" spans="1:14" customFormat="1">
      <c r="A76" s="153">
        <v>24</v>
      </c>
      <c r="B76" s="734" t="s">
        <v>1427</v>
      </c>
      <c r="C76" s="238" t="s">
        <v>1428</v>
      </c>
      <c r="D76" s="153">
        <v>543982.5</v>
      </c>
      <c r="E76" s="153">
        <v>553886.5</v>
      </c>
      <c r="F76" s="153">
        <f>E76-D76</f>
        <v>9904</v>
      </c>
      <c r="G76" s="153">
        <v>60</v>
      </c>
      <c r="H76" s="244">
        <f>F76*G76</f>
        <v>594240</v>
      </c>
      <c r="I76" s="244"/>
      <c r="J76" s="244">
        <f>H76+I76</f>
        <v>594240</v>
      </c>
      <c r="K76" s="727"/>
      <c r="L76" s="735">
        <v>641850</v>
      </c>
      <c r="M76" s="736">
        <f t="shared" si="4"/>
        <v>0.92582379060528164</v>
      </c>
      <c r="N76" s="379"/>
    </row>
    <row r="77" spans="1:14" customFormat="1">
      <c r="A77" s="153"/>
      <c r="B77" s="238"/>
      <c r="C77" s="238"/>
      <c r="D77" s="153"/>
      <c r="E77" s="153"/>
      <c r="F77" s="153"/>
      <c r="G77" s="153"/>
      <c r="H77" s="153"/>
      <c r="I77" s="244"/>
      <c r="J77" s="244">
        <f>SUM(J72:J76)</f>
        <v>3200842.1101000132</v>
      </c>
      <c r="K77" s="743">
        <f>(J70-J77)/J70</f>
        <v>2.8529252024880984E-3</v>
      </c>
      <c r="L77" s="735">
        <v>3425852.110099989</v>
      </c>
      <c r="M77" s="736">
        <f t="shared" si="4"/>
        <v>0.93431999024808798</v>
      </c>
      <c r="N77" s="379"/>
    </row>
    <row r="78" spans="1:14" customFormat="1">
      <c r="A78" s="95">
        <v>8</v>
      </c>
      <c r="B78" s="741" t="s">
        <v>1429</v>
      </c>
      <c r="C78" s="238"/>
      <c r="D78" s="153"/>
      <c r="E78" s="153"/>
      <c r="F78" s="153"/>
      <c r="G78" s="153"/>
      <c r="H78" s="153"/>
      <c r="I78" s="153"/>
      <c r="J78" s="153"/>
      <c r="K78" s="743"/>
      <c r="L78" s="735"/>
      <c r="M78" s="736" t="e">
        <f t="shared" si="4"/>
        <v>#DIV/0!</v>
      </c>
      <c r="N78" s="379"/>
    </row>
    <row r="79" spans="1:14" customFormat="1">
      <c r="A79" s="153">
        <v>1</v>
      </c>
      <c r="B79" s="238" t="s">
        <v>1375</v>
      </c>
      <c r="C79" s="238" t="s">
        <v>1430</v>
      </c>
      <c r="D79" s="153">
        <v>96755</v>
      </c>
      <c r="E79" s="153">
        <v>97536.9</v>
      </c>
      <c r="F79" s="153">
        <f>E79-D79</f>
        <v>781.89999999999418</v>
      </c>
      <c r="G79" s="153">
        <v>2000</v>
      </c>
      <c r="H79" s="153">
        <f>F79*G79</f>
        <v>1563799.9999999884</v>
      </c>
      <c r="I79" s="153">
        <v>30000</v>
      </c>
      <c r="J79" s="153">
        <f>H79+I79</f>
        <v>1593799.9999999884</v>
      </c>
      <c r="K79" s="743"/>
      <c r="L79" s="735">
        <v>1762399.9999999942</v>
      </c>
      <c r="M79" s="736">
        <f t="shared" si="4"/>
        <v>0.90433499773036408</v>
      </c>
      <c r="N79" s="379"/>
    </row>
    <row r="80" spans="1:14" customFormat="1">
      <c r="A80" s="153">
        <v>2</v>
      </c>
      <c r="B80" s="238" t="s">
        <v>1375</v>
      </c>
      <c r="C80" s="238">
        <v>3300081</v>
      </c>
      <c r="D80" s="153">
        <v>524544.30000000005</v>
      </c>
      <c r="E80" s="153">
        <v>524544.30000000005</v>
      </c>
      <c r="F80" s="153">
        <f>E80-D80</f>
        <v>0</v>
      </c>
      <c r="G80" s="153">
        <v>80</v>
      </c>
      <c r="H80" s="153">
        <f>F80*G80</f>
        <v>0</v>
      </c>
      <c r="I80" s="153"/>
      <c r="J80" s="153">
        <f>H80+I80</f>
        <v>0</v>
      </c>
      <c r="K80" s="738"/>
      <c r="L80" s="735">
        <v>0</v>
      </c>
      <c r="M80" s="736" t="e">
        <f t="shared" si="4"/>
        <v>#DIV/0!</v>
      </c>
      <c r="N80" s="379"/>
    </row>
    <row r="81" spans="1:14" customFormat="1">
      <c r="A81" s="153"/>
      <c r="B81" s="734" t="s">
        <v>1363</v>
      </c>
      <c r="C81" s="238"/>
      <c r="D81" s="153"/>
      <c r="E81" s="153"/>
      <c r="F81" s="153"/>
      <c r="G81" s="153"/>
      <c r="H81" s="153"/>
      <c r="I81" s="153"/>
      <c r="J81" s="153">
        <f>SUM(J79:J80)</f>
        <v>1593799.9999999884</v>
      </c>
      <c r="K81" s="743"/>
      <c r="L81" s="735">
        <v>1762399.9999999942</v>
      </c>
      <c r="M81" s="736">
        <f t="shared" si="4"/>
        <v>0.90433499773036408</v>
      </c>
      <c r="N81" s="379"/>
    </row>
    <row r="82" spans="1:14" customFormat="1">
      <c r="A82" s="153"/>
      <c r="B82" s="737" t="s">
        <v>1364</v>
      </c>
      <c r="C82" s="238"/>
      <c r="D82" s="153"/>
      <c r="E82" s="153"/>
      <c r="F82" s="153"/>
      <c r="G82" s="153"/>
      <c r="H82" s="153"/>
      <c r="I82" s="153"/>
      <c r="J82" s="153"/>
      <c r="K82" s="153"/>
      <c r="L82" s="735"/>
      <c r="M82" s="736" t="e">
        <f t="shared" si="4"/>
        <v>#DIV/0!</v>
      </c>
      <c r="N82" s="379"/>
    </row>
    <row r="83" spans="1:14" customFormat="1">
      <c r="A83" s="153">
        <v>25</v>
      </c>
      <c r="B83" s="238" t="s">
        <v>1431</v>
      </c>
      <c r="C83" s="238" t="s">
        <v>1432</v>
      </c>
      <c r="D83" s="153">
        <v>3437.69</v>
      </c>
      <c r="E83" s="153">
        <v>3495.53</v>
      </c>
      <c r="F83" s="261">
        <f>E83-D83</f>
        <v>57.840000000000146</v>
      </c>
      <c r="G83" s="153">
        <v>13333.333000000001</v>
      </c>
      <c r="H83" s="244">
        <f>F83*G83</f>
        <v>771199.98072000197</v>
      </c>
      <c r="I83" s="244"/>
      <c r="J83" s="244">
        <f>H83+I83</f>
        <v>771199.98072000197</v>
      </c>
      <c r="K83" s="727"/>
      <c r="L83" s="735">
        <v>841733.31229000154</v>
      </c>
      <c r="M83" s="736">
        <f t="shared" si="4"/>
        <v>0.91620465705686749</v>
      </c>
      <c r="N83" s="379"/>
    </row>
    <row r="84" spans="1:14" customFormat="1">
      <c r="A84" s="153">
        <v>26</v>
      </c>
      <c r="B84" s="238" t="s">
        <v>1433</v>
      </c>
      <c r="C84" s="238" t="s">
        <v>1434</v>
      </c>
      <c r="D84" s="153">
        <v>4472.99</v>
      </c>
      <c r="E84" s="153">
        <v>4472.99</v>
      </c>
      <c r="F84" s="153">
        <f>E84-D84</f>
        <v>0</v>
      </c>
      <c r="G84" s="153">
        <v>20000</v>
      </c>
      <c r="H84" s="153">
        <f>F84*G84</f>
        <v>0</v>
      </c>
      <c r="I84" s="244">
        <v>694522.4571</v>
      </c>
      <c r="J84" s="244">
        <f>H84+I84</f>
        <v>694522.4571</v>
      </c>
      <c r="K84" s="727"/>
      <c r="L84" s="735">
        <v>773522.4571</v>
      </c>
      <c r="M84" s="736">
        <f t="shared" si="4"/>
        <v>0.89786980419912099</v>
      </c>
      <c r="N84" s="379"/>
    </row>
    <row r="85" spans="1:14" customFormat="1">
      <c r="A85" s="153">
        <v>27</v>
      </c>
      <c r="B85" s="238" t="s">
        <v>1435</v>
      </c>
      <c r="C85" s="238" t="s">
        <v>1436</v>
      </c>
      <c r="D85" s="153">
        <v>6881.9</v>
      </c>
      <c r="E85" s="241">
        <v>6954.9</v>
      </c>
      <c r="F85" s="153">
        <f>E85-D85</f>
        <v>73</v>
      </c>
      <c r="G85" s="153">
        <v>1333.33</v>
      </c>
      <c r="H85" s="244">
        <f>F85*G85</f>
        <v>97333.09</v>
      </c>
      <c r="I85" s="244">
        <v>28400.418099999999</v>
      </c>
      <c r="J85" s="244">
        <f>H85+I85</f>
        <v>125733.50809999999</v>
      </c>
      <c r="K85" s="727"/>
      <c r="L85" s="735">
        <v>140400.1531</v>
      </c>
      <c r="M85" s="736">
        <f t="shared" si="4"/>
        <v>0.89553683043668986</v>
      </c>
      <c r="N85" s="379"/>
    </row>
    <row r="86" spans="1:14" customFormat="1">
      <c r="A86" s="153">
        <v>28</v>
      </c>
      <c r="B86" s="238" t="s">
        <v>1437</v>
      </c>
      <c r="C86" s="238" t="s">
        <v>1438</v>
      </c>
      <c r="D86" s="153">
        <v>18264.599999999999</v>
      </c>
      <c r="E86" s="153">
        <v>18264.599999999999</v>
      </c>
      <c r="F86" s="153">
        <f>E86-D86</f>
        <v>0</v>
      </c>
      <c r="G86" s="153">
        <v>1000</v>
      </c>
      <c r="H86" s="244">
        <f>F86*G86</f>
        <v>0</v>
      </c>
      <c r="I86" s="153"/>
      <c r="J86" s="244">
        <f>H86+I86</f>
        <v>0</v>
      </c>
      <c r="K86" s="727"/>
      <c r="L86" s="735">
        <v>0</v>
      </c>
      <c r="M86" s="736" t="e">
        <f t="shared" si="4"/>
        <v>#DIV/0!</v>
      </c>
      <c r="N86" s="379"/>
    </row>
    <row r="87" spans="1:14" customFormat="1">
      <c r="A87" s="153"/>
      <c r="B87" s="755"/>
      <c r="C87" s="238"/>
      <c r="D87" s="153"/>
      <c r="E87" s="153"/>
      <c r="F87" s="153"/>
      <c r="G87" s="153"/>
      <c r="H87" s="153"/>
      <c r="I87" s="153"/>
      <c r="J87" s="244">
        <f>SUM(J83:J86)</f>
        <v>1591455.9459200019</v>
      </c>
      <c r="K87" s="743">
        <f>(J81-J87)/J81</f>
        <v>1.4707328899400346E-3</v>
      </c>
      <c r="L87" s="735">
        <v>1755655.9224900014</v>
      </c>
      <c r="M87" s="736">
        <f t="shared" si="4"/>
        <v>0.90647371477144623</v>
      </c>
      <c r="N87" s="379"/>
    </row>
    <row r="88" spans="1:14" customFormat="1">
      <c r="A88" s="95">
        <v>9</v>
      </c>
      <c r="B88" s="741" t="s">
        <v>1439</v>
      </c>
      <c r="C88" s="238"/>
      <c r="D88" s="153"/>
      <c r="E88" s="153"/>
      <c r="F88" s="153"/>
      <c r="G88" s="153"/>
      <c r="H88" s="153"/>
      <c r="I88" s="153"/>
      <c r="J88" s="153"/>
      <c r="K88" s="743"/>
      <c r="L88" s="735"/>
      <c r="M88" s="736" t="e">
        <f t="shared" si="4"/>
        <v>#DIV/0!</v>
      </c>
      <c r="N88" s="379"/>
    </row>
    <row r="89" spans="1:14" customFormat="1">
      <c r="A89" s="153">
        <v>1</v>
      </c>
      <c r="B89" s="238" t="s">
        <v>1440</v>
      </c>
      <c r="C89" s="238" t="s">
        <v>1441</v>
      </c>
      <c r="D89" s="153">
        <v>1585.59</v>
      </c>
      <c r="E89" s="153">
        <v>1607.5</v>
      </c>
      <c r="F89" s="153">
        <f>E89-D89</f>
        <v>21.910000000000082</v>
      </c>
      <c r="G89" s="153">
        <v>60000</v>
      </c>
      <c r="H89" s="153">
        <f>F89*G89</f>
        <v>1314600.0000000049</v>
      </c>
      <c r="I89" s="153"/>
      <c r="J89" s="153">
        <f>H89+I89</f>
        <v>1314600.0000000049</v>
      </c>
      <c r="K89" s="727"/>
      <c r="L89" s="735">
        <v>1393200.0000000016</v>
      </c>
      <c r="M89" s="736">
        <f t="shared" si="4"/>
        <v>0.94358311800172501</v>
      </c>
      <c r="N89" s="379"/>
    </row>
    <row r="90" spans="1:14" customFormat="1">
      <c r="A90" s="153"/>
      <c r="B90" s="734" t="s">
        <v>1363</v>
      </c>
      <c r="C90" s="238"/>
      <c r="D90" s="153"/>
      <c r="E90" s="153"/>
      <c r="F90" s="153"/>
      <c r="G90" s="153"/>
      <c r="H90" s="153"/>
      <c r="I90" s="153"/>
      <c r="J90" s="153">
        <f>SUM(J89)</f>
        <v>1314600.0000000049</v>
      </c>
      <c r="K90" s="743"/>
      <c r="L90" s="735">
        <v>1393200.0000000016</v>
      </c>
      <c r="M90" s="736">
        <f t="shared" si="4"/>
        <v>0.94358311800172501</v>
      </c>
      <c r="N90" s="379">
        <f>9.05-5.52</f>
        <v>3.5300000000000011</v>
      </c>
    </row>
    <row r="91" spans="1:14" customFormat="1">
      <c r="A91" s="153"/>
      <c r="B91" s="737" t="s">
        <v>1364</v>
      </c>
      <c r="C91" s="238"/>
      <c r="D91" s="153"/>
      <c r="E91" s="153"/>
      <c r="F91" s="153"/>
      <c r="G91" s="153"/>
      <c r="H91" s="153"/>
      <c r="I91" s="153"/>
      <c r="J91" s="153"/>
      <c r="K91" s="153"/>
      <c r="L91" s="735"/>
      <c r="M91" s="736" t="e">
        <f t="shared" si="4"/>
        <v>#DIV/0!</v>
      </c>
      <c r="N91" s="379"/>
    </row>
    <row r="92" spans="1:14" customFormat="1">
      <c r="A92" s="153">
        <v>29</v>
      </c>
      <c r="B92" s="238" t="s">
        <v>1167</v>
      </c>
      <c r="C92" s="238" t="s">
        <v>1442</v>
      </c>
      <c r="D92" s="153">
        <v>74830.2</v>
      </c>
      <c r="E92" s="153">
        <v>75059.199999999997</v>
      </c>
      <c r="F92" s="153">
        <f>E92-D92</f>
        <v>229</v>
      </c>
      <c r="G92" s="153">
        <v>2000</v>
      </c>
      <c r="H92" s="153">
        <f>F92*G92</f>
        <v>458000</v>
      </c>
      <c r="I92" s="747"/>
      <c r="J92" s="153">
        <f>H92+I92</f>
        <v>458000</v>
      </c>
      <c r="K92" s="756"/>
      <c r="L92" s="735">
        <v>469600.00000000582</v>
      </c>
      <c r="M92" s="736">
        <f t="shared" si="4"/>
        <v>0.97529812606472388</v>
      </c>
      <c r="N92" s="379"/>
    </row>
    <row r="93" spans="1:14" customFormat="1">
      <c r="A93" s="153">
        <v>30</v>
      </c>
      <c r="B93" s="238" t="s">
        <v>1443</v>
      </c>
      <c r="C93" s="238" t="s">
        <v>1444</v>
      </c>
      <c r="D93" s="153">
        <v>95452.6</v>
      </c>
      <c r="E93" s="153">
        <v>95875.3</v>
      </c>
      <c r="F93" s="153">
        <f>E93-D93</f>
        <v>422.69999999999709</v>
      </c>
      <c r="G93" s="153">
        <v>2000</v>
      </c>
      <c r="H93" s="153">
        <f>F93*G93</f>
        <v>845399.99999999418</v>
      </c>
      <c r="I93" s="747"/>
      <c r="J93" s="153">
        <f>H93+I93</f>
        <v>845399.99999999418</v>
      </c>
      <c r="K93" s="756"/>
      <c r="L93" s="735">
        <v>910400.00000002328</v>
      </c>
      <c r="M93" s="736">
        <f t="shared" si="4"/>
        <v>0.92860281195076066</v>
      </c>
      <c r="N93" s="379"/>
    </row>
    <row r="94" spans="1:14" customFormat="1">
      <c r="A94" s="153"/>
      <c r="B94" s="238"/>
      <c r="C94" s="238"/>
      <c r="D94" s="153"/>
      <c r="E94" s="153"/>
      <c r="F94" s="153"/>
      <c r="G94" s="153"/>
      <c r="H94" s="153"/>
      <c r="I94" s="153"/>
      <c r="J94" s="153">
        <f>SUM(J92:J93)</f>
        <v>1303399.9999999942</v>
      </c>
      <c r="K94" s="743">
        <f>(J90-J94)/J90</f>
        <v>8.5197018104447506E-3</v>
      </c>
      <c r="L94" s="735">
        <v>1380000.0000000291</v>
      </c>
      <c r="M94" s="736">
        <f t="shared" si="4"/>
        <v>0.94449275362316432</v>
      </c>
      <c r="N94" s="379"/>
    </row>
    <row r="95" spans="1:14" customFormat="1">
      <c r="A95" s="153"/>
      <c r="B95" s="238"/>
      <c r="C95" s="238"/>
      <c r="D95" s="153"/>
      <c r="E95" s="153"/>
      <c r="F95" s="153"/>
      <c r="G95" s="153"/>
      <c r="H95" s="153"/>
      <c r="I95" s="153"/>
      <c r="J95" s="153"/>
      <c r="K95" s="743"/>
      <c r="L95" s="735"/>
      <c r="M95" s="736" t="e">
        <f t="shared" si="4"/>
        <v>#DIV/0!</v>
      </c>
      <c r="N95" s="379"/>
    </row>
    <row r="96" spans="1:14" customFormat="1">
      <c r="A96" s="95">
        <v>10</v>
      </c>
      <c r="B96" s="741" t="s">
        <v>1445</v>
      </c>
      <c r="C96" s="238"/>
      <c r="D96" s="153"/>
      <c r="E96" s="153"/>
      <c r="F96" s="153"/>
      <c r="G96" s="153"/>
      <c r="H96" s="153"/>
      <c r="I96" s="153"/>
      <c r="J96" s="153"/>
      <c r="K96" s="743"/>
      <c r="L96" s="735"/>
      <c r="M96" s="736" t="e">
        <f t="shared" si="4"/>
        <v>#DIV/0!</v>
      </c>
      <c r="N96" s="379"/>
    </row>
    <row r="97" spans="1:14" customFormat="1">
      <c r="A97" s="153">
        <v>1</v>
      </c>
      <c r="B97" s="238" t="s">
        <v>1381</v>
      </c>
      <c r="C97" s="14" t="s">
        <v>1446</v>
      </c>
      <c r="D97" s="153">
        <v>5689.8</v>
      </c>
      <c r="E97" s="153">
        <v>5777.1</v>
      </c>
      <c r="F97" s="153">
        <f>E97-D97</f>
        <v>87.300000000000182</v>
      </c>
      <c r="G97" s="153">
        <v>2000</v>
      </c>
      <c r="H97" s="153">
        <f>F97*G97</f>
        <v>174600.00000000035</v>
      </c>
      <c r="I97" s="153"/>
      <c r="J97" s="153">
        <f>H97+I97</f>
        <v>174600.00000000035</v>
      </c>
      <c r="K97" s="757"/>
      <c r="L97" s="735">
        <v>224800.00000000111</v>
      </c>
      <c r="M97" s="736">
        <f t="shared" si="4"/>
        <v>0.77669039145907248</v>
      </c>
      <c r="N97" s="379"/>
    </row>
    <row r="98" spans="1:14" customFormat="1">
      <c r="A98" s="153"/>
      <c r="B98" s="734" t="s">
        <v>1363</v>
      </c>
      <c r="C98" s="14"/>
      <c r="D98" s="153"/>
      <c r="E98" s="153"/>
      <c r="F98" s="153"/>
      <c r="G98" s="153"/>
      <c r="H98" s="153"/>
      <c r="I98" s="153"/>
      <c r="J98" s="153">
        <f>SUM(J97)</f>
        <v>174600.00000000035</v>
      </c>
      <c r="K98" s="743"/>
      <c r="L98" s="735">
        <v>224800.00000000111</v>
      </c>
      <c r="M98" s="736">
        <f t="shared" si="4"/>
        <v>0.77669039145907248</v>
      </c>
      <c r="N98" s="379"/>
    </row>
    <row r="99" spans="1:14" customFormat="1">
      <c r="A99" s="153"/>
      <c r="B99" s="737" t="s">
        <v>1364</v>
      </c>
      <c r="C99" s="14"/>
      <c r="D99" s="153"/>
      <c r="E99" s="153"/>
      <c r="F99" s="153"/>
      <c r="G99" s="153"/>
      <c r="H99" s="153"/>
      <c r="I99" s="153"/>
      <c r="J99" s="153"/>
      <c r="K99" s="743"/>
      <c r="L99" s="735"/>
      <c r="M99" s="736" t="e">
        <f t="shared" si="4"/>
        <v>#DIV/0!</v>
      </c>
      <c r="N99" s="379"/>
    </row>
    <row r="100" spans="1:14" customFormat="1">
      <c r="A100" s="153">
        <v>31</v>
      </c>
      <c r="B100" s="238" t="s">
        <v>1447</v>
      </c>
      <c r="C100" s="14">
        <v>3300073</v>
      </c>
      <c r="D100" s="153">
        <v>673168.1</v>
      </c>
      <c r="E100" s="241">
        <v>685789.5</v>
      </c>
      <c r="F100" s="153">
        <f>E100-D100</f>
        <v>12621.400000000023</v>
      </c>
      <c r="G100" s="153">
        <v>13.333</v>
      </c>
      <c r="H100" s="244">
        <f>F100*G100</f>
        <v>168281.12620000032</v>
      </c>
      <c r="I100" s="261">
        <v>5000</v>
      </c>
      <c r="J100" s="244">
        <f>H100+I100</f>
        <v>173281.12620000032</v>
      </c>
      <c r="K100" s="757"/>
      <c r="L100" s="735">
        <v>220318.49189999906</v>
      </c>
      <c r="M100" s="736">
        <f t="shared" si="4"/>
        <v>0.78650287002986274</v>
      </c>
      <c r="N100" s="379"/>
    </row>
    <row r="101" spans="1:14" customFormat="1">
      <c r="A101" s="153">
        <v>31</v>
      </c>
      <c r="B101" s="238" t="s">
        <v>1448</v>
      </c>
      <c r="C101" s="14"/>
      <c r="D101" s="153"/>
      <c r="E101" s="153"/>
      <c r="F101" s="153"/>
      <c r="G101" s="153"/>
      <c r="H101" s="244"/>
      <c r="I101" s="153"/>
      <c r="J101" s="244"/>
      <c r="K101" s="757"/>
      <c r="L101" s="735"/>
      <c r="M101" s="736" t="e">
        <f t="shared" si="4"/>
        <v>#DIV/0!</v>
      </c>
      <c r="N101" s="379">
        <f>39.34*12500</f>
        <v>491750.00000000006</v>
      </c>
    </row>
    <row r="102" spans="1:14" customFormat="1">
      <c r="A102" s="153"/>
      <c r="B102" s="238"/>
      <c r="C102" s="238"/>
      <c r="D102" s="153"/>
      <c r="E102" s="153"/>
      <c r="F102" s="153"/>
      <c r="G102" s="153"/>
      <c r="H102" s="153"/>
      <c r="I102" s="153"/>
      <c r="J102" s="244">
        <f>SUM(J100+J101)</f>
        <v>173281.12620000032</v>
      </c>
      <c r="K102" s="743">
        <f>(J97-J102)/J97</f>
        <v>7.5536872852235261E-3</v>
      </c>
      <c r="L102" s="735">
        <v>220318.49189999906</v>
      </c>
      <c r="M102" s="736">
        <f t="shared" si="4"/>
        <v>0.78650287002986274</v>
      </c>
      <c r="N102" s="379"/>
    </row>
    <row r="103" spans="1:14" customFormat="1">
      <c r="A103" s="95">
        <v>11</v>
      </c>
      <c r="B103" s="741" t="s">
        <v>1449</v>
      </c>
      <c r="C103" s="238"/>
      <c r="D103" s="153"/>
      <c r="E103" s="153"/>
      <c r="F103" s="153"/>
      <c r="G103" s="153"/>
      <c r="H103" s="153"/>
      <c r="I103" s="153"/>
      <c r="J103" s="244"/>
      <c r="K103" s="743"/>
      <c r="L103" s="735"/>
      <c r="M103" s="736" t="e">
        <f t="shared" si="4"/>
        <v>#DIV/0!</v>
      </c>
      <c r="N103" s="379"/>
    </row>
    <row r="104" spans="1:14" customFormat="1">
      <c r="A104" s="153">
        <v>1</v>
      </c>
      <c r="B104" s="238" t="s">
        <v>1381</v>
      </c>
      <c r="C104" s="14" t="s">
        <v>1450</v>
      </c>
      <c r="D104" s="153">
        <v>2858350</v>
      </c>
      <c r="E104" s="153">
        <v>2864300</v>
      </c>
      <c r="F104" s="153">
        <f>E104-D104</f>
        <v>5950</v>
      </c>
      <c r="G104" s="153">
        <v>1</v>
      </c>
      <c r="H104" s="153">
        <f>F104*G104</f>
        <v>5950</v>
      </c>
      <c r="I104" s="153">
        <v>58805</v>
      </c>
      <c r="J104" s="153">
        <f>H104+I104</f>
        <v>64755</v>
      </c>
      <c r="K104" s="743"/>
      <c r="L104" s="735">
        <v>49805</v>
      </c>
      <c r="M104" s="736">
        <f t="shared" si="4"/>
        <v>1.3001706655958236</v>
      </c>
      <c r="N104" s="379"/>
    </row>
    <row r="105" spans="1:14" customFormat="1">
      <c r="A105" s="153"/>
      <c r="B105" s="734" t="s">
        <v>1363</v>
      </c>
      <c r="C105" s="238"/>
      <c r="D105" s="153"/>
      <c r="E105" s="153"/>
      <c r="F105" s="153"/>
      <c r="G105" s="153"/>
      <c r="H105" s="153"/>
      <c r="I105" s="153"/>
      <c r="J105" s="153">
        <f>SUM(J104)</f>
        <v>64755</v>
      </c>
      <c r="K105" s="743"/>
      <c r="L105" s="735">
        <v>49805</v>
      </c>
      <c r="M105" s="736">
        <f t="shared" si="4"/>
        <v>1.3001706655958236</v>
      </c>
      <c r="N105" s="379"/>
    </row>
    <row r="106" spans="1:14" customFormat="1">
      <c r="A106" s="153"/>
      <c r="B106" s="737" t="s">
        <v>1364</v>
      </c>
      <c r="C106" s="238"/>
      <c r="D106" s="153"/>
      <c r="E106" s="153"/>
      <c r="F106" s="153"/>
      <c r="G106" s="153"/>
      <c r="H106" s="153"/>
      <c r="I106" s="153"/>
      <c r="J106" s="153"/>
      <c r="K106" s="743"/>
      <c r="L106" s="735"/>
      <c r="M106" s="736" t="e">
        <f t="shared" si="4"/>
        <v>#DIV/0!</v>
      </c>
      <c r="N106" s="379"/>
    </row>
    <row r="107" spans="1:14" customFormat="1">
      <c r="A107" s="153">
        <v>32</v>
      </c>
      <c r="B107" s="238" t="s">
        <v>1451</v>
      </c>
      <c r="C107" s="14"/>
      <c r="D107" s="153"/>
      <c r="E107" s="153"/>
      <c r="F107" s="153">
        <f>E107-D107</f>
        <v>0</v>
      </c>
      <c r="G107" s="153">
        <v>2000</v>
      </c>
      <c r="H107" s="153">
        <f>F107*G107</f>
        <v>0</v>
      </c>
      <c r="I107" s="244">
        <v>33700</v>
      </c>
      <c r="J107" s="244">
        <f>H107+I107</f>
        <v>33700</v>
      </c>
      <c r="K107" s="743"/>
      <c r="L107" s="735">
        <v>27840.0275</v>
      </c>
      <c r="M107" s="736">
        <f t="shared" si="4"/>
        <v>1.2104873100430666</v>
      </c>
      <c r="N107" s="379"/>
    </row>
    <row r="108" spans="1:14" customFormat="1">
      <c r="A108" s="153">
        <v>33</v>
      </c>
      <c r="B108" s="238" t="s">
        <v>1452</v>
      </c>
      <c r="C108" s="14" t="s">
        <v>1453</v>
      </c>
      <c r="D108" s="153">
        <v>461885</v>
      </c>
      <c r="E108" s="153">
        <v>461885</v>
      </c>
      <c r="F108" s="153">
        <f>E108-D108</f>
        <v>0</v>
      </c>
      <c r="G108" s="153">
        <v>1</v>
      </c>
      <c r="H108" s="153">
        <f>F108*G108</f>
        <v>0</v>
      </c>
      <c r="I108" s="153">
        <f>H109+7825</f>
        <v>30780</v>
      </c>
      <c r="J108" s="153">
        <f>H108+I108</f>
        <v>30780</v>
      </c>
      <c r="K108" s="153"/>
      <c r="L108" s="735">
        <v>21240</v>
      </c>
      <c r="M108" s="736">
        <f t="shared" si="4"/>
        <v>1.4491525423728813</v>
      </c>
      <c r="N108" s="379"/>
    </row>
    <row r="109" spans="1:14" customFormat="1">
      <c r="A109" s="153">
        <v>33</v>
      </c>
      <c r="B109" s="238" t="s">
        <v>1454</v>
      </c>
      <c r="C109" s="14" t="s">
        <v>1453</v>
      </c>
      <c r="D109" s="153">
        <v>1580345</v>
      </c>
      <c r="E109" s="153">
        <v>1603300</v>
      </c>
      <c r="F109" s="153">
        <f>E109-D109</f>
        <v>22955</v>
      </c>
      <c r="G109" s="153">
        <v>1</v>
      </c>
      <c r="H109" s="153">
        <f>F109*G109</f>
        <v>22955</v>
      </c>
      <c r="I109" s="153"/>
      <c r="J109" s="153">
        <f>H109+I109</f>
        <v>22955</v>
      </c>
      <c r="K109" s="153"/>
      <c r="L109" s="735">
        <v>21240</v>
      </c>
      <c r="M109" s="736">
        <f t="shared" si="4"/>
        <v>1.0807438794726931</v>
      </c>
      <c r="N109" s="379"/>
    </row>
    <row r="110" spans="1:14" customFormat="1">
      <c r="A110" s="153"/>
      <c r="B110" s="238"/>
      <c r="C110" s="238"/>
      <c r="D110" s="153"/>
      <c r="E110" s="153"/>
      <c r="F110" s="153"/>
      <c r="G110" s="153"/>
      <c r="H110" s="153"/>
      <c r="I110" s="153"/>
      <c r="J110" s="244">
        <f>SUM(J107:J108)</f>
        <v>64480</v>
      </c>
      <c r="K110" s="743">
        <f>(J104-J110)/J104</f>
        <v>4.2467763107095977E-3</v>
      </c>
      <c r="L110" s="735">
        <v>49080.027499999997</v>
      </c>
      <c r="M110" s="736">
        <f t="shared" si="4"/>
        <v>1.3137726950132618</v>
      </c>
      <c r="N110" s="379"/>
    </row>
    <row r="111" spans="1:14" customFormat="1">
      <c r="A111" s="95">
        <v>12</v>
      </c>
      <c r="B111" s="741" t="s">
        <v>1455</v>
      </c>
      <c r="C111" s="734"/>
      <c r="D111" s="161"/>
      <c r="E111" s="161"/>
      <c r="F111" s="161"/>
      <c r="G111" s="161"/>
      <c r="H111" s="161"/>
      <c r="I111" s="153"/>
      <c r="J111" s="153"/>
      <c r="K111" s="743"/>
      <c r="L111" s="735"/>
      <c r="M111" s="736" t="e">
        <f t="shared" si="4"/>
        <v>#DIV/0!</v>
      </c>
      <c r="N111" s="379"/>
    </row>
    <row r="112" spans="1:14" customFormat="1">
      <c r="A112" s="153">
        <v>1</v>
      </c>
      <c r="B112" s="238" t="s">
        <v>1376</v>
      </c>
      <c r="C112" s="238" t="s">
        <v>1456</v>
      </c>
      <c r="D112" s="153">
        <v>3437</v>
      </c>
      <c r="E112" s="153">
        <v>3437</v>
      </c>
      <c r="F112" s="153">
        <f>E112-D112</f>
        <v>0</v>
      </c>
      <c r="G112" s="153">
        <v>24000</v>
      </c>
      <c r="H112" s="153">
        <f>F112*G112</f>
        <v>0</v>
      </c>
      <c r="I112" s="153"/>
      <c r="J112" s="153">
        <f>H112+I112</f>
        <v>0</v>
      </c>
      <c r="K112" s="153"/>
      <c r="L112" s="735">
        <v>0</v>
      </c>
      <c r="M112" s="736" t="e">
        <f t="shared" si="4"/>
        <v>#DIV/0!</v>
      </c>
      <c r="N112" s="379"/>
    </row>
    <row r="113" spans="1:17" customFormat="1">
      <c r="A113" s="153">
        <v>2</v>
      </c>
      <c r="B113" s="734" t="s">
        <v>1376</v>
      </c>
      <c r="C113" s="238" t="s">
        <v>1457</v>
      </c>
      <c r="D113" s="153">
        <v>3977.07</v>
      </c>
      <c r="E113" s="153">
        <v>4053.22</v>
      </c>
      <c r="F113" s="153">
        <f>E113-D113</f>
        <v>76.149999999999636</v>
      </c>
      <c r="G113" s="153">
        <v>24000</v>
      </c>
      <c r="H113" s="153">
        <f>F113*G113</f>
        <v>1827599.9999999912</v>
      </c>
      <c r="I113" s="153">
        <v>177500</v>
      </c>
      <c r="J113" s="153">
        <f>H113+I113</f>
        <v>2005099.9999999912</v>
      </c>
      <c r="K113" s="153"/>
      <c r="L113" s="735">
        <v>2191580.0000000019</v>
      </c>
      <c r="M113" s="736">
        <f t="shared" si="4"/>
        <v>0.91491070369322103</v>
      </c>
      <c r="N113" s="379"/>
      <c r="O113" s="379"/>
      <c r="P113" s="379"/>
      <c r="Q113" s="379"/>
    </row>
    <row r="114" spans="1:17" customFormat="1">
      <c r="A114" s="153"/>
      <c r="B114" s="734" t="s">
        <v>1458</v>
      </c>
      <c r="C114" s="238" t="s">
        <v>1459</v>
      </c>
      <c r="D114" s="153">
        <v>208.98</v>
      </c>
      <c r="E114" s="153">
        <v>219.61</v>
      </c>
      <c r="F114" s="153">
        <f>E114-D114</f>
        <v>10.630000000000024</v>
      </c>
      <c r="G114" s="153">
        <v>24000</v>
      </c>
      <c r="H114" s="153">
        <f>F114*G114</f>
        <v>255120.00000000058</v>
      </c>
      <c r="I114" s="153"/>
      <c r="J114" s="153">
        <f>H114+I114</f>
        <v>255120.00000000058</v>
      </c>
      <c r="K114" s="153"/>
      <c r="L114" s="735">
        <v>300959.99999999983</v>
      </c>
      <c r="M114" s="736">
        <f t="shared" si="4"/>
        <v>0.84768740031898171</v>
      </c>
      <c r="N114" s="379"/>
      <c r="O114" s="379"/>
      <c r="P114" s="379"/>
      <c r="Q114" s="379"/>
    </row>
    <row r="115" spans="1:17" customFormat="1">
      <c r="A115" s="153"/>
      <c r="B115" s="734" t="s">
        <v>1363</v>
      </c>
      <c r="C115" s="238"/>
      <c r="D115" s="153"/>
      <c r="E115" s="153"/>
      <c r="F115" s="153"/>
      <c r="G115" s="153"/>
      <c r="H115" s="153"/>
      <c r="I115" s="153"/>
      <c r="J115" s="153">
        <f>SUM(J112:J114)</f>
        <v>2260219.9999999916</v>
      </c>
      <c r="K115" s="161"/>
      <c r="L115" s="735">
        <v>2492540.0000000019</v>
      </c>
      <c r="M115" s="736">
        <f t="shared" si="4"/>
        <v>0.9067938729167796</v>
      </c>
      <c r="N115" s="379"/>
      <c r="O115" s="379"/>
      <c r="P115" s="379"/>
      <c r="Q115" s="379"/>
    </row>
    <row r="116" spans="1:17" customFormat="1">
      <c r="A116" s="153">
        <v>34</v>
      </c>
      <c r="B116" s="238" t="s">
        <v>1137</v>
      </c>
      <c r="C116" s="238" t="s">
        <v>1460</v>
      </c>
      <c r="D116" s="153">
        <v>8258.76</v>
      </c>
      <c r="E116" s="153">
        <v>8348.4500000000007</v>
      </c>
      <c r="F116" s="153">
        <f>E116-D116</f>
        <v>89.690000000000509</v>
      </c>
      <c r="G116" s="153">
        <v>6000</v>
      </c>
      <c r="H116" s="153">
        <f>F116*G116</f>
        <v>538140.00000000303</v>
      </c>
      <c r="I116" s="153"/>
      <c r="J116" s="153">
        <f>H116+I116</f>
        <v>538140.00000000303</v>
      </c>
      <c r="K116" s="153"/>
      <c r="L116" s="735">
        <v>546239.99999999977</v>
      </c>
      <c r="M116" s="736">
        <f t="shared" si="4"/>
        <v>0.9851713532513241</v>
      </c>
      <c r="N116" s="379"/>
      <c r="O116" s="379"/>
      <c r="P116" s="379"/>
      <c r="Q116" s="379"/>
    </row>
    <row r="117" spans="1:17" customFormat="1">
      <c r="A117" s="153">
        <v>35</v>
      </c>
      <c r="B117" s="238" t="s">
        <v>1461</v>
      </c>
      <c r="C117" s="238" t="s">
        <v>1462</v>
      </c>
      <c r="D117" s="247">
        <v>7286.97</v>
      </c>
      <c r="E117" s="247">
        <v>7369.32</v>
      </c>
      <c r="F117" s="247">
        <f>E117-D117</f>
        <v>82.349999999999454</v>
      </c>
      <c r="G117" s="153">
        <v>6000</v>
      </c>
      <c r="H117" s="153">
        <f>F117*G117</f>
        <v>494099.99999999674</v>
      </c>
      <c r="I117" s="153"/>
      <c r="J117" s="153">
        <f>H117+I117</f>
        <v>494099.99999999674</v>
      </c>
      <c r="K117" s="153"/>
      <c r="L117" s="735">
        <v>547380.00000000279</v>
      </c>
      <c r="M117" s="736">
        <f t="shared" si="4"/>
        <v>0.90266359750081149</v>
      </c>
      <c r="N117" s="379"/>
      <c r="O117" s="379"/>
      <c r="P117" s="379"/>
      <c r="Q117" s="379"/>
    </row>
    <row r="118" spans="1:17" customFormat="1">
      <c r="A118" s="153">
        <v>36</v>
      </c>
      <c r="B118" s="238" t="s">
        <v>1291</v>
      </c>
      <c r="C118" s="238" t="s">
        <v>1463</v>
      </c>
      <c r="D118" s="247">
        <v>6260.98</v>
      </c>
      <c r="E118" s="247">
        <v>6320.17</v>
      </c>
      <c r="F118" s="153">
        <f>E118-D118</f>
        <v>59.190000000000509</v>
      </c>
      <c r="G118" s="153">
        <v>6000</v>
      </c>
      <c r="H118" s="153">
        <f>F118*G118</f>
        <v>355140.00000000303</v>
      </c>
      <c r="I118" s="244">
        <v>97760.700800000996</v>
      </c>
      <c r="J118" s="244">
        <f>H118+I118</f>
        <v>452900.70080000401</v>
      </c>
      <c r="K118" s="153"/>
      <c r="L118" s="735">
        <v>479220.70079999999</v>
      </c>
      <c r="M118" s="736">
        <f t="shared" si="4"/>
        <v>0.94507749778743289</v>
      </c>
      <c r="N118" s="379"/>
      <c r="O118" s="379"/>
      <c r="P118" s="379"/>
      <c r="Q118" s="379"/>
    </row>
    <row r="119" spans="1:17" customFormat="1">
      <c r="A119" s="161">
        <v>37</v>
      </c>
      <c r="B119" s="238" t="s">
        <v>1464</v>
      </c>
      <c r="C119" s="238" t="s">
        <v>1465</v>
      </c>
      <c r="D119" s="153">
        <v>7739.54</v>
      </c>
      <c r="E119" s="153">
        <v>7819.21</v>
      </c>
      <c r="F119" s="153">
        <f>E119-D119</f>
        <v>79.670000000000073</v>
      </c>
      <c r="G119" s="153">
        <v>6000</v>
      </c>
      <c r="H119" s="153">
        <f>F119*G119</f>
        <v>478020.00000000047</v>
      </c>
      <c r="I119" s="161"/>
      <c r="J119" s="153">
        <f>H119+I119</f>
        <v>478020.00000000047</v>
      </c>
      <c r="K119" s="161"/>
      <c r="L119" s="735">
        <v>531600.00000000221</v>
      </c>
      <c r="M119" s="736">
        <f t="shared" si="4"/>
        <v>0.89920993227990687</v>
      </c>
      <c r="N119" s="379"/>
      <c r="O119" s="379"/>
      <c r="P119" s="379"/>
      <c r="Q119" s="379"/>
    </row>
    <row r="120" spans="1:17" customFormat="1">
      <c r="A120" s="161"/>
      <c r="B120" s="238" t="s">
        <v>1466</v>
      </c>
      <c r="C120" s="238" t="s">
        <v>1467</v>
      </c>
      <c r="D120" s="153">
        <v>507.01</v>
      </c>
      <c r="E120" s="153">
        <v>555.65</v>
      </c>
      <c r="F120" s="153">
        <f>E120-D120</f>
        <v>48.639999999999986</v>
      </c>
      <c r="G120" s="153">
        <v>6000</v>
      </c>
      <c r="H120" s="153">
        <f>F120*G120</f>
        <v>291839.99999999994</v>
      </c>
      <c r="I120" s="244"/>
      <c r="J120" s="244">
        <f>H120+I120</f>
        <v>291839.99999999994</v>
      </c>
      <c r="K120" s="161"/>
      <c r="L120" s="735">
        <v>343919.99999999994</v>
      </c>
      <c r="M120" s="736">
        <f t="shared" si="4"/>
        <v>0.84856943475226798</v>
      </c>
      <c r="N120" s="379"/>
      <c r="O120" s="379"/>
      <c r="P120" s="379"/>
      <c r="Q120" s="758"/>
    </row>
    <row r="121" spans="1:17" customFormat="1">
      <c r="A121" s="161"/>
      <c r="B121" s="238"/>
      <c r="C121" s="238"/>
      <c r="D121" s="153"/>
      <c r="E121" s="153"/>
      <c r="F121" s="153"/>
      <c r="G121" s="153"/>
      <c r="H121" s="153"/>
      <c r="I121" s="161"/>
      <c r="J121" s="749">
        <f>SUM(J116:J120)</f>
        <v>2255000.7008000039</v>
      </c>
      <c r="K121" s="759">
        <f>(J115-J121)/J115</f>
        <v>2.3091996354282717E-3</v>
      </c>
      <c r="L121" s="735">
        <v>2448360.7008000049</v>
      </c>
      <c r="M121" s="736">
        <f t="shared" si="4"/>
        <v>0.92102470851749074</v>
      </c>
      <c r="N121" s="379"/>
      <c r="O121" s="379"/>
      <c r="P121" s="379"/>
      <c r="Q121" s="758"/>
    </row>
    <row r="122" spans="1:17" customFormat="1">
      <c r="A122" s="161">
        <v>13</v>
      </c>
      <c r="B122" s="239" t="s">
        <v>1468</v>
      </c>
      <c r="C122" s="202"/>
      <c r="D122" s="202"/>
      <c r="E122" s="202"/>
      <c r="F122" s="202"/>
      <c r="G122" s="202"/>
      <c r="H122" s="153"/>
      <c r="I122" s="161"/>
      <c r="J122" s="161"/>
      <c r="K122" s="760"/>
      <c r="L122" s="735"/>
      <c r="M122" s="736" t="e">
        <f t="shared" si="4"/>
        <v>#DIV/0!</v>
      </c>
      <c r="N122" s="379"/>
      <c r="O122" s="379"/>
      <c r="P122" s="379"/>
      <c r="Q122" s="758"/>
    </row>
    <row r="123" spans="1:17" customFormat="1">
      <c r="A123" s="161">
        <v>1</v>
      </c>
      <c r="B123" s="238" t="s">
        <v>1381</v>
      </c>
      <c r="C123" s="153">
        <v>3300082</v>
      </c>
      <c r="D123" s="153">
        <v>911725</v>
      </c>
      <c r="E123" s="153">
        <v>911725</v>
      </c>
      <c r="F123" s="153">
        <f>E123-D123</f>
        <v>0</v>
      </c>
      <c r="G123" s="153">
        <v>40</v>
      </c>
      <c r="H123" s="153">
        <f>F123*G123</f>
        <v>0</v>
      </c>
      <c r="I123" s="749">
        <v>390000</v>
      </c>
      <c r="J123" s="244">
        <f>H123+I123</f>
        <v>390000</v>
      </c>
      <c r="K123" s="760"/>
      <c r="L123" s="735">
        <v>275580</v>
      </c>
      <c r="M123" s="736">
        <f t="shared" si="4"/>
        <v>1.4151970389723492</v>
      </c>
      <c r="N123" s="379"/>
      <c r="O123" s="379"/>
      <c r="P123" s="379"/>
      <c r="Q123" s="758"/>
    </row>
    <row r="124" spans="1:17" customFormat="1">
      <c r="A124" s="161"/>
      <c r="B124" s="238"/>
      <c r="C124" s="14"/>
      <c r="D124" s="153"/>
      <c r="E124" s="153"/>
      <c r="F124" s="153"/>
      <c r="G124" s="153"/>
      <c r="H124" s="153"/>
      <c r="I124" s="161"/>
      <c r="J124" s="153"/>
      <c r="K124" s="760"/>
      <c r="L124" s="735"/>
      <c r="M124" s="736" t="e">
        <f t="shared" si="4"/>
        <v>#DIV/0!</v>
      </c>
      <c r="N124" s="379"/>
      <c r="O124" s="379"/>
      <c r="P124" s="379"/>
      <c r="Q124" s="758"/>
    </row>
    <row r="125" spans="1:17" customFormat="1">
      <c r="A125" s="161"/>
      <c r="B125" s="734" t="s">
        <v>1363</v>
      </c>
      <c r="C125" s="238"/>
      <c r="D125" s="153"/>
      <c r="E125" s="153"/>
      <c r="F125" s="153"/>
      <c r="G125" s="153"/>
      <c r="H125" s="153"/>
      <c r="I125" s="161"/>
      <c r="J125" s="244">
        <f>SUM(J123)</f>
        <v>390000</v>
      </c>
      <c r="K125" s="760"/>
      <c r="L125" s="735">
        <v>275580</v>
      </c>
      <c r="M125" s="736">
        <f t="shared" si="4"/>
        <v>1.4151970389723492</v>
      </c>
      <c r="N125" s="379">
        <v>8120219317</v>
      </c>
      <c r="O125" s="379"/>
      <c r="P125" s="379"/>
      <c r="Q125" s="379"/>
    </row>
    <row r="126" spans="1:17" customFormat="1">
      <c r="A126" s="161">
        <v>38</v>
      </c>
      <c r="B126" s="752" t="s">
        <v>1469</v>
      </c>
      <c r="C126" s="752">
        <v>3310877</v>
      </c>
      <c r="D126" s="155">
        <v>172651</v>
      </c>
      <c r="E126" s="155">
        <v>172651</v>
      </c>
      <c r="F126" s="155">
        <f>E126-D126</f>
        <v>0</v>
      </c>
      <c r="G126" s="155">
        <v>30</v>
      </c>
      <c r="H126" s="155">
        <f>F126*G126</f>
        <v>0</v>
      </c>
      <c r="I126" s="763">
        <v>54100.000000000007</v>
      </c>
      <c r="J126" s="158">
        <f>H126+I126</f>
        <v>54100.000000000007</v>
      </c>
      <c r="K126" s="760"/>
      <c r="L126" s="735">
        <v>271580</v>
      </c>
      <c r="M126" s="736">
        <f t="shared" si="4"/>
        <v>0.19920465424552622</v>
      </c>
      <c r="N126" s="379"/>
      <c r="O126" s="379"/>
      <c r="P126" s="379"/>
      <c r="Q126" s="379"/>
    </row>
    <row r="127" spans="1:17" customFormat="1">
      <c r="A127" s="161">
        <v>39</v>
      </c>
      <c r="B127" s="752" t="s">
        <v>28</v>
      </c>
      <c r="C127" s="752" t="s">
        <v>1470</v>
      </c>
      <c r="D127" s="762">
        <v>21621.8</v>
      </c>
      <c r="E127" s="155">
        <v>21621.8</v>
      </c>
      <c r="F127" s="155">
        <f>E127-D127</f>
        <v>0</v>
      </c>
      <c r="G127" s="155">
        <v>0</v>
      </c>
      <c r="H127" s="155">
        <f>F127*G127</f>
        <v>0</v>
      </c>
      <c r="I127" s="763">
        <v>382839</v>
      </c>
      <c r="J127" s="158">
        <f>H127+I127</f>
        <v>382839</v>
      </c>
      <c r="K127" s="760"/>
      <c r="L127" s="735">
        <v>271580</v>
      </c>
      <c r="M127" s="736">
        <f t="shared" si="4"/>
        <v>1.4096730245231608</v>
      </c>
      <c r="N127" s="379"/>
      <c r="O127" s="379"/>
      <c r="P127" s="379"/>
      <c r="Q127" s="379"/>
    </row>
    <row r="128" spans="1:17" customFormat="1">
      <c r="A128" s="161"/>
      <c r="B128" s="238"/>
      <c r="C128" s="238"/>
      <c r="D128" s="153"/>
      <c r="E128" s="153"/>
      <c r="F128" s="153"/>
      <c r="G128" s="153"/>
      <c r="H128" s="153"/>
      <c r="I128" s="161"/>
      <c r="J128" s="749">
        <f>SUM(J127)</f>
        <v>382839</v>
      </c>
      <c r="K128" s="759">
        <f>(J123-J128)/J123</f>
        <v>1.836153846153846E-2</v>
      </c>
      <c r="L128" s="735">
        <v>271580</v>
      </c>
      <c r="M128" s="736">
        <f t="shared" si="4"/>
        <v>1.4096730245231608</v>
      </c>
      <c r="N128" s="379"/>
      <c r="O128" s="379"/>
      <c r="P128" s="379"/>
      <c r="Q128" s="379"/>
    </row>
    <row r="129" spans="1:14" customFormat="1">
      <c r="A129" s="161">
        <v>14</v>
      </c>
      <c r="B129" s="239" t="s">
        <v>1471</v>
      </c>
      <c r="C129" s="238"/>
      <c r="D129" s="153"/>
      <c r="E129" s="153"/>
      <c r="F129" s="153"/>
      <c r="G129" s="153"/>
      <c r="H129" s="153"/>
      <c r="I129" s="161"/>
      <c r="J129" s="161"/>
      <c r="K129" s="759"/>
      <c r="L129" s="735"/>
      <c r="M129" s="736" t="e">
        <f t="shared" si="4"/>
        <v>#DIV/0!</v>
      </c>
      <c r="N129" s="379"/>
    </row>
    <row r="130" spans="1:14" customFormat="1">
      <c r="A130" s="161"/>
      <c r="B130" s="238" t="s">
        <v>1472</v>
      </c>
      <c r="C130" s="153" t="s">
        <v>1473</v>
      </c>
      <c r="D130" s="153">
        <v>5322</v>
      </c>
      <c r="E130" s="153">
        <v>5532</v>
      </c>
      <c r="F130" s="153">
        <f>E130-D130</f>
        <v>210</v>
      </c>
      <c r="G130" s="153">
        <v>60</v>
      </c>
      <c r="H130" s="153">
        <f>F130*G130</f>
        <v>12600</v>
      </c>
      <c r="I130" s="749">
        <v>10500</v>
      </c>
      <c r="J130" s="244">
        <f>H130+I130</f>
        <v>23100</v>
      </c>
      <c r="K130" s="759"/>
      <c r="L130" s="735">
        <v>22440</v>
      </c>
      <c r="M130" s="736">
        <f t="shared" si="4"/>
        <v>1.0294117647058822</v>
      </c>
      <c r="N130" s="379">
        <f>M130-H130</f>
        <v>-12598.970588235294</v>
      </c>
    </row>
    <row r="131" spans="1:14" customFormat="1">
      <c r="A131" s="161"/>
      <c r="B131" s="238"/>
      <c r="C131" s="238"/>
      <c r="D131" s="153"/>
      <c r="E131" s="153"/>
      <c r="F131" s="153"/>
      <c r="G131" s="153"/>
      <c r="H131" s="153"/>
      <c r="I131" s="161"/>
      <c r="J131" s="161"/>
      <c r="K131" s="759"/>
      <c r="L131" s="735"/>
      <c r="M131" s="736" t="e">
        <f t="shared" si="4"/>
        <v>#DIV/0!</v>
      </c>
      <c r="N131" s="379"/>
    </row>
    <row r="132" spans="1:14" customFormat="1">
      <c r="A132" s="161"/>
      <c r="B132" s="734" t="s">
        <v>1363</v>
      </c>
      <c r="C132" s="238"/>
      <c r="D132" s="153"/>
      <c r="E132" s="153"/>
      <c r="F132" s="153"/>
      <c r="G132" s="153"/>
      <c r="H132" s="153"/>
      <c r="I132" s="161"/>
      <c r="J132" s="161"/>
      <c r="K132" s="759"/>
      <c r="L132" s="735"/>
      <c r="M132" s="736" t="e">
        <f t="shared" si="4"/>
        <v>#DIV/0!</v>
      </c>
      <c r="N132" s="379"/>
    </row>
    <row r="133" spans="1:14" customFormat="1">
      <c r="A133" s="161"/>
      <c r="B133" s="238" t="s">
        <v>3130</v>
      </c>
      <c r="C133" s="153" t="s">
        <v>1475</v>
      </c>
      <c r="D133" s="153">
        <v>6596</v>
      </c>
      <c r="E133" s="153">
        <v>6817</v>
      </c>
      <c r="F133" s="153">
        <f>E133-D133</f>
        <v>221</v>
      </c>
      <c r="G133" s="153">
        <v>40</v>
      </c>
      <c r="H133" s="153">
        <f>F133*G133</f>
        <v>8840</v>
      </c>
      <c r="I133" s="749"/>
      <c r="J133" s="244">
        <f>H133+I133</f>
        <v>8840</v>
      </c>
      <c r="K133" s="759"/>
      <c r="L133" s="735">
        <v>8760</v>
      </c>
      <c r="M133" s="736">
        <f t="shared" si="4"/>
        <v>1.0091324200913243</v>
      </c>
      <c r="N133" s="379">
        <f>M133-H134</f>
        <v>-3018.9908675799088</v>
      </c>
    </row>
    <row r="134" spans="1:14" customFormat="1">
      <c r="A134" s="161"/>
      <c r="B134" s="238" t="s">
        <v>1474</v>
      </c>
      <c r="C134" s="153" t="s">
        <v>1477</v>
      </c>
      <c r="D134" s="153">
        <v>1464</v>
      </c>
      <c r="E134" s="153">
        <v>1539.5</v>
      </c>
      <c r="F134" s="153">
        <f>E134-D134</f>
        <v>75.5</v>
      </c>
      <c r="G134" s="153">
        <v>40</v>
      </c>
      <c r="H134" s="153">
        <f>F134*G134</f>
        <v>3020</v>
      </c>
      <c r="I134" s="749">
        <v>10779.9805</v>
      </c>
      <c r="J134" s="244">
        <f>H134+I134</f>
        <v>13799.9805</v>
      </c>
      <c r="K134" s="759"/>
      <c r="L134" s="735">
        <v>13399.9805</v>
      </c>
      <c r="M134" s="736">
        <f t="shared" si="4"/>
        <v>1.0298507897082387</v>
      </c>
      <c r="N134" s="379">
        <f>M134-H133</f>
        <v>-8838.9701492102922</v>
      </c>
    </row>
    <row r="135" spans="1:14" customFormat="1">
      <c r="A135" s="161"/>
      <c r="B135" s="238"/>
      <c r="C135" s="238"/>
      <c r="D135" s="153"/>
      <c r="E135" s="153"/>
      <c r="F135" s="153"/>
      <c r="G135" s="153"/>
      <c r="H135" s="153"/>
      <c r="I135" s="161"/>
      <c r="J135" s="749">
        <f>SUM(J133:J134)</f>
        <v>22639.980499999998</v>
      </c>
      <c r="K135" s="759">
        <f>(J130-J135)/J130</f>
        <v>1.9914264069264161E-2</v>
      </c>
      <c r="L135" s="735">
        <v>22159.980499999998</v>
      </c>
      <c r="M135" s="736">
        <f t="shared" ref="M135:M198" si="5">J135/L135</f>
        <v>1.0216606688801013</v>
      </c>
      <c r="N135" s="379"/>
    </row>
    <row r="136" spans="1:14" customFormat="1">
      <c r="A136" s="161">
        <v>14</v>
      </c>
      <c r="B136" s="239" t="s">
        <v>1478</v>
      </c>
      <c r="C136" s="238"/>
      <c r="D136" s="153"/>
      <c r="E136" s="153"/>
      <c r="F136" s="153"/>
      <c r="G136" s="153"/>
      <c r="H136" s="153"/>
      <c r="I136" s="161"/>
      <c r="J136" s="161"/>
      <c r="K136" s="759"/>
      <c r="L136" s="735"/>
      <c r="M136" s="736" t="e">
        <f t="shared" si="5"/>
        <v>#DIV/0!</v>
      </c>
      <c r="N136" s="379"/>
    </row>
    <row r="137" spans="1:14" customFormat="1">
      <c r="A137" s="161"/>
      <c r="B137" s="238" t="s">
        <v>1479</v>
      </c>
      <c r="C137" s="153"/>
      <c r="D137" s="153">
        <v>24811.599999999999</v>
      </c>
      <c r="E137" s="764">
        <v>25876.799999999999</v>
      </c>
      <c r="F137" s="153">
        <f>E137-D137</f>
        <v>1065.2000000000007</v>
      </c>
      <c r="G137" s="153">
        <v>1000</v>
      </c>
      <c r="H137" s="153">
        <f>F137*G137</f>
        <v>1065200.0000000007</v>
      </c>
      <c r="I137" s="161"/>
      <c r="J137" s="153">
        <f>H137+I137</f>
        <v>1065200.0000000007</v>
      </c>
      <c r="K137" s="759"/>
      <c r="L137" s="735">
        <v>1008099.9999999986</v>
      </c>
      <c r="M137" s="736">
        <f t="shared" si="5"/>
        <v>1.0566412062295429</v>
      </c>
      <c r="N137" s="379"/>
    </row>
    <row r="138" spans="1:14" customFormat="1">
      <c r="A138" s="161"/>
      <c r="B138" s="238"/>
      <c r="C138" s="238"/>
      <c r="D138" s="153"/>
      <c r="E138" s="153"/>
      <c r="F138" s="153"/>
      <c r="G138" s="153"/>
      <c r="H138" s="153"/>
      <c r="I138" s="161"/>
      <c r="J138" s="161"/>
      <c r="K138" s="759"/>
      <c r="L138" s="735"/>
      <c r="M138" s="736" t="e">
        <f t="shared" si="5"/>
        <v>#DIV/0!</v>
      </c>
      <c r="N138" s="379"/>
    </row>
    <row r="139" spans="1:14" customFormat="1">
      <c r="A139" s="161"/>
      <c r="B139" s="734" t="s">
        <v>1363</v>
      </c>
      <c r="C139" s="238"/>
      <c r="D139" s="153"/>
      <c r="E139" s="153"/>
      <c r="F139" s="153"/>
      <c r="G139" s="153"/>
      <c r="H139" s="153"/>
      <c r="I139" s="161"/>
      <c r="J139" s="161"/>
      <c r="K139" s="759"/>
      <c r="L139" s="735"/>
      <c r="M139" s="736" t="e">
        <f t="shared" si="5"/>
        <v>#DIV/0!</v>
      </c>
      <c r="N139" s="379"/>
    </row>
    <row r="140" spans="1:14" customFormat="1">
      <c r="A140" s="161"/>
      <c r="B140" s="238" t="s">
        <v>1480</v>
      </c>
      <c r="C140" s="153"/>
      <c r="D140" s="153">
        <v>15134.7</v>
      </c>
      <c r="E140" s="153">
        <v>16074.7</v>
      </c>
      <c r="F140" s="153">
        <f>E140-D140</f>
        <v>940</v>
      </c>
      <c r="G140" s="153">
        <v>1000</v>
      </c>
      <c r="H140" s="153">
        <f>F140*G140</f>
        <v>940000</v>
      </c>
      <c r="I140" s="749">
        <v>31000</v>
      </c>
      <c r="J140" s="153">
        <f>H140+I140</f>
        <v>971000</v>
      </c>
      <c r="K140" s="759"/>
      <c r="L140" s="735">
        <v>909600.00000000035</v>
      </c>
      <c r="M140" s="736">
        <f t="shared" si="5"/>
        <v>1.067502198768689</v>
      </c>
      <c r="N140" s="765">
        <f>L140-J140</f>
        <v>-61399.999999999651</v>
      </c>
    </row>
    <row r="141" spans="1:14" customFormat="1">
      <c r="A141" s="161"/>
      <c r="B141" s="238" t="s">
        <v>1481</v>
      </c>
      <c r="C141" s="153"/>
      <c r="D141" s="153">
        <v>3200.36</v>
      </c>
      <c r="E141" s="153">
        <v>3274.3</v>
      </c>
      <c r="F141" s="153">
        <f>E141-D141</f>
        <v>73.940000000000055</v>
      </c>
      <c r="G141" s="153">
        <v>1000</v>
      </c>
      <c r="H141" s="153">
        <f>F141*G141</f>
        <v>73940.000000000058</v>
      </c>
      <c r="I141" s="161"/>
      <c r="J141" s="153">
        <f>H141+I141</f>
        <v>73940.000000000058</v>
      </c>
      <c r="K141" s="759"/>
      <c r="L141" s="735">
        <v>78579.999999999927</v>
      </c>
      <c r="M141" s="736">
        <f t="shared" si="5"/>
        <v>0.94095189615678454</v>
      </c>
      <c r="N141" s="379">
        <v>2</v>
      </c>
    </row>
    <row r="142" spans="1:14" customFormat="1">
      <c r="A142" s="161"/>
      <c r="B142" s="238" t="s">
        <v>1482</v>
      </c>
      <c r="C142" s="153"/>
      <c r="D142" s="153">
        <v>2586.8000000000002</v>
      </c>
      <c r="E142" s="153">
        <v>2586.8000000000002</v>
      </c>
      <c r="F142" s="153">
        <f>E142-D142</f>
        <v>0</v>
      </c>
      <c r="G142" s="153">
        <v>1000</v>
      </c>
      <c r="H142" s="153">
        <f>F142*G142</f>
        <v>0</v>
      </c>
      <c r="I142" s="244"/>
      <c r="J142" s="153">
        <f>H142+I142</f>
        <v>0</v>
      </c>
      <c r="K142" s="759"/>
      <c r="L142" s="735">
        <v>0</v>
      </c>
      <c r="M142" s="736" t="e">
        <f t="shared" si="5"/>
        <v>#DIV/0!</v>
      </c>
      <c r="N142" s="379"/>
    </row>
    <row r="143" spans="1:14" customFormat="1">
      <c r="A143" s="161"/>
      <c r="B143" s="238"/>
      <c r="C143" s="238"/>
      <c r="D143" s="153"/>
      <c r="E143" s="153"/>
      <c r="F143" s="153"/>
      <c r="G143" s="153"/>
      <c r="H143" s="153"/>
      <c r="I143" s="161"/>
      <c r="J143" s="161">
        <f>SUM(J140:J142)</f>
        <v>1044940</v>
      </c>
      <c r="K143" s="759">
        <f>(J137-J143)/J137</f>
        <v>1.9019902365753554E-2</v>
      </c>
      <c r="L143" s="735">
        <v>988180.00000000023</v>
      </c>
      <c r="M143" s="736">
        <f t="shared" si="5"/>
        <v>1.0574389281305023</v>
      </c>
      <c r="N143" s="379">
        <f>J140/26</f>
        <v>37346.153846153844</v>
      </c>
    </row>
    <row r="144" spans="1:14" customFormat="1">
      <c r="A144" s="153"/>
      <c r="B144" s="239" t="s">
        <v>1483</v>
      </c>
      <c r="C144" s="238"/>
      <c r="D144" s="153"/>
      <c r="E144" s="153"/>
      <c r="F144" s="153"/>
      <c r="G144" s="153"/>
      <c r="H144" s="153"/>
      <c r="I144" s="153"/>
      <c r="J144" s="153"/>
      <c r="K144" s="153"/>
      <c r="L144" s="735"/>
      <c r="M144" s="736" t="e">
        <f t="shared" si="5"/>
        <v>#DIV/0!</v>
      </c>
      <c r="N144" s="379">
        <f>N143*5</f>
        <v>186730.76923076922</v>
      </c>
    </row>
    <row r="145" spans="1:14" customFormat="1">
      <c r="A145" s="153">
        <v>1</v>
      </c>
      <c r="B145" s="238" t="s">
        <v>1484</v>
      </c>
      <c r="C145" s="238" t="str">
        <f t="shared" ref="C145:H145" si="6">C698</f>
        <v>MPE24438</v>
      </c>
      <c r="D145" s="153">
        <f t="shared" si="6"/>
        <v>26601.3</v>
      </c>
      <c r="E145" s="153">
        <f t="shared" si="6"/>
        <v>26601.3</v>
      </c>
      <c r="F145" s="153">
        <f t="shared" si="6"/>
        <v>0</v>
      </c>
      <c r="G145" s="153">
        <f t="shared" si="6"/>
        <v>2000</v>
      </c>
      <c r="H145" s="153">
        <f t="shared" si="6"/>
        <v>0</v>
      </c>
      <c r="I145" s="244"/>
      <c r="J145" s="153">
        <f>J698</f>
        <v>311760.00000000023</v>
      </c>
      <c r="K145" s="153"/>
      <c r="L145" s="735">
        <v>325152.00000000006</v>
      </c>
      <c r="M145" s="736">
        <f t="shared" si="5"/>
        <v>0.95881310894597038</v>
      </c>
      <c r="N145" s="379"/>
    </row>
    <row r="146" spans="1:14" customFormat="1">
      <c r="A146" s="153">
        <v>2</v>
      </c>
      <c r="B146" s="238" t="s">
        <v>1200</v>
      </c>
      <c r="C146" s="238" t="s">
        <v>1485</v>
      </c>
      <c r="D146" s="153">
        <f>D184</f>
        <v>123251.6</v>
      </c>
      <c r="E146" s="153">
        <f>E184</f>
        <v>123380.4</v>
      </c>
      <c r="F146" s="153">
        <f>F184</f>
        <v>128.79999999998836</v>
      </c>
      <c r="G146" s="153">
        <f>G184</f>
        <v>2000</v>
      </c>
      <c r="H146" s="153">
        <f>H184</f>
        <v>257599.99999997672</v>
      </c>
      <c r="I146" s="153"/>
      <c r="J146" s="153">
        <f>J245</f>
        <v>257599.99999997672</v>
      </c>
      <c r="K146" s="153"/>
      <c r="L146" s="735">
        <v>265200.00000001164</v>
      </c>
      <c r="M146" s="736">
        <f t="shared" si="5"/>
        <v>0.97134238310695853</v>
      </c>
      <c r="N146" s="379"/>
    </row>
    <row r="147" spans="1:14" customFormat="1">
      <c r="A147" s="153">
        <v>3</v>
      </c>
      <c r="B147" s="238" t="s">
        <v>1486</v>
      </c>
      <c r="C147" s="238" t="s">
        <v>1487</v>
      </c>
      <c r="D147" s="244">
        <f>D168</f>
        <v>89931.5</v>
      </c>
      <c r="E147" s="244">
        <f>E168</f>
        <v>90189.9</v>
      </c>
      <c r="F147" s="244">
        <f>F168</f>
        <v>258.39999999999418</v>
      </c>
      <c r="G147" s="244">
        <f>G168</f>
        <v>2000</v>
      </c>
      <c r="H147" s="244">
        <f>H168</f>
        <v>516799.99999998836</v>
      </c>
      <c r="I147" s="153"/>
      <c r="J147" s="244">
        <f>J168</f>
        <v>516799.99999998836</v>
      </c>
      <c r="K147" s="153"/>
      <c r="L147" s="735">
        <v>560000</v>
      </c>
      <c r="M147" s="736">
        <f t="shared" si="5"/>
        <v>0.92285714285712206</v>
      </c>
      <c r="N147" s="379"/>
    </row>
    <row r="148" spans="1:14" customFormat="1">
      <c r="A148" s="153">
        <v>4</v>
      </c>
      <c r="B148" s="238" t="s">
        <v>1171</v>
      </c>
      <c r="C148" s="238" t="s">
        <v>1488</v>
      </c>
      <c r="D148" s="247">
        <f>D172</f>
        <v>154830.79999999999</v>
      </c>
      <c r="E148" s="247">
        <f>E172</f>
        <v>155022.70000000001</v>
      </c>
      <c r="F148" s="244">
        <f>F172</f>
        <v>191.90000000002328</v>
      </c>
      <c r="G148" s="244">
        <f>G172</f>
        <v>2000</v>
      </c>
      <c r="H148" s="244">
        <f>H172</f>
        <v>383800.00000004657</v>
      </c>
      <c r="I148" s="153"/>
      <c r="J148" s="244">
        <f>J172</f>
        <v>905639.83290005859</v>
      </c>
      <c r="K148" s="153"/>
      <c r="L148" s="735">
        <v>961639.83290000039</v>
      </c>
      <c r="M148" s="736">
        <f t="shared" si="5"/>
        <v>0.94176613937562925</v>
      </c>
      <c r="N148" s="379"/>
    </row>
    <row r="149" spans="1:14" customFormat="1">
      <c r="A149" s="153"/>
      <c r="B149" s="766"/>
      <c r="C149" s="238"/>
      <c r="D149" s="153"/>
      <c r="E149" s="153"/>
      <c r="F149" s="153"/>
      <c r="G149" s="153"/>
      <c r="H149" s="153"/>
      <c r="I149" s="153"/>
      <c r="J149" s="95">
        <f>SUM(J145:J148)</f>
        <v>1991799.832900024</v>
      </c>
      <c r="K149" s="153"/>
      <c r="L149" s="735">
        <v>2111991.8329000119</v>
      </c>
      <c r="M149" s="736">
        <f t="shared" si="5"/>
        <v>0.94309068902271742</v>
      </c>
      <c r="N149" s="379"/>
    </row>
    <row r="150" spans="1:14" customFormat="1">
      <c r="A150" s="153"/>
      <c r="B150" s="733" t="s">
        <v>1489</v>
      </c>
      <c r="C150" s="238"/>
      <c r="D150" s="261"/>
      <c r="E150" s="261"/>
      <c r="F150" s="153"/>
      <c r="G150" s="153"/>
      <c r="H150" s="261"/>
      <c r="I150" s="153"/>
      <c r="J150" s="153"/>
      <c r="K150" s="153"/>
      <c r="L150" s="735"/>
      <c r="M150" s="736" t="e">
        <f t="shared" si="5"/>
        <v>#DIV/0!</v>
      </c>
      <c r="N150" s="379"/>
    </row>
    <row r="151" spans="1:14" customFormat="1">
      <c r="A151" s="153">
        <v>1</v>
      </c>
      <c r="B151" s="238" t="s">
        <v>1490</v>
      </c>
      <c r="C151" s="238">
        <v>3628907</v>
      </c>
      <c r="D151" s="261">
        <f>D695</f>
        <v>441220.3</v>
      </c>
      <c r="E151" s="261">
        <f>E695</f>
        <v>441220.3</v>
      </c>
      <c r="F151" s="261">
        <f>E151-D151</f>
        <v>0</v>
      </c>
      <c r="G151" s="153">
        <v>1</v>
      </c>
      <c r="H151" s="244">
        <f>F151*G151</f>
        <v>0</v>
      </c>
      <c r="I151" s="244"/>
      <c r="J151" s="244">
        <f>H151+I151</f>
        <v>0</v>
      </c>
      <c r="K151" s="153"/>
      <c r="L151" s="735">
        <v>0</v>
      </c>
      <c r="M151" s="736" t="e">
        <f t="shared" si="5"/>
        <v>#DIV/0!</v>
      </c>
      <c r="N151" s="379"/>
    </row>
    <row r="152" spans="1:14" customFormat="1">
      <c r="A152" s="153">
        <v>3</v>
      </c>
      <c r="B152" s="748" t="s">
        <v>1491</v>
      </c>
      <c r="C152" s="238" t="str">
        <f t="shared" ref="C152:H152" si="7">C34</f>
        <v>MPE24439</v>
      </c>
      <c r="D152" s="261">
        <f t="shared" si="7"/>
        <v>38667.800000000003</v>
      </c>
      <c r="E152" s="261">
        <f t="shared" si="7"/>
        <v>38940.300000000003</v>
      </c>
      <c r="F152" s="153">
        <f t="shared" si="7"/>
        <v>272.5</v>
      </c>
      <c r="G152" s="153">
        <f t="shared" si="7"/>
        <v>2000</v>
      </c>
      <c r="H152" s="153">
        <f t="shared" si="7"/>
        <v>545000</v>
      </c>
      <c r="I152" s="244"/>
      <c r="J152" s="153">
        <f>J34</f>
        <v>545000</v>
      </c>
      <c r="K152" s="153"/>
      <c r="L152" s="735">
        <v>634600.00000000582</v>
      </c>
      <c r="M152" s="736">
        <f t="shared" si="5"/>
        <v>0.85880869839268048</v>
      </c>
      <c r="N152" s="379"/>
    </row>
    <row r="153" spans="1:14" customFormat="1">
      <c r="A153" s="153"/>
      <c r="B153" s="755"/>
      <c r="C153" s="238"/>
      <c r="D153" s="153"/>
      <c r="E153" s="153"/>
      <c r="F153" s="153"/>
      <c r="G153" s="153"/>
      <c r="H153" s="153"/>
      <c r="I153" s="153"/>
      <c r="J153" s="349">
        <f>SUM(J151:J152)</f>
        <v>545000</v>
      </c>
      <c r="K153" s="153"/>
      <c r="L153" s="735">
        <v>634600.00000000582</v>
      </c>
      <c r="M153" s="736">
        <f t="shared" si="5"/>
        <v>0.85880869839268048</v>
      </c>
      <c r="N153" s="379"/>
    </row>
    <row r="154" spans="1:14" customFormat="1">
      <c r="A154" s="153"/>
      <c r="B154" s="238" t="s">
        <v>1492</v>
      </c>
      <c r="C154" s="238"/>
      <c r="D154" s="153"/>
      <c r="E154" s="153"/>
      <c r="F154" s="153"/>
      <c r="G154" s="153"/>
      <c r="H154" s="153"/>
      <c r="I154" s="153"/>
      <c r="J154" s="349">
        <f>J12+J24+J32+J43+J52+J61+J70+J81+J90+J98+J105+J115+J125+J149-J153+J130</f>
        <v>21280718.832900003</v>
      </c>
      <c r="K154" s="153"/>
      <c r="L154" s="735">
        <v>22175472.832900032</v>
      </c>
      <c r="M154" s="736">
        <f t="shared" si="5"/>
        <v>0.95965118729407417</v>
      </c>
      <c r="N154" s="379"/>
    </row>
    <row r="155" spans="1:14" customFormat="1">
      <c r="A155" s="153"/>
      <c r="B155" s="238" t="s">
        <v>1493</v>
      </c>
      <c r="C155" s="238"/>
      <c r="D155" s="153"/>
      <c r="E155" s="153"/>
      <c r="F155" s="153"/>
      <c r="G155" s="153"/>
      <c r="H155" s="153"/>
      <c r="I155" s="244"/>
      <c r="J155" s="349">
        <f>J20+J29+J38+J48+J56+J66+J77+J87+J94+J102+J110+J121+J128+J149-J153+J135</f>
        <v>21121972.655620046</v>
      </c>
      <c r="K155" s="743">
        <f>(J154-J155)/J154</f>
        <v>7.4596247676810131E-3</v>
      </c>
      <c r="L155" s="735">
        <v>21973582.99239007</v>
      </c>
      <c r="M155" s="736">
        <f t="shared" si="5"/>
        <v>0.96124390195877685</v>
      </c>
      <c r="N155" s="379"/>
    </row>
    <row r="156" spans="1:14" customFormat="1">
      <c r="A156" s="153"/>
      <c r="B156" s="755"/>
      <c r="C156" s="238"/>
      <c r="D156" s="153"/>
      <c r="E156" s="153"/>
      <c r="F156" s="153"/>
      <c r="G156" s="153"/>
      <c r="H156" s="153"/>
      <c r="I156" s="153"/>
      <c r="J156" s="153"/>
      <c r="K156" s="153"/>
      <c r="L156" s="379"/>
      <c r="M156" s="736" t="e">
        <f t="shared" si="5"/>
        <v>#DIV/0!</v>
      </c>
      <c r="N156" s="379"/>
    </row>
    <row r="157" spans="1:14" customFormat="1" ht="18">
      <c r="A157" s="1340" t="s">
        <v>1494</v>
      </c>
      <c r="B157" s="1340"/>
      <c r="C157" s="1340"/>
      <c r="D157" s="1340"/>
      <c r="E157" s="1340"/>
      <c r="F157" s="1340"/>
      <c r="G157" s="1340"/>
      <c r="H157" s="1340"/>
      <c r="I157" s="1340"/>
      <c r="J157" s="1340"/>
      <c r="K157" s="1340"/>
      <c r="L157" s="379"/>
      <c r="M157" s="736" t="e">
        <f t="shared" si="5"/>
        <v>#DIV/0!</v>
      </c>
      <c r="N157" s="379"/>
    </row>
    <row r="158" spans="1:14" customFormat="1">
      <c r="A158" s="1341" t="s">
        <v>1350</v>
      </c>
      <c r="B158" s="1341"/>
      <c r="C158" s="1341"/>
      <c r="D158" s="1338" t="str">
        <f>D2</f>
        <v>OCT.2024</v>
      </c>
      <c r="E158" s="1338"/>
      <c r="F158" s="153"/>
      <c r="G158" s="153"/>
      <c r="H158" s="153"/>
      <c r="I158" s="153"/>
      <c r="J158" s="153"/>
      <c r="K158" s="153"/>
      <c r="L158" s="379" t="s">
        <v>1495</v>
      </c>
      <c r="M158" s="736" t="e">
        <f t="shared" si="5"/>
        <v>#VALUE!</v>
      </c>
      <c r="N158" s="379"/>
    </row>
    <row r="159" spans="1:14" customFormat="1" ht="25.5">
      <c r="A159" s="14"/>
      <c r="B159" s="725" t="s">
        <v>898</v>
      </c>
      <c r="C159" s="726" t="s">
        <v>1351</v>
      </c>
      <c r="D159" s="727"/>
      <c r="E159" s="727"/>
      <c r="F159" s="727" t="s">
        <v>1353</v>
      </c>
      <c r="G159" s="14" t="s">
        <v>135</v>
      </c>
      <c r="H159" s="14" t="s">
        <v>13</v>
      </c>
      <c r="I159" s="728" t="s">
        <v>292</v>
      </c>
      <c r="J159" s="727" t="s">
        <v>1495</v>
      </c>
      <c r="K159" s="727"/>
      <c r="L159" s="379" t="s">
        <v>1495</v>
      </c>
      <c r="M159" s="736" t="e">
        <f t="shared" si="5"/>
        <v>#VALUE!</v>
      </c>
      <c r="N159" s="379">
        <f>155/15</f>
        <v>10.333333333333334</v>
      </c>
    </row>
    <row r="160" spans="1:14" customFormat="1">
      <c r="A160" s="14"/>
      <c r="B160" s="725"/>
      <c r="C160" s="239"/>
      <c r="D160" s="767">
        <f>D4</f>
        <v>45565</v>
      </c>
      <c r="E160" s="767">
        <f>E4</f>
        <v>45596</v>
      </c>
      <c r="F160" s="69"/>
      <c r="G160" s="69"/>
      <c r="H160" s="69"/>
      <c r="I160" s="69"/>
      <c r="J160" s="768"/>
      <c r="K160" s="153"/>
      <c r="L160" s="379"/>
      <c r="M160" s="736" t="e">
        <f t="shared" si="5"/>
        <v>#DIV/0!</v>
      </c>
      <c r="N160" s="379"/>
    </row>
    <row r="161" spans="1:22" customFormat="1">
      <c r="A161" s="153">
        <v>1</v>
      </c>
      <c r="B161" s="741" t="s">
        <v>1496</v>
      </c>
      <c r="C161" s="238"/>
      <c r="D161" s="14"/>
      <c r="E161" s="14"/>
      <c r="F161" s="153"/>
      <c r="G161" s="153"/>
      <c r="H161" s="153"/>
      <c r="I161" s="153"/>
      <c r="J161" s="153"/>
      <c r="K161" s="738"/>
      <c r="L161" s="379"/>
      <c r="M161" s="736" t="e">
        <f t="shared" si="5"/>
        <v>#DIV/0!</v>
      </c>
      <c r="N161" s="379"/>
      <c r="O161" s="379"/>
      <c r="P161" s="379"/>
      <c r="Q161" s="379"/>
      <c r="R161" s="379"/>
      <c r="S161" s="379"/>
      <c r="T161" s="379"/>
      <c r="U161" s="379"/>
      <c r="V161" s="379"/>
    </row>
    <row r="162" spans="1:22" customFormat="1">
      <c r="A162" s="153">
        <v>1</v>
      </c>
      <c r="B162" s="238" t="s">
        <v>1497</v>
      </c>
      <c r="C162" s="238" t="s">
        <v>1498</v>
      </c>
      <c r="D162" s="1246">
        <v>610631.1</v>
      </c>
      <c r="E162" s="14">
        <v>612735.6</v>
      </c>
      <c r="F162" s="247">
        <f>E162-D162</f>
        <v>2104.5</v>
      </c>
      <c r="G162" s="153">
        <v>2000</v>
      </c>
      <c r="H162" s="153">
        <f>F162*G162</f>
        <v>4209000</v>
      </c>
      <c r="I162" s="769"/>
      <c r="J162" s="244">
        <f>H162+I162</f>
        <v>4209000</v>
      </c>
      <c r="K162" s="746"/>
      <c r="L162" s="735">
        <v>4683199.9999999534</v>
      </c>
      <c r="M162" s="736">
        <f t="shared" si="5"/>
        <v>0.89874444824052824</v>
      </c>
      <c r="N162" s="379"/>
      <c r="O162" s="379">
        <v>4650599.9999998603</v>
      </c>
      <c r="P162" s="379"/>
      <c r="Q162" s="379">
        <f t="shared" ref="Q162:Q174" si="8">J162/O162</f>
        <v>0.90504451038578382</v>
      </c>
      <c r="R162" s="379"/>
      <c r="S162" s="379"/>
      <c r="T162" s="379"/>
      <c r="U162" s="379"/>
      <c r="V162" s="379"/>
    </row>
    <row r="163" spans="1:22" customFormat="1">
      <c r="A163" s="153">
        <v>2</v>
      </c>
      <c r="B163" s="238" t="s">
        <v>1499</v>
      </c>
      <c r="C163" s="14" t="s">
        <v>1500</v>
      </c>
      <c r="D163" s="1246">
        <v>4987.2700000000004</v>
      </c>
      <c r="E163" s="14">
        <v>5010.8</v>
      </c>
      <c r="F163" s="247">
        <f>E163-D163</f>
        <v>23.529999999999745</v>
      </c>
      <c r="G163" s="153">
        <v>12000</v>
      </c>
      <c r="H163" s="153">
        <f>F163*G163</f>
        <v>282359.99999999697</v>
      </c>
      <c r="I163" s="153">
        <v>2903000</v>
      </c>
      <c r="J163" s="244">
        <f>H163+I163</f>
        <v>3185359.9999999972</v>
      </c>
      <c r="K163" s="153"/>
      <c r="L163" s="735">
        <v>3284880.0000000084</v>
      </c>
      <c r="M163" s="736">
        <f t="shared" si="5"/>
        <v>0.96970361169966302</v>
      </c>
      <c r="N163" s="379"/>
      <c r="O163" s="379">
        <v>2730640</v>
      </c>
      <c r="P163" s="379"/>
      <c r="Q163" s="379">
        <f t="shared" si="8"/>
        <v>1.1665250637213245</v>
      </c>
      <c r="R163" s="379"/>
      <c r="S163" s="379"/>
      <c r="T163" s="379">
        <v>98</v>
      </c>
      <c r="U163" s="379">
        <v>104</v>
      </c>
      <c r="V163" s="379">
        <v>88</v>
      </c>
    </row>
    <row r="164" spans="1:22" customFormat="1">
      <c r="A164" s="153"/>
      <c r="B164" s="734" t="s">
        <v>1363</v>
      </c>
      <c r="C164" s="238"/>
      <c r="D164" s="1246"/>
      <c r="E164" s="14"/>
      <c r="F164" s="247"/>
      <c r="G164" s="153"/>
      <c r="H164" s="153"/>
      <c r="I164" s="153"/>
      <c r="J164" s="244">
        <f>SUM(J162:J163)</f>
        <v>7394359.9999999972</v>
      </c>
      <c r="K164" s="738"/>
      <c r="L164" s="735">
        <v>7968079.9999999618</v>
      </c>
      <c r="M164" s="736">
        <f t="shared" si="5"/>
        <v>0.92799771086636085</v>
      </c>
      <c r="N164" s="379"/>
      <c r="O164" s="379">
        <v>7381239.9999998603</v>
      </c>
      <c r="P164" s="379"/>
      <c r="Q164" s="379">
        <f t="shared" si="8"/>
        <v>1.0017774791227676</v>
      </c>
      <c r="R164" s="379"/>
      <c r="S164" s="379"/>
      <c r="T164" s="379">
        <v>26</v>
      </c>
      <c r="U164" s="379">
        <v>30</v>
      </c>
      <c r="V164" s="379">
        <v>37</v>
      </c>
    </row>
    <row r="165" spans="1:22" customFormat="1">
      <c r="A165" s="153"/>
      <c r="B165" s="737" t="s">
        <v>1364</v>
      </c>
      <c r="C165" s="733"/>
      <c r="D165" s="1246"/>
      <c r="E165" s="14"/>
      <c r="F165" s="247"/>
      <c r="G165" s="153"/>
      <c r="H165" s="153"/>
      <c r="I165" s="153"/>
      <c r="J165" s="153"/>
      <c r="K165" s="738"/>
      <c r="L165" s="735"/>
      <c r="M165" s="736" t="e">
        <f t="shared" si="5"/>
        <v>#DIV/0!</v>
      </c>
      <c r="N165" s="379"/>
      <c r="O165" s="379"/>
      <c r="P165" s="379"/>
      <c r="Q165" s="379" t="e">
        <f t="shared" si="8"/>
        <v>#DIV/0!</v>
      </c>
      <c r="R165" s="379"/>
      <c r="S165" s="379"/>
      <c r="T165" s="379">
        <f>SUM(T163:T164)</f>
        <v>124</v>
      </c>
      <c r="U165" s="379">
        <f>SUM(U163:U164)</f>
        <v>134</v>
      </c>
      <c r="V165" s="379">
        <f>SUM(V163:V164)</f>
        <v>125</v>
      </c>
    </row>
    <row r="166" spans="1:22" customFormat="1">
      <c r="A166" s="153">
        <v>1</v>
      </c>
      <c r="B166" s="734" t="s">
        <v>1501</v>
      </c>
      <c r="C166" s="238" t="s">
        <v>1502</v>
      </c>
      <c r="D166" s="1246">
        <v>93770.5</v>
      </c>
      <c r="E166" s="14">
        <v>94055.6</v>
      </c>
      <c r="F166" s="247">
        <f t="shared" ref="F166:F173" si="9">E166-D166</f>
        <v>285.10000000000582</v>
      </c>
      <c r="G166" s="153">
        <v>2000</v>
      </c>
      <c r="H166" s="153">
        <f t="shared" ref="H166:H173" si="10">F166*G166</f>
        <v>570200.00000001164</v>
      </c>
      <c r="I166" s="153"/>
      <c r="J166" s="153">
        <f t="shared" ref="J166:J173" si="11">H166+I166</f>
        <v>570200.00000001164</v>
      </c>
      <c r="K166" s="738"/>
      <c r="L166" s="735">
        <v>611000</v>
      </c>
      <c r="M166" s="736">
        <f t="shared" si="5"/>
        <v>0.93322422258594373</v>
      </c>
      <c r="N166" s="379"/>
      <c r="O166" s="379">
        <v>566799.99999998801</v>
      </c>
      <c r="P166" s="379"/>
      <c r="Q166" s="379">
        <f t="shared" si="8"/>
        <v>1.0059985885674376</v>
      </c>
      <c r="R166" s="379"/>
      <c r="S166" s="379"/>
      <c r="T166" s="379"/>
      <c r="U166" s="379"/>
      <c r="V166" s="379"/>
    </row>
    <row r="167" spans="1:22" customFormat="1">
      <c r="A167" s="153">
        <v>2</v>
      </c>
      <c r="B167" s="734" t="s">
        <v>1503</v>
      </c>
      <c r="C167" s="238">
        <v>3310519</v>
      </c>
      <c r="D167" s="1246">
        <v>370998.9</v>
      </c>
      <c r="E167" s="1246">
        <v>421759.3</v>
      </c>
      <c r="F167" s="247">
        <f t="shared" si="9"/>
        <v>50760.399999999965</v>
      </c>
      <c r="G167" s="153">
        <v>20</v>
      </c>
      <c r="H167" s="153">
        <f t="shared" si="10"/>
        <v>1015207.9999999993</v>
      </c>
      <c r="I167" s="244">
        <v>24254.249999999302</v>
      </c>
      <c r="J167" s="244">
        <f t="shared" si="11"/>
        <v>1039462.2499999986</v>
      </c>
      <c r="K167" s="153"/>
      <c r="L167" s="735">
        <v>1139156.25</v>
      </c>
      <c r="M167" s="736">
        <f t="shared" si="5"/>
        <v>0.91248434971058501</v>
      </c>
      <c r="N167" s="379"/>
      <c r="O167" s="379">
        <v>1233000</v>
      </c>
      <c r="P167" s="379"/>
      <c r="Q167" s="379">
        <f t="shared" si="8"/>
        <v>0.84303507704784963</v>
      </c>
      <c r="R167" s="379"/>
      <c r="S167" s="765">
        <f>1346680-J167</f>
        <v>307217.7500000014</v>
      </c>
      <c r="T167" s="379">
        <f>T165/2</f>
        <v>62</v>
      </c>
      <c r="U167" s="379">
        <f>U165/2</f>
        <v>67</v>
      </c>
      <c r="V167" s="379">
        <f>V165/2</f>
        <v>62.5</v>
      </c>
    </row>
    <row r="168" spans="1:22" customFormat="1">
      <c r="A168" s="153">
        <v>3</v>
      </c>
      <c r="B168" s="734" t="s">
        <v>1504</v>
      </c>
      <c r="C168" s="238" t="s">
        <v>1487</v>
      </c>
      <c r="D168" s="1246">
        <v>89931.5</v>
      </c>
      <c r="E168" s="14">
        <v>90189.9</v>
      </c>
      <c r="F168" s="247">
        <f t="shared" si="9"/>
        <v>258.39999999999418</v>
      </c>
      <c r="G168" s="153">
        <v>2000</v>
      </c>
      <c r="H168" s="153">
        <f t="shared" si="10"/>
        <v>516799.99999998836</v>
      </c>
      <c r="I168" s="153"/>
      <c r="J168" s="153">
        <f t="shared" si="11"/>
        <v>516799.99999998836</v>
      </c>
      <c r="K168" s="770"/>
      <c r="L168" s="735">
        <v>560000</v>
      </c>
      <c r="M168" s="736">
        <f t="shared" si="5"/>
        <v>0.92285714285712206</v>
      </c>
      <c r="N168" s="379"/>
      <c r="O168" s="379">
        <v>484799.99999998801</v>
      </c>
      <c r="P168" s="379"/>
      <c r="Q168" s="379">
        <f t="shared" si="8"/>
        <v>1.0660066006600684</v>
      </c>
      <c r="R168" s="379"/>
      <c r="S168" s="379"/>
      <c r="T168" s="379"/>
      <c r="U168" s="379"/>
      <c r="V168" s="379"/>
    </row>
    <row r="169" spans="1:22" customFormat="1">
      <c r="A169" s="153">
        <v>4</v>
      </c>
      <c r="B169" s="734" t="s">
        <v>1505</v>
      </c>
      <c r="C169" s="238" t="s">
        <v>1506</v>
      </c>
      <c r="D169" s="1246">
        <v>93430.6</v>
      </c>
      <c r="E169" s="14">
        <v>98203.7</v>
      </c>
      <c r="F169" s="247">
        <f t="shared" si="9"/>
        <v>4773.0999999999913</v>
      </c>
      <c r="G169" s="153">
        <v>200</v>
      </c>
      <c r="H169" s="244">
        <f t="shared" si="10"/>
        <v>954619.99999999825</v>
      </c>
      <c r="I169" s="241"/>
      <c r="J169" s="244">
        <f t="shared" si="11"/>
        <v>954619.99999999825</v>
      </c>
      <c r="K169" s="153"/>
      <c r="L169" s="735">
        <v>1030740.0000000023</v>
      </c>
      <c r="M169" s="736">
        <f t="shared" si="5"/>
        <v>0.92615014455633438</v>
      </c>
      <c r="N169" s="379"/>
      <c r="O169" s="379">
        <v>1149204.1029999999</v>
      </c>
      <c r="P169" s="379"/>
      <c r="Q169" s="379">
        <f t="shared" si="8"/>
        <v>0.83067924793164294</v>
      </c>
      <c r="R169" s="379"/>
      <c r="S169" s="379"/>
      <c r="T169" s="379"/>
      <c r="U169" s="379"/>
      <c r="V169" s="379"/>
    </row>
    <row r="170" spans="1:22" customFormat="1">
      <c r="A170" s="153">
        <v>5</v>
      </c>
      <c r="B170" s="734" t="s">
        <v>1507</v>
      </c>
      <c r="C170" s="238" t="s">
        <v>1508</v>
      </c>
      <c r="D170" s="1246">
        <v>194.21</v>
      </c>
      <c r="E170" s="14">
        <v>194.59</v>
      </c>
      <c r="F170" s="247">
        <f t="shared" si="9"/>
        <v>0.37999999999999545</v>
      </c>
      <c r="G170" s="153">
        <v>12000</v>
      </c>
      <c r="H170" s="153">
        <f t="shared" si="10"/>
        <v>4559.9999999999454</v>
      </c>
      <c r="I170" s="244">
        <v>1002020</v>
      </c>
      <c r="J170" s="244">
        <f t="shared" si="11"/>
        <v>1006580</v>
      </c>
      <c r="K170" s="153"/>
      <c r="L170" s="735">
        <v>1107060</v>
      </c>
      <c r="M170" s="736">
        <f t="shared" si="5"/>
        <v>0.90923707838780188</v>
      </c>
      <c r="N170" s="379">
        <f>J170/100</f>
        <v>10065.799999999999</v>
      </c>
      <c r="O170" s="379">
        <v>1144920</v>
      </c>
      <c r="P170" s="379"/>
      <c r="Q170" s="379">
        <f t="shared" si="8"/>
        <v>0.87917059707228451</v>
      </c>
      <c r="R170" s="379"/>
      <c r="S170" s="379"/>
      <c r="T170" s="379"/>
      <c r="U170" s="379"/>
      <c r="V170" s="379"/>
    </row>
    <row r="171" spans="1:22" customFormat="1">
      <c r="A171" s="153">
        <v>6</v>
      </c>
      <c r="B171" s="734" t="s">
        <v>1509</v>
      </c>
      <c r="C171" s="238" t="s">
        <v>1510</v>
      </c>
      <c r="D171" s="1246">
        <v>110585</v>
      </c>
      <c r="E171" s="14">
        <v>110972.8</v>
      </c>
      <c r="F171" s="247">
        <f t="shared" si="9"/>
        <v>387.80000000000291</v>
      </c>
      <c r="G171" s="153">
        <v>2000</v>
      </c>
      <c r="H171" s="153">
        <f t="shared" si="10"/>
        <v>775600.00000000582</v>
      </c>
      <c r="I171" s="153"/>
      <c r="J171" s="153">
        <f t="shared" si="11"/>
        <v>775600.00000000582</v>
      </c>
      <c r="K171" s="153"/>
      <c r="L171" s="735">
        <v>830399.99999999418</v>
      </c>
      <c r="M171" s="736">
        <f t="shared" si="5"/>
        <v>0.93400770712910797</v>
      </c>
      <c r="N171" s="379">
        <f>N170*20</f>
        <v>201316</v>
      </c>
      <c r="O171" s="379">
        <v>640799.99999998801</v>
      </c>
      <c r="P171" s="379"/>
      <c r="Q171" s="379">
        <f t="shared" si="8"/>
        <v>1.2103620474407308</v>
      </c>
      <c r="R171" s="379"/>
      <c r="S171" s="379"/>
      <c r="T171" s="379"/>
      <c r="U171" s="379"/>
      <c r="V171" s="379"/>
    </row>
    <row r="172" spans="1:22" customFormat="1">
      <c r="A172" s="153">
        <v>7</v>
      </c>
      <c r="B172" s="734" t="s">
        <v>1171</v>
      </c>
      <c r="C172" s="238" t="s">
        <v>1488</v>
      </c>
      <c r="D172" s="1246">
        <v>154830.79999999999</v>
      </c>
      <c r="E172" s="14">
        <v>155022.70000000001</v>
      </c>
      <c r="F172" s="247">
        <f t="shared" si="9"/>
        <v>191.90000000002328</v>
      </c>
      <c r="G172" s="153">
        <v>2000</v>
      </c>
      <c r="H172" s="153">
        <f t="shared" si="10"/>
        <v>383800.00000004657</v>
      </c>
      <c r="I172" s="244">
        <v>521839.83290001203</v>
      </c>
      <c r="J172" s="244">
        <f t="shared" si="11"/>
        <v>905639.83290005859</v>
      </c>
      <c r="K172" s="770"/>
      <c r="L172" s="735">
        <v>961639.83290000039</v>
      </c>
      <c r="M172" s="736">
        <f t="shared" si="5"/>
        <v>0.94176613937562925</v>
      </c>
      <c r="N172" s="379"/>
      <c r="O172" s="379">
        <v>1085200.00000001</v>
      </c>
      <c r="P172" s="379"/>
      <c r="Q172" s="379">
        <f t="shared" si="8"/>
        <v>0.83453725847774629</v>
      </c>
      <c r="R172" s="379"/>
      <c r="S172" s="379"/>
      <c r="T172" s="379"/>
      <c r="U172" s="379"/>
      <c r="V172" s="379"/>
    </row>
    <row r="173" spans="1:22" customFormat="1">
      <c r="A173" s="153">
        <v>8</v>
      </c>
      <c r="B173" s="734" t="s">
        <v>1511</v>
      </c>
      <c r="C173" s="238" t="s">
        <v>1512</v>
      </c>
      <c r="D173" s="1246">
        <v>83790.3</v>
      </c>
      <c r="E173" s="14">
        <v>84549.9</v>
      </c>
      <c r="F173" s="247">
        <f t="shared" si="9"/>
        <v>759.59999999999127</v>
      </c>
      <c r="G173" s="153">
        <v>2000</v>
      </c>
      <c r="H173" s="244">
        <f t="shared" si="10"/>
        <v>1519199.9999999825</v>
      </c>
      <c r="I173" s="153"/>
      <c r="J173" s="244">
        <f t="shared" si="11"/>
        <v>1519199.9999999825</v>
      </c>
      <c r="K173" s="153"/>
      <c r="L173" s="735">
        <v>1648000</v>
      </c>
      <c r="M173" s="736">
        <f t="shared" si="5"/>
        <v>0.92184466019416411</v>
      </c>
      <c r="N173" s="379"/>
      <c r="O173" s="379">
        <v>931331.005</v>
      </c>
      <c r="P173" s="379"/>
      <c r="Q173" s="379">
        <f t="shared" si="8"/>
        <v>1.6312138131812572</v>
      </c>
      <c r="R173" s="379"/>
      <c r="S173" s="379"/>
      <c r="T173" s="379"/>
      <c r="U173" s="379"/>
      <c r="V173" s="379"/>
    </row>
    <row r="174" spans="1:22" customFormat="1">
      <c r="A174" s="153"/>
      <c r="B174" s="238"/>
      <c r="C174" s="238"/>
      <c r="D174" s="1246"/>
      <c r="E174" s="14"/>
      <c r="F174" s="247"/>
      <c r="G174" s="153"/>
      <c r="H174" s="153"/>
      <c r="I174" s="153"/>
      <c r="J174" s="244">
        <f>SUM(J166:J173)</f>
        <v>7288102.0829000436</v>
      </c>
      <c r="K174" s="771">
        <f>(J164-J174)/J164</f>
        <v>1.4370130356102986E-2</v>
      </c>
      <c r="L174" s="735">
        <v>7887996.082899997</v>
      </c>
      <c r="M174" s="736">
        <f t="shared" si="5"/>
        <v>0.92394849164537052</v>
      </c>
      <c r="N174" s="379"/>
      <c r="O174" s="379">
        <v>7236055.1079999702</v>
      </c>
      <c r="P174" s="379"/>
      <c r="Q174" s="379">
        <f t="shared" si="8"/>
        <v>1.0071927278224473</v>
      </c>
      <c r="R174" s="379"/>
      <c r="S174" s="379"/>
      <c r="T174" s="379"/>
      <c r="U174" s="379"/>
      <c r="V174" s="379"/>
    </row>
    <row r="175" spans="1:22" customFormat="1">
      <c r="A175" s="95">
        <v>2</v>
      </c>
      <c r="B175" s="741" t="s">
        <v>1513</v>
      </c>
      <c r="C175" s="238"/>
      <c r="D175" s="1246"/>
      <c r="E175" s="14"/>
      <c r="F175" s="247"/>
      <c r="G175" s="153"/>
      <c r="H175" s="153"/>
      <c r="I175" s="153"/>
      <c r="J175" s="153"/>
      <c r="K175" s="771"/>
      <c r="L175" s="735"/>
      <c r="M175" s="736" t="e">
        <f t="shared" si="5"/>
        <v>#DIV/0!</v>
      </c>
      <c r="N175" s="379"/>
      <c r="O175" s="379"/>
      <c r="P175" s="379"/>
      <c r="Q175" s="379"/>
      <c r="R175" s="379"/>
      <c r="S175" s="379"/>
      <c r="T175" s="379"/>
      <c r="U175" s="379"/>
      <c r="V175" s="379"/>
    </row>
    <row r="176" spans="1:22" customFormat="1">
      <c r="A176" s="153">
        <v>1</v>
      </c>
      <c r="B176" s="238" t="s">
        <v>1514</v>
      </c>
      <c r="C176" s="238" t="s">
        <v>1515</v>
      </c>
      <c r="D176" s="1246">
        <v>615319.30000000005</v>
      </c>
      <c r="E176" s="14">
        <v>616056.5</v>
      </c>
      <c r="F176" s="247">
        <f>E176-D176</f>
        <v>737.19999999995343</v>
      </c>
      <c r="G176" s="153">
        <v>2000</v>
      </c>
      <c r="H176" s="153">
        <f>F176*G176</f>
        <v>1474399.9999999069</v>
      </c>
      <c r="I176" s="153"/>
      <c r="J176" s="153">
        <f>H176+I176</f>
        <v>1474399.9999999069</v>
      </c>
      <c r="K176" s="738"/>
      <c r="L176" s="735">
        <v>2588400.0000001397</v>
      </c>
      <c r="M176" s="736">
        <f t="shared" si="5"/>
        <v>0.56961829701739575</v>
      </c>
      <c r="N176" s="379"/>
      <c r="O176" s="379"/>
      <c r="P176" s="379"/>
      <c r="Q176" s="379"/>
      <c r="R176" s="379"/>
      <c r="S176" s="379"/>
      <c r="T176" s="379"/>
      <c r="U176" s="379"/>
      <c r="V176" s="379"/>
    </row>
    <row r="177" spans="1:14" customFormat="1">
      <c r="A177" s="153">
        <v>2</v>
      </c>
      <c r="B177" s="772" t="s">
        <v>925</v>
      </c>
      <c r="C177" s="238" t="s">
        <v>1516</v>
      </c>
      <c r="D177" s="1246">
        <v>5046.03</v>
      </c>
      <c r="E177" s="14">
        <v>5098.25</v>
      </c>
      <c r="F177" s="247">
        <f>E177-D177</f>
        <v>52.220000000000255</v>
      </c>
      <c r="G177" s="153">
        <v>80000</v>
      </c>
      <c r="H177" s="153">
        <f>F177*G177</f>
        <v>4177600.0000000205</v>
      </c>
      <c r="I177" s="153"/>
      <c r="J177" s="153">
        <f>H177+I177</f>
        <v>4177600.0000000205</v>
      </c>
      <c r="K177" s="771"/>
      <c r="L177" s="735">
        <v>2974599.9999999623</v>
      </c>
      <c r="M177" s="736">
        <f t="shared" si="5"/>
        <v>1.404424124252025</v>
      </c>
      <c r="N177" s="379"/>
    </row>
    <row r="178" spans="1:14" customFormat="1">
      <c r="A178" s="153"/>
      <c r="B178" s="737" t="s">
        <v>1517</v>
      </c>
      <c r="C178" s="733"/>
      <c r="D178" s="1246"/>
      <c r="E178" s="14"/>
      <c r="F178" s="247"/>
      <c r="G178" s="153"/>
      <c r="H178" s="153"/>
      <c r="I178" s="153"/>
      <c r="J178" s="153"/>
      <c r="K178" s="771"/>
      <c r="L178" s="735"/>
      <c r="M178" s="736" t="e">
        <f t="shared" si="5"/>
        <v>#DIV/0!</v>
      </c>
      <c r="N178" s="379"/>
    </row>
    <row r="179" spans="1:14" customFormat="1">
      <c r="A179" s="153">
        <v>3</v>
      </c>
      <c r="B179" s="772" t="s">
        <v>1518</v>
      </c>
      <c r="C179" s="238" t="s">
        <v>1519</v>
      </c>
      <c r="D179" s="1246">
        <v>480878.3</v>
      </c>
      <c r="E179" s="14">
        <v>481187.5</v>
      </c>
      <c r="F179" s="247">
        <f>E179-D179</f>
        <v>309.20000000001164</v>
      </c>
      <c r="G179" s="153">
        <v>2000</v>
      </c>
      <c r="H179" s="153">
        <f>F179*G179</f>
        <v>618400.00000002328</v>
      </c>
      <c r="I179" s="244"/>
      <c r="J179" s="153">
        <f>H179+I179</f>
        <v>618400.00000002328</v>
      </c>
      <c r="K179" s="771"/>
      <c r="L179" s="735">
        <v>4599.9999999767169</v>
      </c>
      <c r="M179" s="736">
        <f t="shared" si="5"/>
        <v>134.43478260938116</v>
      </c>
      <c r="N179" s="379"/>
    </row>
    <row r="180" spans="1:14" customFormat="1">
      <c r="A180" s="153">
        <v>4</v>
      </c>
      <c r="B180" s="734" t="s">
        <v>1520</v>
      </c>
      <c r="C180" s="238" t="s">
        <v>1521</v>
      </c>
      <c r="D180" s="1246">
        <v>110940.2</v>
      </c>
      <c r="E180" s="14">
        <v>114580</v>
      </c>
      <c r="F180" s="247">
        <f>E180-D180</f>
        <v>3639.8000000000029</v>
      </c>
      <c r="G180" s="153">
        <v>400</v>
      </c>
      <c r="H180" s="153">
        <f>F180*G180</f>
        <v>1455920.0000000012</v>
      </c>
      <c r="I180" s="244"/>
      <c r="J180" s="244">
        <f>H180+I180</f>
        <v>1455920.0000000012</v>
      </c>
      <c r="K180" s="771"/>
      <c r="L180" s="735">
        <v>1583720.0000000012</v>
      </c>
      <c r="M180" s="736">
        <f t="shared" si="5"/>
        <v>0.9193039173591292</v>
      </c>
      <c r="N180" s="379"/>
    </row>
    <row r="181" spans="1:14" customFormat="1">
      <c r="A181" s="153"/>
      <c r="B181" s="733" t="s">
        <v>1522</v>
      </c>
      <c r="C181" s="733"/>
      <c r="D181" s="1246"/>
      <c r="E181" s="14"/>
      <c r="F181" s="247"/>
      <c r="G181" s="153"/>
      <c r="H181" s="153"/>
      <c r="I181" s="153"/>
      <c r="J181" s="244">
        <f>(J176+J177-J179-J180)</f>
        <v>3577679.9999999031</v>
      </c>
      <c r="K181" s="771"/>
      <c r="L181" s="735">
        <v>3974680.0000001248</v>
      </c>
      <c r="M181" s="736">
        <f t="shared" si="5"/>
        <v>0.90011774532787314</v>
      </c>
      <c r="N181" s="379"/>
    </row>
    <row r="182" spans="1:14" customFormat="1">
      <c r="A182" s="153">
        <v>9</v>
      </c>
      <c r="B182" s="734" t="s">
        <v>1523</v>
      </c>
      <c r="C182" s="238" t="s">
        <v>1524</v>
      </c>
      <c r="D182" s="1246">
        <v>98414.399999999994</v>
      </c>
      <c r="E182" s="14">
        <v>98876.4</v>
      </c>
      <c r="F182" s="247">
        <f t="shared" ref="F182:F188" si="12">E182-D182</f>
        <v>462</v>
      </c>
      <c r="G182" s="153">
        <v>2000</v>
      </c>
      <c r="H182" s="153">
        <f t="shared" ref="H182:H188" si="13">F182*G182</f>
        <v>924000</v>
      </c>
      <c r="I182" s="153"/>
      <c r="J182" s="153">
        <f t="shared" ref="J182:J188" si="14">H182+I182</f>
        <v>924000</v>
      </c>
      <c r="K182" s="738"/>
      <c r="L182" s="735">
        <v>988399.99999999418</v>
      </c>
      <c r="M182" s="736">
        <f t="shared" si="5"/>
        <v>0.93484419263456642</v>
      </c>
      <c r="N182" s="379"/>
    </row>
    <row r="183" spans="1:14" customFormat="1">
      <c r="A183" s="153">
        <v>10</v>
      </c>
      <c r="B183" s="734" t="s">
        <v>1525</v>
      </c>
      <c r="C183" s="238" t="s">
        <v>1526</v>
      </c>
      <c r="D183" s="1246">
        <v>143395</v>
      </c>
      <c r="E183" s="14">
        <v>143705.29999999999</v>
      </c>
      <c r="F183" s="247">
        <f t="shared" si="12"/>
        <v>310.29999999998836</v>
      </c>
      <c r="G183" s="153">
        <v>2000</v>
      </c>
      <c r="H183" s="153">
        <f t="shared" si="13"/>
        <v>620599.99999997672</v>
      </c>
      <c r="I183" s="153"/>
      <c r="J183" s="153">
        <f t="shared" si="14"/>
        <v>620599.99999997672</v>
      </c>
      <c r="K183" s="771"/>
      <c r="L183" s="735">
        <v>681799.99999998836</v>
      </c>
      <c r="M183" s="736">
        <f t="shared" si="5"/>
        <v>0.91023760633615036</v>
      </c>
      <c r="N183" s="379">
        <f>40/30</f>
        <v>1.3333333333333333</v>
      </c>
    </row>
    <row r="184" spans="1:14" customFormat="1">
      <c r="A184" s="153">
        <v>11</v>
      </c>
      <c r="B184" s="748" t="s">
        <v>1527</v>
      </c>
      <c r="C184" s="238" t="s">
        <v>1485</v>
      </c>
      <c r="D184" s="1246">
        <v>123251.6</v>
      </c>
      <c r="E184" s="14">
        <v>123380.4</v>
      </c>
      <c r="F184" s="247">
        <f t="shared" si="12"/>
        <v>128.79999999998836</v>
      </c>
      <c r="G184" s="153">
        <v>2000</v>
      </c>
      <c r="H184" s="153">
        <f t="shared" si="13"/>
        <v>257599.99999997672</v>
      </c>
      <c r="I184" s="244">
        <v>554462.109999988</v>
      </c>
      <c r="J184" s="244">
        <f t="shared" si="14"/>
        <v>812062.10999996471</v>
      </c>
      <c r="K184" s="771"/>
      <c r="L184" s="735">
        <v>879662.11</v>
      </c>
      <c r="M184" s="736">
        <f t="shared" si="5"/>
        <v>0.92315231128912068</v>
      </c>
      <c r="N184" s="379"/>
    </row>
    <row r="185" spans="1:14" customFormat="1">
      <c r="A185" s="153">
        <v>12</v>
      </c>
      <c r="B185" s="734" t="s">
        <v>1528</v>
      </c>
      <c r="C185" s="238" t="s">
        <v>1529</v>
      </c>
      <c r="D185" s="1246">
        <v>79594.399999999994</v>
      </c>
      <c r="E185" s="14">
        <v>79818.7</v>
      </c>
      <c r="F185" s="247">
        <f t="shared" si="12"/>
        <v>224.30000000000291</v>
      </c>
      <c r="G185" s="153">
        <v>2000</v>
      </c>
      <c r="H185" s="153">
        <f t="shared" si="13"/>
        <v>448600.00000000582</v>
      </c>
      <c r="I185" s="153"/>
      <c r="J185" s="153">
        <f t="shared" si="14"/>
        <v>448600.00000000582</v>
      </c>
      <c r="K185" s="771"/>
      <c r="L185" s="735">
        <v>504799.99999998836</v>
      </c>
      <c r="M185" s="736">
        <f t="shared" si="5"/>
        <v>0.88866877971477054</v>
      </c>
      <c r="N185" s="379"/>
    </row>
    <row r="186" spans="1:14" customFormat="1">
      <c r="A186" s="153">
        <v>13</v>
      </c>
      <c r="B186" s="772" t="s">
        <v>1530</v>
      </c>
      <c r="C186" s="258" t="s">
        <v>1531</v>
      </c>
      <c r="D186" s="1246">
        <v>71942.5</v>
      </c>
      <c r="E186" s="14">
        <v>72172.7</v>
      </c>
      <c r="F186" s="247">
        <f t="shared" si="12"/>
        <v>230.19999999999709</v>
      </c>
      <c r="G186" s="244">
        <v>1333.33</v>
      </c>
      <c r="H186" s="244">
        <f t="shared" si="13"/>
        <v>306932.56599999609</v>
      </c>
      <c r="I186" s="244"/>
      <c r="J186" s="244">
        <f t="shared" si="14"/>
        <v>306932.56599999609</v>
      </c>
      <c r="K186" s="738"/>
      <c r="L186" s="735">
        <v>340532.48199999222</v>
      </c>
      <c r="M186" s="736">
        <f t="shared" si="5"/>
        <v>0.9013312451057256</v>
      </c>
      <c r="N186" s="379"/>
    </row>
    <row r="187" spans="1:14" customFormat="1">
      <c r="A187" s="153">
        <v>14</v>
      </c>
      <c r="B187" s="734" t="s">
        <v>1532</v>
      </c>
      <c r="C187" s="20" t="s">
        <v>1533</v>
      </c>
      <c r="D187" s="1246">
        <v>161978</v>
      </c>
      <c r="E187" s="14">
        <v>166412</v>
      </c>
      <c r="F187" s="247">
        <f t="shared" si="12"/>
        <v>4434</v>
      </c>
      <c r="G187" s="153">
        <v>40</v>
      </c>
      <c r="H187" s="153">
        <f t="shared" si="13"/>
        <v>177360</v>
      </c>
      <c r="I187" s="153"/>
      <c r="J187" s="153">
        <f t="shared" si="14"/>
        <v>177360</v>
      </c>
      <c r="K187" s="738"/>
      <c r="L187" s="735">
        <v>199400</v>
      </c>
      <c r="M187" s="736">
        <f t="shared" si="5"/>
        <v>0.88946840521564696</v>
      </c>
      <c r="N187" s="379"/>
    </row>
    <row r="188" spans="1:14" customFormat="1">
      <c r="A188" s="153">
        <v>15</v>
      </c>
      <c r="B188" s="773" t="s">
        <v>1534</v>
      </c>
      <c r="C188" s="20" t="s">
        <v>1535</v>
      </c>
      <c r="D188" s="1246">
        <v>2060.08</v>
      </c>
      <c r="E188" s="14">
        <v>2106.87</v>
      </c>
      <c r="F188" s="247">
        <f t="shared" si="12"/>
        <v>46.789999999999964</v>
      </c>
      <c r="G188" s="153">
        <v>6000</v>
      </c>
      <c r="H188" s="153">
        <f t="shared" si="13"/>
        <v>280739.99999999977</v>
      </c>
      <c r="I188" s="153"/>
      <c r="J188" s="153">
        <f t="shared" si="14"/>
        <v>280739.99999999977</v>
      </c>
      <c r="K188" s="738"/>
      <c r="L188" s="735">
        <v>327479.99999999953</v>
      </c>
      <c r="M188" s="736">
        <f t="shared" si="5"/>
        <v>0.85727372663979529</v>
      </c>
      <c r="N188" s="379"/>
    </row>
    <row r="189" spans="1:14" customFormat="1">
      <c r="A189" s="153"/>
      <c r="B189" s="238"/>
      <c r="C189" s="238"/>
      <c r="D189" s="1246"/>
      <c r="E189" s="14"/>
      <c r="F189" s="247"/>
      <c r="G189" s="153"/>
      <c r="H189" s="153"/>
      <c r="I189" s="153"/>
      <c r="J189" s="244">
        <f>SUM(J182:J188)</f>
        <v>3570294.6759999432</v>
      </c>
      <c r="K189" s="771">
        <f>(J181-J189)/J181</f>
        <v>2.0642774088124637E-3</v>
      </c>
      <c r="L189" s="735">
        <v>3922074.5919999629</v>
      </c>
      <c r="M189" s="736">
        <f t="shared" si="5"/>
        <v>0.91030769360746944</v>
      </c>
      <c r="N189" s="379"/>
    </row>
    <row r="190" spans="1:14" customFormat="1">
      <c r="A190" s="95">
        <v>3</v>
      </c>
      <c r="B190" s="741" t="s">
        <v>1536</v>
      </c>
      <c r="C190" s="733"/>
      <c r="D190" s="1246"/>
      <c r="E190" s="14"/>
      <c r="F190" s="247"/>
      <c r="G190" s="153"/>
      <c r="H190" s="153"/>
      <c r="I190" s="244"/>
      <c r="J190" s="153"/>
      <c r="K190" s="738"/>
      <c r="L190" s="735"/>
      <c r="M190" s="736" t="e">
        <f t="shared" si="5"/>
        <v>#DIV/0!</v>
      </c>
      <c r="N190" s="379"/>
    </row>
    <row r="191" spans="1:14" customFormat="1">
      <c r="A191" s="153"/>
      <c r="B191" s="238" t="s">
        <v>1537</v>
      </c>
      <c r="C191" s="238" t="s">
        <v>1538</v>
      </c>
      <c r="D191" s="1246">
        <v>3492.74</v>
      </c>
      <c r="E191" s="14">
        <v>3521.36</v>
      </c>
      <c r="F191" s="247">
        <f>E191-D191</f>
        <v>28.620000000000346</v>
      </c>
      <c r="G191" s="153">
        <v>80000</v>
      </c>
      <c r="H191" s="153">
        <f>F191*G191</f>
        <v>2289600.0000000275</v>
      </c>
      <c r="I191" s="153"/>
      <c r="J191" s="153">
        <f>H191+I191</f>
        <v>2289600.0000000275</v>
      </c>
      <c r="K191" s="738"/>
      <c r="L191" s="735">
        <v>2534399.999999987</v>
      </c>
      <c r="M191" s="736">
        <f t="shared" si="5"/>
        <v>0.90340909090910637</v>
      </c>
      <c r="N191" s="379"/>
    </row>
    <row r="192" spans="1:14" customFormat="1">
      <c r="A192" s="153"/>
      <c r="B192" s="734" t="s">
        <v>1363</v>
      </c>
      <c r="C192" s="238"/>
      <c r="D192" s="1246"/>
      <c r="E192" s="14"/>
      <c r="F192" s="247"/>
      <c r="G192" s="153"/>
      <c r="H192" s="153"/>
      <c r="I192" s="153"/>
      <c r="J192" s="153">
        <f>J191</f>
        <v>2289600.0000000275</v>
      </c>
      <c r="K192" s="738"/>
      <c r="L192" s="735">
        <v>2534399.999999987</v>
      </c>
      <c r="M192" s="736">
        <f t="shared" si="5"/>
        <v>0.90340909090910637</v>
      </c>
      <c r="N192" s="379"/>
    </row>
    <row r="193" spans="1:14" customFormat="1">
      <c r="A193" s="153"/>
      <c r="B193" s="733" t="s">
        <v>1522</v>
      </c>
      <c r="C193" s="238"/>
      <c r="D193" s="1246"/>
      <c r="E193" s="14"/>
      <c r="F193" s="247"/>
      <c r="G193" s="153"/>
      <c r="H193" s="153"/>
      <c r="I193" s="153"/>
      <c r="J193" s="153"/>
      <c r="K193" s="738"/>
      <c r="L193" s="735"/>
      <c r="M193" s="736" t="e">
        <f t="shared" si="5"/>
        <v>#DIV/0!</v>
      </c>
      <c r="N193" s="379"/>
    </row>
    <row r="194" spans="1:14" customFormat="1">
      <c r="A194" s="153">
        <v>16</v>
      </c>
      <c r="B194" s="774" t="s">
        <v>1539</v>
      </c>
      <c r="C194" s="238" t="s">
        <v>1540</v>
      </c>
      <c r="D194" s="1246">
        <v>104249.5</v>
      </c>
      <c r="E194" s="14">
        <v>104663.7</v>
      </c>
      <c r="F194" s="247">
        <f>E194-D194</f>
        <v>414.19999999999709</v>
      </c>
      <c r="G194" s="153">
        <v>2000</v>
      </c>
      <c r="H194" s="153">
        <f>F194*G194</f>
        <v>828399.99999999418</v>
      </c>
      <c r="I194" s="153"/>
      <c r="J194" s="153">
        <f>H194+I194</f>
        <v>828399.99999999418</v>
      </c>
      <c r="K194" s="738"/>
      <c r="L194" s="735">
        <v>923799.99999998836</v>
      </c>
      <c r="M194" s="736">
        <f t="shared" si="5"/>
        <v>0.89673089413293416</v>
      </c>
      <c r="N194" s="379"/>
    </row>
    <row r="195" spans="1:14" customFormat="1">
      <c r="A195" s="153">
        <v>17</v>
      </c>
      <c r="B195" s="734" t="s">
        <v>1541</v>
      </c>
      <c r="C195" s="238" t="s">
        <v>1542</v>
      </c>
      <c r="D195" s="1246">
        <v>738178.5</v>
      </c>
      <c r="E195" s="14">
        <v>742389</v>
      </c>
      <c r="F195" s="247">
        <f>E195-D195</f>
        <v>4210.5</v>
      </c>
      <c r="G195" s="153">
        <v>60</v>
      </c>
      <c r="H195" s="153">
        <f>F195*G195</f>
        <v>252630</v>
      </c>
      <c r="I195" s="153"/>
      <c r="J195" s="153">
        <f>H195+I195</f>
        <v>252630</v>
      </c>
      <c r="K195" s="738"/>
      <c r="L195" s="735">
        <v>286500</v>
      </c>
      <c r="M195" s="736">
        <f t="shared" si="5"/>
        <v>0.88178010471204193</v>
      </c>
      <c r="N195" s="379"/>
    </row>
    <row r="196" spans="1:14" customFormat="1">
      <c r="A196" s="153">
        <v>18</v>
      </c>
      <c r="B196" s="734" t="s">
        <v>1203</v>
      </c>
      <c r="C196" s="238" t="s">
        <v>1543</v>
      </c>
      <c r="D196" s="1246">
        <v>74671.399999999994</v>
      </c>
      <c r="E196" s="14">
        <v>75077.8</v>
      </c>
      <c r="F196" s="247">
        <f>E196-D196</f>
        <v>406.40000000000873</v>
      </c>
      <c r="G196" s="153">
        <v>1333.33</v>
      </c>
      <c r="H196" s="244">
        <f>F196*G196</f>
        <v>541865.31200001156</v>
      </c>
      <c r="I196" s="244">
        <v>405749.37810000801</v>
      </c>
      <c r="J196" s="244">
        <f>H196+I196</f>
        <v>947614.69010001956</v>
      </c>
      <c r="K196" s="738"/>
      <c r="L196" s="735">
        <v>1030281.2500999999</v>
      </c>
      <c r="M196" s="736">
        <f t="shared" si="5"/>
        <v>0.91976311323538429</v>
      </c>
      <c r="N196" s="379">
        <v>717840</v>
      </c>
    </row>
    <row r="197" spans="1:14" customFormat="1">
      <c r="A197" s="153">
        <v>19</v>
      </c>
      <c r="B197" s="734" t="s">
        <v>1544</v>
      </c>
      <c r="C197" s="238" t="s">
        <v>1545</v>
      </c>
      <c r="D197" s="1246">
        <v>14342.7</v>
      </c>
      <c r="E197" s="14">
        <v>15527</v>
      </c>
      <c r="F197" s="247">
        <f>E197-D197</f>
        <v>1184.2999999999993</v>
      </c>
      <c r="G197" s="153">
        <v>200</v>
      </c>
      <c r="H197" s="153">
        <f>F197*G197</f>
        <v>236859.99999999985</v>
      </c>
      <c r="I197" s="244"/>
      <c r="J197" s="244">
        <f>H197+I197</f>
        <v>236859.99999999985</v>
      </c>
      <c r="K197" s="738"/>
      <c r="L197" s="735">
        <v>268200</v>
      </c>
      <c r="M197" s="736">
        <f t="shared" si="5"/>
        <v>0.88314690529455575</v>
      </c>
      <c r="N197" s="765">
        <f>N196-H196</f>
        <v>175974.68799998844</v>
      </c>
    </row>
    <row r="198" spans="1:14" customFormat="1">
      <c r="A198" s="153"/>
      <c r="B198" s="238"/>
      <c r="C198" s="238"/>
      <c r="D198" s="1246"/>
      <c r="E198" s="14"/>
      <c r="F198" s="247" t="s">
        <v>1546</v>
      </c>
      <c r="G198" s="153"/>
      <c r="H198" s="153"/>
      <c r="I198" s="153"/>
      <c r="J198" s="244">
        <f>SUM(J194:J197)</f>
        <v>2265504.6901000137</v>
      </c>
      <c r="K198" s="771">
        <f>(J192-J198)/J192</f>
        <v>1.0523807608321733E-2</v>
      </c>
      <c r="L198" s="735">
        <v>2508781.2500999882</v>
      </c>
      <c r="M198" s="736">
        <f t="shared" si="5"/>
        <v>0.90302998318794092</v>
      </c>
      <c r="N198" s="379"/>
    </row>
    <row r="199" spans="1:14" customFormat="1">
      <c r="A199" s="95">
        <v>4</v>
      </c>
      <c r="B199" s="741" t="s">
        <v>1547</v>
      </c>
      <c r="C199" s="733"/>
      <c r="D199" s="1246"/>
      <c r="E199" s="14"/>
      <c r="F199" s="247"/>
      <c r="G199" s="153"/>
      <c r="H199" s="153"/>
      <c r="I199" s="153"/>
      <c r="J199" s="244"/>
      <c r="K199" s="738"/>
      <c r="L199" s="735"/>
      <c r="M199" s="736" t="e">
        <f t="shared" ref="M199:M262" si="15">J199/L199</f>
        <v>#DIV/0!</v>
      </c>
      <c r="N199" s="379"/>
    </row>
    <row r="200" spans="1:14" customFormat="1">
      <c r="A200" s="153">
        <v>1</v>
      </c>
      <c r="B200" s="238" t="s">
        <v>925</v>
      </c>
      <c r="C200" s="238" t="s">
        <v>1548</v>
      </c>
      <c r="D200" s="1246">
        <v>195746.9</v>
      </c>
      <c r="E200" s="14">
        <v>196571</v>
      </c>
      <c r="F200" s="247">
        <f>E200-D200</f>
        <v>824.10000000000582</v>
      </c>
      <c r="G200" s="153">
        <v>2000</v>
      </c>
      <c r="H200" s="153">
        <f>F200*G200</f>
        <v>1648200.0000000116</v>
      </c>
      <c r="I200" s="153"/>
      <c r="J200" s="153">
        <f>H200+I200</f>
        <v>1648200.0000000116</v>
      </c>
      <c r="K200" s="153"/>
      <c r="L200" s="735">
        <v>1776799.9999999884</v>
      </c>
      <c r="M200" s="736">
        <f t="shared" si="15"/>
        <v>0.92762269248087714</v>
      </c>
      <c r="N200" s="379"/>
    </row>
    <row r="201" spans="1:14" customFormat="1">
      <c r="A201" s="161"/>
      <c r="B201" s="238" t="s">
        <v>925</v>
      </c>
      <c r="C201" s="748" t="s">
        <v>1549</v>
      </c>
      <c r="D201" s="1247">
        <v>428000.5</v>
      </c>
      <c r="E201" s="24">
        <v>436378.5</v>
      </c>
      <c r="F201" s="247">
        <f>E201-D201</f>
        <v>8378</v>
      </c>
      <c r="G201" s="153">
        <v>120</v>
      </c>
      <c r="H201" s="153">
        <f>F201*G201</f>
        <v>1005360</v>
      </c>
      <c r="I201" s="153"/>
      <c r="J201" s="153">
        <f>H201+I201</f>
        <v>1005360</v>
      </c>
      <c r="K201" s="153"/>
      <c r="L201" s="735">
        <v>1037880</v>
      </c>
      <c r="M201" s="736">
        <f t="shared" si="15"/>
        <v>0.96866689790727256</v>
      </c>
      <c r="N201" s="379"/>
    </row>
    <row r="202" spans="1:14" customFormat="1">
      <c r="A202" s="153"/>
      <c r="B202" s="734" t="s">
        <v>1363</v>
      </c>
      <c r="C202" s="238"/>
      <c r="D202" s="1246"/>
      <c r="E202" s="14"/>
      <c r="F202" s="247"/>
      <c r="G202" s="153"/>
      <c r="H202" s="153"/>
      <c r="I202" s="153"/>
      <c r="J202" s="153">
        <f>SUM(J200:J201)</f>
        <v>2653560.0000000116</v>
      </c>
      <c r="K202" s="771"/>
      <c r="L202" s="735">
        <v>2814679.9999999884</v>
      </c>
      <c r="M202" s="736">
        <f t="shared" si="15"/>
        <v>0.94275725837396174</v>
      </c>
      <c r="N202" s="379"/>
    </row>
    <row r="203" spans="1:14" customFormat="1">
      <c r="A203" s="153"/>
      <c r="B203" s="238" t="s">
        <v>1522</v>
      </c>
      <c r="C203" s="238"/>
      <c r="D203" s="1246"/>
      <c r="E203" s="14"/>
      <c r="F203" s="247"/>
      <c r="G203" s="153"/>
      <c r="H203" s="153"/>
      <c r="I203" s="153"/>
      <c r="J203" s="153"/>
      <c r="K203" s="738"/>
      <c r="L203" s="735"/>
      <c r="M203" s="736" t="e">
        <f t="shared" si="15"/>
        <v>#DIV/0!</v>
      </c>
      <c r="N203" s="379"/>
    </row>
    <row r="204" spans="1:14" customFormat="1">
      <c r="A204" s="153"/>
      <c r="B204" s="734" t="s">
        <v>1175</v>
      </c>
      <c r="C204" s="748" t="s">
        <v>1550</v>
      </c>
      <c r="D204" s="1246">
        <v>6461.17</v>
      </c>
      <c r="E204" s="14">
        <v>6628.5</v>
      </c>
      <c r="F204" s="247">
        <f>E204-D204</f>
        <v>167.32999999999993</v>
      </c>
      <c r="G204" s="153">
        <v>6000</v>
      </c>
      <c r="H204" s="153">
        <f>F204*G204</f>
        <v>1003979.9999999995</v>
      </c>
      <c r="I204" s="153"/>
      <c r="J204" s="153">
        <f>H204+I204</f>
        <v>1003979.9999999995</v>
      </c>
      <c r="K204" s="738"/>
      <c r="L204" s="735">
        <v>1036500</v>
      </c>
      <c r="M204" s="736">
        <f t="shared" si="15"/>
        <v>0.96862518089724992</v>
      </c>
      <c r="N204" s="379"/>
    </row>
    <row r="205" spans="1:14" customFormat="1">
      <c r="A205" s="153">
        <v>21</v>
      </c>
      <c r="B205" s="734" t="s">
        <v>1199</v>
      </c>
      <c r="C205" s="238" t="s">
        <v>1551</v>
      </c>
      <c r="D205" s="1246">
        <v>8992.06</v>
      </c>
      <c r="E205" s="14">
        <v>9089.2099999999991</v>
      </c>
      <c r="F205" s="247">
        <f>E205-D205</f>
        <v>97.149999999999636</v>
      </c>
      <c r="G205" s="153">
        <v>6000</v>
      </c>
      <c r="H205" s="153">
        <f>F205*G205</f>
        <v>582899.99999999779</v>
      </c>
      <c r="I205" s="153">
        <v>500000</v>
      </c>
      <c r="J205" s="153">
        <f>H205+I205</f>
        <v>1082899.9999999977</v>
      </c>
      <c r="K205" s="738"/>
      <c r="L205" s="735">
        <v>1165619.9999999916</v>
      </c>
      <c r="M205" s="736">
        <f t="shared" si="15"/>
        <v>0.92903347574681749</v>
      </c>
      <c r="N205" s="379">
        <v>8959361108</v>
      </c>
    </row>
    <row r="206" spans="1:14" customFormat="1">
      <c r="A206" s="153">
        <v>22</v>
      </c>
      <c r="B206" s="734" t="s">
        <v>1552</v>
      </c>
      <c r="C206" s="238" t="s">
        <v>1553</v>
      </c>
      <c r="D206" s="1246">
        <v>98755.199999999997</v>
      </c>
      <c r="E206" s="14">
        <v>99027.9</v>
      </c>
      <c r="F206" s="247">
        <f>E206-D206</f>
        <v>272.69999999999709</v>
      </c>
      <c r="G206" s="153">
        <v>2000</v>
      </c>
      <c r="H206" s="153">
        <f>F206*G206</f>
        <v>545399.99999999418</v>
      </c>
      <c r="I206" s="153"/>
      <c r="J206" s="153">
        <f>H206+I206</f>
        <v>545399.99999999418</v>
      </c>
      <c r="K206" s="746"/>
      <c r="L206" s="735">
        <v>586799.99999998836</v>
      </c>
      <c r="M206" s="736">
        <f t="shared" si="15"/>
        <v>0.92944785276074471</v>
      </c>
      <c r="N206" s="379"/>
    </row>
    <row r="207" spans="1:14" customFormat="1">
      <c r="A207" s="153"/>
      <c r="B207" s="238"/>
      <c r="C207" s="238"/>
      <c r="D207" s="1246"/>
      <c r="E207" s="14"/>
      <c r="F207" s="247"/>
      <c r="G207" s="153"/>
      <c r="H207" s="153"/>
      <c r="I207" s="153"/>
      <c r="J207" s="153">
        <f>SUM(J204+J205+J206)</f>
        <v>2632279.9999999916</v>
      </c>
      <c r="K207" s="771">
        <f>(J202-J207)/J202</f>
        <v>8.0194154268303456E-3</v>
      </c>
      <c r="L207" s="735">
        <v>2788919.99999998</v>
      </c>
      <c r="M207" s="736">
        <f t="shared" si="15"/>
        <v>0.94383488949127636</v>
      </c>
      <c r="N207" s="379">
        <v>9171164080</v>
      </c>
    </row>
    <row r="208" spans="1:14" customFormat="1">
      <c r="A208" s="95">
        <v>5</v>
      </c>
      <c r="B208" s="741" t="s">
        <v>1554</v>
      </c>
      <c r="C208" s="733"/>
      <c r="D208" s="1246"/>
      <c r="E208" s="14"/>
      <c r="F208" s="247"/>
      <c r="G208" s="153"/>
      <c r="H208" s="153"/>
      <c r="I208" s="153"/>
      <c r="J208" s="153"/>
      <c r="K208" s="738"/>
      <c r="L208" s="735"/>
      <c r="M208" s="736" t="e">
        <f t="shared" si="15"/>
        <v>#DIV/0!</v>
      </c>
      <c r="N208" s="379"/>
    </row>
    <row r="209" spans="1:14" customFormat="1">
      <c r="A209" s="153">
        <v>1</v>
      </c>
      <c r="B209" s="238" t="s">
        <v>925</v>
      </c>
      <c r="C209" s="238" t="s">
        <v>1555</v>
      </c>
      <c r="D209" s="289">
        <v>111295.2</v>
      </c>
      <c r="E209" s="289">
        <v>113905.2</v>
      </c>
      <c r="F209" s="247">
        <f>E209-D209</f>
        <v>2610</v>
      </c>
      <c r="G209" s="153">
        <v>500</v>
      </c>
      <c r="H209" s="153">
        <f>F209*G209</f>
        <v>1305000</v>
      </c>
      <c r="I209" s="153"/>
      <c r="J209" s="153">
        <f>H209+I209</f>
        <v>1305000</v>
      </c>
      <c r="K209" s="738"/>
      <c r="L209" s="735">
        <v>1440750</v>
      </c>
      <c r="M209" s="736">
        <f t="shared" si="15"/>
        <v>0.90577824049973976</v>
      </c>
      <c r="N209" s="754">
        <v>44440</v>
      </c>
    </row>
    <row r="210" spans="1:14" customFormat="1">
      <c r="A210" s="153"/>
      <c r="B210" s="238" t="s">
        <v>1479</v>
      </c>
      <c r="C210" s="238" t="s">
        <v>1556</v>
      </c>
      <c r="D210" s="289">
        <v>1244.58</v>
      </c>
      <c r="E210" s="289">
        <v>1370.2</v>
      </c>
      <c r="F210" s="247">
        <f>E210-D210</f>
        <v>125.62000000000012</v>
      </c>
      <c r="G210" s="153">
        <v>9000</v>
      </c>
      <c r="H210" s="153">
        <f>F210*G210</f>
        <v>1130580.0000000012</v>
      </c>
      <c r="I210" s="153"/>
      <c r="J210" s="153">
        <f>H210+I210</f>
        <v>1130580.0000000012</v>
      </c>
      <c r="K210" s="738"/>
      <c r="L210" s="735">
        <v>1266299.9999999984</v>
      </c>
      <c r="M210" s="736">
        <f t="shared" si="15"/>
        <v>0.89282160625444418</v>
      </c>
      <c r="N210" s="754"/>
    </row>
    <row r="211" spans="1:14" customFormat="1">
      <c r="A211" s="153"/>
      <c r="B211" s="734" t="s">
        <v>1363</v>
      </c>
      <c r="C211" s="238"/>
      <c r="D211" s="202"/>
      <c r="E211" s="202"/>
      <c r="F211" s="247"/>
      <c r="G211" s="153"/>
      <c r="H211" s="153"/>
      <c r="I211" s="153"/>
      <c r="J211" s="153">
        <f>SUM(J209+J210)</f>
        <v>2435580.0000000009</v>
      </c>
      <c r="K211" s="738"/>
      <c r="L211" s="735">
        <v>2707049.9999999981</v>
      </c>
      <c r="M211" s="736">
        <f t="shared" si="15"/>
        <v>0.89971740455477456</v>
      </c>
      <c r="N211" s="379"/>
    </row>
    <row r="212" spans="1:14" customFormat="1" ht="15" customHeight="1">
      <c r="A212" s="153"/>
      <c r="B212" s="733" t="s">
        <v>1522</v>
      </c>
      <c r="C212" s="238"/>
      <c r="D212" s="202"/>
      <c r="E212" s="202"/>
      <c r="F212" s="247"/>
      <c r="G212" s="153"/>
      <c r="H212" s="153"/>
      <c r="I212" s="153"/>
      <c r="J212" s="153"/>
      <c r="K212" s="738"/>
      <c r="L212" s="735"/>
      <c r="M212" s="736" t="e">
        <f t="shared" si="15"/>
        <v>#DIV/0!</v>
      </c>
      <c r="N212" s="379"/>
    </row>
    <row r="213" spans="1:14" customFormat="1">
      <c r="A213" s="153">
        <v>23</v>
      </c>
      <c r="B213" s="734" t="s">
        <v>1557</v>
      </c>
      <c r="C213" s="238" t="s">
        <v>1558</v>
      </c>
      <c r="D213" s="1246">
        <v>34804.9</v>
      </c>
      <c r="E213" s="14">
        <v>35097.599999999999</v>
      </c>
      <c r="F213" s="247">
        <f>E213-D213</f>
        <v>292.69999999999709</v>
      </c>
      <c r="G213" s="153">
        <v>2000</v>
      </c>
      <c r="H213" s="153">
        <f>F213*G213</f>
        <v>585399.99999999418</v>
      </c>
      <c r="I213" s="153"/>
      <c r="J213" s="153">
        <f>SUM(H213:I213)</f>
        <v>585399.99999999418</v>
      </c>
      <c r="K213" s="738"/>
      <c r="L213" s="735">
        <v>659600.00000000582</v>
      </c>
      <c r="M213" s="736">
        <f t="shared" si="15"/>
        <v>0.88750758035171162</v>
      </c>
      <c r="N213" s="379"/>
    </row>
    <row r="214" spans="1:14" customFormat="1">
      <c r="A214" s="153">
        <v>24</v>
      </c>
      <c r="B214" s="734" t="s">
        <v>1195</v>
      </c>
      <c r="C214" s="238" t="s">
        <v>1559</v>
      </c>
      <c r="D214" s="1246">
        <v>31314</v>
      </c>
      <c r="E214" s="14">
        <v>31724.2</v>
      </c>
      <c r="F214" s="247">
        <f>E214-D214</f>
        <v>410.20000000000073</v>
      </c>
      <c r="G214" s="153">
        <v>1333.3330000000001</v>
      </c>
      <c r="H214" s="244">
        <f>F214*G214</f>
        <v>546933.19660000096</v>
      </c>
      <c r="I214" s="244"/>
      <c r="J214" s="244">
        <f>SUM(H214:I214)</f>
        <v>546933.19660000096</v>
      </c>
      <c r="K214" s="738"/>
      <c r="L214" s="735">
        <v>607999.848</v>
      </c>
      <c r="M214" s="736">
        <f t="shared" si="15"/>
        <v>0.89956140350877356</v>
      </c>
      <c r="N214" s="379"/>
    </row>
    <row r="215" spans="1:14" customFormat="1">
      <c r="A215" s="153">
        <v>25</v>
      </c>
      <c r="B215" s="734" t="s">
        <v>1560</v>
      </c>
      <c r="C215" s="238" t="s">
        <v>1561</v>
      </c>
      <c r="D215" s="1246">
        <v>5518.6</v>
      </c>
      <c r="E215" s="14">
        <v>5602.6</v>
      </c>
      <c r="F215" s="247">
        <f>E215-D215</f>
        <v>84</v>
      </c>
      <c r="G215" s="153">
        <v>2000</v>
      </c>
      <c r="H215" s="153">
        <f>F215*G215</f>
        <v>168000</v>
      </c>
      <c r="I215" s="244"/>
      <c r="J215" s="153">
        <f>SUM(H215:I215)</f>
        <v>168000</v>
      </c>
      <c r="K215" s="738"/>
      <c r="L215" s="735">
        <v>198000</v>
      </c>
      <c r="M215" s="736">
        <f t="shared" si="15"/>
        <v>0.84848484848484851</v>
      </c>
      <c r="N215" s="379">
        <f>L215*M214</f>
        <v>178113.15789473717</v>
      </c>
    </row>
    <row r="216" spans="1:14" customFormat="1">
      <c r="A216" s="153">
        <v>26</v>
      </c>
      <c r="B216" s="734" t="s">
        <v>1562</v>
      </c>
      <c r="C216" s="238" t="s">
        <v>1563</v>
      </c>
      <c r="D216" s="1246">
        <v>187238</v>
      </c>
      <c r="E216" s="1248">
        <v>199345</v>
      </c>
      <c r="F216" s="247">
        <f>E216-D216</f>
        <v>12107</v>
      </c>
      <c r="G216" s="153">
        <v>40</v>
      </c>
      <c r="H216" s="155">
        <f>F216*G216</f>
        <v>484280</v>
      </c>
      <c r="I216" s="244">
        <v>294180.42839999998</v>
      </c>
      <c r="J216" s="244">
        <f>SUM(H216:I216)</f>
        <v>778460.42839999998</v>
      </c>
      <c r="K216" s="738"/>
      <c r="L216" s="735">
        <v>860440.42839999998</v>
      </c>
      <c r="M216" s="736">
        <f t="shared" si="15"/>
        <v>0.90472321232924535</v>
      </c>
      <c r="N216" s="379"/>
    </row>
    <row r="217" spans="1:14" customFormat="1">
      <c r="A217" s="153"/>
      <c r="B217" s="734" t="s">
        <v>1564</v>
      </c>
      <c r="C217" s="238" t="s">
        <v>1565</v>
      </c>
      <c r="D217" s="1246">
        <v>505.6</v>
      </c>
      <c r="E217" s="1231">
        <v>537.79</v>
      </c>
      <c r="F217" s="247">
        <f>E217-D217</f>
        <v>32.189999999999941</v>
      </c>
      <c r="G217" s="153">
        <v>6000</v>
      </c>
      <c r="H217" s="153">
        <f>F217*G217</f>
        <v>193139.99999999965</v>
      </c>
      <c r="I217" s="244">
        <v>138560.00169999999</v>
      </c>
      <c r="J217" s="244">
        <f>SUM(H217:I217)</f>
        <v>331700.00169999967</v>
      </c>
      <c r="K217" s="738"/>
      <c r="L217" s="735">
        <v>368640.00170000002</v>
      </c>
      <c r="M217" s="736">
        <f t="shared" si="15"/>
        <v>0.89979383726765982</v>
      </c>
      <c r="N217" s="379"/>
    </row>
    <row r="218" spans="1:14" customFormat="1">
      <c r="A218" s="153"/>
      <c r="B218" s="238"/>
      <c r="C218" s="238"/>
      <c r="D218" s="1246"/>
      <c r="E218" s="14"/>
      <c r="F218" s="247"/>
      <c r="G218" s="153"/>
      <c r="H218" s="153"/>
      <c r="I218" s="153"/>
      <c r="J218" s="244">
        <f>SUM(J213:J217)</f>
        <v>2410493.6266999952</v>
      </c>
      <c r="K218" s="771">
        <f>(J211-J218)/J211</f>
        <v>1.0299958654614373E-2</v>
      </c>
      <c r="L218" s="735">
        <v>2694680.2781000058</v>
      </c>
      <c r="M218" s="736">
        <f t="shared" si="15"/>
        <v>0.89453789612458667</v>
      </c>
      <c r="N218" s="379">
        <f>N215-H216</f>
        <v>-306166.8421052628</v>
      </c>
    </row>
    <row r="219" spans="1:14" customFormat="1">
      <c r="A219" s="95">
        <v>6</v>
      </c>
      <c r="B219" s="741" t="s">
        <v>1566</v>
      </c>
      <c r="C219" s="733"/>
      <c r="D219" s="1246"/>
      <c r="E219" s="14"/>
      <c r="F219" s="247"/>
      <c r="G219" s="153"/>
      <c r="H219" s="153"/>
      <c r="I219" s="153"/>
      <c r="J219" s="153"/>
      <c r="K219" s="738"/>
      <c r="L219" s="735"/>
      <c r="M219" s="736" t="e">
        <f t="shared" si="15"/>
        <v>#DIV/0!</v>
      </c>
      <c r="N219" s="379"/>
    </row>
    <row r="220" spans="1:14" customFormat="1">
      <c r="A220" s="153">
        <v>1</v>
      </c>
      <c r="B220" s="238" t="s">
        <v>1514</v>
      </c>
      <c r="C220" s="238" t="s">
        <v>1567</v>
      </c>
      <c r="D220" s="775">
        <v>80298.2</v>
      </c>
      <c r="E220" s="775">
        <v>81026.149999999994</v>
      </c>
      <c r="F220" s="247">
        <f>E220-D220</f>
        <v>727.94999999999709</v>
      </c>
      <c r="G220" s="153">
        <v>2000</v>
      </c>
      <c r="H220" s="153">
        <f>F220*G220</f>
        <v>1455899.9999999942</v>
      </c>
      <c r="I220" s="153"/>
      <c r="J220" s="153">
        <f>SUM(H220:I220)</f>
        <v>1455899.9999999942</v>
      </c>
      <c r="K220" s="153"/>
      <c r="L220" s="735">
        <v>1585199.9999999825</v>
      </c>
      <c r="M220" s="736">
        <f t="shared" si="15"/>
        <v>0.91843300529902239</v>
      </c>
      <c r="N220" s="379"/>
    </row>
    <row r="221" spans="1:14" customFormat="1">
      <c r="A221" s="153"/>
      <c r="B221" s="734" t="s">
        <v>1363</v>
      </c>
      <c r="C221" s="238"/>
      <c r="D221" s="1246"/>
      <c r="E221" s="14"/>
      <c r="F221" s="247"/>
      <c r="G221" s="153"/>
      <c r="H221" s="153"/>
      <c r="I221" s="153"/>
      <c r="J221" s="153">
        <f>SUM(J220)</f>
        <v>1455899.9999999942</v>
      </c>
      <c r="K221" s="738"/>
      <c r="L221" s="735">
        <v>1585199.9999999825</v>
      </c>
      <c r="M221" s="736">
        <f t="shared" si="15"/>
        <v>0.91843300529902239</v>
      </c>
      <c r="N221" s="379"/>
    </row>
    <row r="222" spans="1:14" customFormat="1">
      <c r="A222" s="153"/>
      <c r="B222" s="733" t="s">
        <v>1522</v>
      </c>
      <c r="C222" s="238"/>
      <c r="D222" s="1246"/>
      <c r="E222" s="14"/>
      <c r="F222" s="247"/>
      <c r="G222" s="153"/>
      <c r="H222" s="153"/>
      <c r="I222" s="153"/>
      <c r="J222" s="153"/>
      <c r="K222" s="738"/>
      <c r="L222" s="735"/>
      <c r="M222" s="736" t="e">
        <f t="shared" si="15"/>
        <v>#DIV/0!</v>
      </c>
      <c r="N222" s="379"/>
    </row>
    <row r="223" spans="1:14" customFormat="1">
      <c r="A223" s="153">
        <v>27</v>
      </c>
      <c r="B223" s="734" t="s">
        <v>1568</v>
      </c>
      <c r="C223" s="238" t="s">
        <v>1569</v>
      </c>
      <c r="D223" s="1246">
        <v>19116.8</v>
      </c>
      <c r="E223" s="14">
        <v>19330.599999999999</v>
      </c>
      <c r="F223" s="247">
        <f>E223-D223</f>
        <v>213.79999999999927</v>
      </c>
      <c r="G223" s="153">
        <v>2000</v>
      </c>
      <c r="H223" s="153">
        <f>F223*G223</f>
        <v>427599.99999999854</v>
      </c>
      <c r="I223" s="153"/>
      <c r="J223" s="153">
        <f>SUM(H223:I223)</f>
        <v>427599.99999999854</v>
      </c>
      <c r="K223" s="738"/>
      <c r="L223" s="735">
        <v>465799.99999999563</v>
      </c>
      <c r="M223" s="736">
        <f t="shared" si="15"/>
        <v>0.91799055388579343</v>
      </c>
      <c r="N223" s="379"/>
    </row>
    <row r="224" spans="1:14" customFormat="1">
      <c r="A224" s="153">
        <v>28</v>
      </c>
      <c r="B224" s="734" t="s">
        <v>1570</v>
      </c>
      <c r="C224" s="238" t="s">
        <v>1571</v>
      </c>
      <c r="D224" s="1246">
        <v>32829.5</v>
      </c>
      <c r="E224" s="14">
        <v>33273.199999999997</v>
      </c>
      <c r="F224" s="247">
        <f>E224-D224</f>
        <v>443.69999999999709</v>
      </c>
      <c r="G224" s="247">
        <v>1333.3330000000001</v>
      </c>
      <c r="H224" s="244">
        <f>F224*G224</f>
        <v>591599.85209999618</v>
      </c>
      <c r="I224" s="244"/>
      <c r="J224" s="244">
        <f>SUM(H224:I224)</f>
        <v>591599.85209999618</v>
      </c>
      <c r="K224" s="738"/>
      <c r="L224" s="735">
        <v>647999.83799999999</v>
      </c>
      <c r="M224" s="736">
        <f t="shared" si="15"/>
        <v>0.91296296296295709</v>
      </c>
      <c r="N224" s="379"/>
    </row>
    <row r="225" spans="1:14" customFormat="1">
      <c r="A225" s="153">
        <v>29</v>
      </c>
      <c r="B225" s="734" t="s">
        <v>1572</v>
      </c>
      <c r="C225" s="238" t="s">
        <v>1573</v>
      </c>
      <c r="D225" s="1246">
        <v>37862.300000000003</v>
      </c>
      <c r="E225" s="1231">
        <v>37862.300000000003</v>
      </c>
      <c r="F225" s="247">
        <f>E225-D225</f>
        <v>0</v>
      </c>
      <c r="G225" s="153">
        <v>2000</v>
      </c>
      <c r="H225" s="153">
        <f>F225*G225</f>
        <v>0</v>
      </c>
      <c r="I225" s="241">
        <v>436003</v>
      </c>
      <c r="J225" s="153">
        <f>SUM(H225:I225)</f>
        <v>436003</v>
      </c>
      <c r="K225" s="738"/>
      <c r="L225" s="735">
        <v>471199</v>
      </c>
      <c r="M225" s="736">
        <f t="shared" si="15"/>
        <v>0.92530544419661331</v>
      </c>
      <c r="N225" s="379"/>
    </row>
    <row r="226" spans="1:14" customFormat="1">
      <c r="A226" s="153"/>
      <c r="B226" s="238"/>
      <c r="C226" s="238"/>
      <c r="D226" s="1246"/>
      <c r="E226" s="14"/>
      <c r="F226" s="247"/>
      <c r="G226" s="153"/>
      <c r="H226" s="153"/>
      <c r="I226" s="153"/>
      <c r="J226" s="244">
        <f>SUM(J223:J225)</f>
        <v>1455202.8520999947</v>
      </c>
      <c r="K226" s="771">
        <f>(J220-J226)/J220</f>
        <v>4.7884325846522346E-4</v>
      </c>
      <c r="L226" s="735">
        <v>1584998.8379999956</v>
      </c>
      <c r="M226" s="736">
        <f t="shared" si="15"/>
        <v>0.91810972804006485</v>
      </c>
      <c r="N226" s="379"/>
    </row>
    <row r="227" spans="1:14" customFormat="1">
      <c r="A227" s="95">
        <v>7</v>
      </c>
      <c r="B227" s="741" t="s">
        <v>1574</v>
      </c>
      <c r="C227" s="238"/>
      <c r="D227" s="27"/>
      <c r="E227" s="27"/>
      <c r="F227" s="247"/>
      <c r="G227" s="153"/>
      <c r="H227" s="153"/>
      <c r="I227" s="153"/>
      <c r="J227" s="153"/>
      <c r="K227" s="738"/>
      <c r="L227" s="735"/>
      <c r="M227" s="736" t="e">
        <f t="shared" si="15"/>
        <v>#DIV/0!</v>
      </c>
      <c r="N227" s="379"/>
    </row>
    <row r="228" spans="1:14" customFormat="1">
      <c r="A228" s="153">
        <v>1</v>
      </c>
      <c r="B228" s="238" t="s">
        <v>1575</v>
      </c>
      <c r="C228" s="238" t="s">
        <v>1576</v>
      </c>
      <c r="D228" s="27">
        <v>87532.1</v>
      </c>
      <c r="E228" s="27">
        <v>88328.4</v>
      </c>
      <c r="F228" s="247">
        <f>E228-D228</f>
        <v>796.29999999998836</v>
      </c>
      <c r="G228" s="153">
        <v>2000</v>
      </c>
      <c r="H228" s="153">
        <f>F228*G228</f>
        <v>1592599.9999999767</v>
      </c>
      <c r="I228" s="153"/>
      <c r="J228" s="153">
        <f>SUM(H228:I228)</f>
        <v>1592599.9999999767</v>
      </c>
      <c r="K228" s="738"/>
      <c r="L228" s="735">
        <v>1673200.0000000116</v>
      </c>
      <c r="M228" s="736">
        <f t="shared" si="15"/>
        <v>0.95182883098252791</v>
      </c>
      <c r="N228" s="379"/>
    </row>
    <row r="229" spans="1:14" customFormat="1">
      <c r="A229" s="153"/>
      <c r="B229" s="238" t="s">
        <v>1577</v>
      </c>
      <c r="C229" s="238" t="s">
        <v>1578</v>
      </c>
      <c r="D229" s="776">
        <v>2331.56</v>
      </c>
      <c r="E229" s="776">
        <v>2353.42</v>
      </c>
      <c r="F229" s="247">
        <f>E229-D229</f>
        <v>21.860000000000127</v>
      </c>
      <c r="G229" s="153">
        <v>80000</v>
      </c>
      <c r="H229" s="153">
        <f>F229*G229</f>
        <v>1748800.0000000102</v>
      </c>
      <c r="I229" s="153"/>
      <c r="J229" s="153">
        <f>SUM(H229:I229)</f>
        <v>1748800.0000000102</v>
      </c>
      <c r="K229" s="738"/>
      <c r="L229" s="735">
        <v>1790400.0000000088</v>
      </c>
      <c r="M229" s="736">
        <f t="shared" si="15"/>
        <v>0.97676496872207419</v>
      </c>
      <c r="N229" s="379"/>
    </row>
    <row r="230" spans="1:14" customFormat="1">
      <c r="A230" s="153"/>
      <c r="B230" s="734" t="s">
        <v>1363</v>
      </c>
      <c r="C230" s="238"/>
      <c r="D230" s="1246"/>
      <c r="E230" s="14"/>
      <c r="F230" s="247"/>
      <c r="G230" s="153"/>
      <c r="H230" s="153"/>
      <c r="I230" s="153"/>
      <c r="J230" s="153">
        <f>SUM(J228:J229)</f>
        <v>3341399.999999987</v>
      </c>
      <c r="K230" s="738"/>
      <c r="L230" s="735">
        <v>3463600.0000000205</v>
      </c>
      <c r="M230" s="736">
        <f t="shared" si="15"/>
        <v>0.96471878969857006</v>
      </c>
      <c r="N230" s="379"/>
    </row>
    <row r="231" spans="1:14" customFormat="1">
      <c r="A231" s="153"/>
      <c r="B231" s="733" t="s">
        <v>1364</v>
      </c>
      <c r="C231" s="238"/>
      <c r="D231" s="1246"/>
      <c r="E231" s="14"/>
      <c r="F231" s="247"/>
      <c r="G231" s="153"/>
      <c r="H231" s="153"/>
      <c r="I231" s="153"/>
      <c r="J231" s="153"/>
      <c r="K231" s="738"/>
      <c r="L231" s="735"/>
      <c r="M231" s="736" t="e">
        <f t="shared" si="15"/>
        <v>#DIV/0!</v>
      </c>
      <c r="N231" s="379"/>
    </row>
    <row r="232" spans="1:14" customFormat="1">
      <c r="A232" s="153">
        <v>30</v>
      </c>
      <c r="B232" s="734" t="s">
        <v>1579</v>
      </c>
      <c r="C232" s="238" t="s">
        <v>1580</v>
      </c>
      <c r="D232" s="777">
        <v>35025.5</v>
      </c>
      <c r="E232" s="777">
        <v>35395.699999999997</v>
      </c>
      <c r="F232" s="247">
        <f>E232-D232</f>
        <v>370.19999999999709</v>
      </c>
      <c r="G232" s="153">
        <v>2000</v>
      </c>
      <c r="H232" s="153">
        <f>F232*G232</f>
        <v>740399.99999999418</v>
      </c>
      <c r="I232" s="153"/>
      <c r="J232" s="153">
        <f>H232+I232</f>
        <v>740399.99999999418</v>
      </c>
      <c r="K232" s="738"/>
      <c r="L232" s="735">
        <v>825399.99999999418</v>
      </c>
      <c r="M232" s="736">
        <f t="shared" si="15"/>
        <v>0.89701962684758829</v>
      </c>
      <c r="N232" s="379"/>
    </row>
    <row r="233" spans="1:14" customFormat="1">
      <c r="A233" s="153">
        <v>31</v>
      </c>
      <c r="B233" s="734" t="s">
        <v>1190</v>
      </c>
      <c r="C233" s="238" t="s">
        <v>1581</v>
      </c>
      <c r="D233" s="777">
        <v>22976</v>
      </c>
      <c r="E233" s="777">
        <v>23431</v>
      </c>
      <c r="F233" s="247">
        <f>E233-D233</f>
        <v>455</v>
      </c>
      <c r="G233" s="153">
        <v>2000</v>
      </c>
      <c r="H233" s="153">
        <f>F233*G233</f>
        <v>910000</v>
      </c>
      <c r="I233" s="153"/>
      <c r="J233" s="153">
        <f>SUM(H233:I233)</f>
        <v>910000</v>
      </c>
      <c r="K233" s="738"/>
      <c r="L233" s="735">
        <v>986000</v>
      </c>
      <c r="M233" s="736">
        <f t="shared" si="15"/>
        <v>0.92292089249492903</v>
      </c>
      <c r="N233" s="379"/>
    </row>
    <row r="234" spans="1:14" customFormat="1">
      <c r="A234" s="153">
        <v>32</v>
      </c>
      <c r="B234" s="734" t="s">
        <v>1191</v>
      </c>
      <c r="C234" s="238" t="s">
        <v>1582</v>
      </c>
      <c r="D234" s="777">
        <v>44686.400000000001</v>
      </c>
      <c r="E234" s="777">
        <v>45106.5</v>
      </c>
      <c r="F234" s="247">
        <f>E234-D234</f>
        <v>420.09999999999854</v>
      </c>
      <c r="G234" s="153">
        <v>2000</v>
      </c>
      <c r="H234" s="153">
        <f>F234*G234</f>
        <v>840199.99999999709</v>
      </c>
      <c r="I234" s="153"/>
      <c r="J234" s="153">
        <f>SUM(H234:I234)</f>
        <v>840199.99999999709</v>
      </c>
      <c r="K234" s="738"/>
      <c r="L234" s="735">
        <v>835600.00000000582</v>
      </c>
      <c r="M234" s="736">
        <f t="shared" si="15"/>
        <v>1.0055050263283762</v>
      </c>
      <c r="N234" s="379"/>
    </row>
    <row r="235" spans="1:14" customFormat="1">
      <c r="A235" s="153">
        <v>33</v>
      </c>
      <c r="B235" s="439" t="s">
        <v>1202</v>
      </c>
      <c r="C235" s="734" t="s">
        <v>1583</v>
      </c>
      <c r="D235" s="161">
        <v>4519.9399999999996</v>
      </c>
      <c r="E235" s="161">
        <v>4576.68</v>
      </c>
      <c r="F235" s="247">
        <f>E235-D235</f>
        <v>56.740000000000691</v>
      </c>
      <c r="G235" s="161">
        <v>3000</v>
      </c>
      <c r="H235" s="153">
        <f>F235*G235</f>
        <v>170220.00000000207</v>
      </c>
      <c r="I235" s="244">
        <v>650000</v>
      </c>
      <c r="J235" s="244">
        <f>SUM(H235:I235)</f>
        <v>820220.0000000021</v>
      </c>
      <c r="K235" s="738"/>
      <c r="L235" s="735">
        <v>809039.06330000004</v>
      </c>
      <c r="M235" s="736">
        <f t="shared" si="15"/>
        <v>1.0138200208212393</v>
      </c>
      <c r="N235" s="379">
        <f>653940-H235</f>
        <v>483719.9999999979</v>
      </c>
    </row>
    <row r="236" spans="1:14" customFormat="1">
      <c r="A236" s="153"/>
      <c r="B236" s="238"/>
      <c r="C236" s="238"/>
      <c r="D236" s="1246"/>
      <c r="E236" s="14"/>
      <c r="F236" s="247"/>
      <c r="G236" s="153"/>
      <c r="H236" s="153"/>
      <c r="I236" s="153"/>
      <c r="J236" s="244">
        <f>SUM(J232+J233+J234+J235)</f>
        <v>3310819.9999999935</v>
      </c>
      <c r="K236" s="771">
        <f>(J230-J236)/J228</f>
        <v>1.920130604043321E-2</v>
      </c>
      <c r="L236" s="735">
        <v>3456039.0633</v>
      </c>
      <c r="M236" s="736">
        <f t="shared" si="15"/>
        <v>0.95798107005152189</v>
      </c>
      <c r="N236" s="379"/>
    </row>
    <row r="237" spans="1:14" customFormat="1">
      <c r="A237" s="95">
        <v>8</v>
      </c>
      <c r="B237" s="741" t="s">
        <v>1584</v>
      </c>
      <c r="C237" s="733"/>
      <c r="D237" s="1246"/>
      <c r="E237" s="14"/>
      <c r="F237" s="247"/>
      <c r="G237" s="153"/>
      <c r="H237" s="153"/>
      <c r="I237" s="153"/>
      <c r="J237" s="153"/>
      <c r="K237" s="738"/>
      <c r="L237" s="735"/>
      <c r="M237" s="736" t="e">
        <f t="shared" si="15"/>
        <v>#DIV/0!</v>
      </c>
      <c r="N237" s="379"/>
    </row>
    <row r="238" spans="1:14" customFormat="1">
      <c r="A238" s="153">
        <v>1</v>
      </c>
      <c r="B238" s="238" t="s">
        <v>1479</v>
      </c>
      <c r="C238" s="238">
        <v>5037326</v>
      </c>
      <c r="D238" s="289">
        <v>38292.1</v>
      </c>
      <c r="E238" s="289">
        <v>41815.1</v>
      </c>
      <c r="F238" s="247">
        <f>E238-D238</f>
        <v>3523</v>
      </c>
      <c r="G238" s="153">
        <v>180</v>
      </c>
      <c r="H238" s="153">
        <f>F238*G238</f>
        <v>634140</v>
      </c>
      <c r="I238" s="153">
        <v>210492</v>
      </c>
      <c r="J238" s="153">
        <f>SUM(H238:I238)</f>
        <v>844632</v>
      </c>
      <c r="K238" s="153"/>
      <c r="L238" s="735">
        <v>947639.99999999977</v>
      </c>
      <c r="M238" s="736">
        <f t="shared" si="15"/>
        <v>0.89130049385842747</v>
      </c>
      <c r="N238" s="379"/>
    </row>
    <row r="239" spans="1:14" customFormat="1">
      <c r="A239" s="153"/>
      <c r="B239" s="734" t="s">
        <v>1363</v>
      </c>
      <c r="C239" s="238"/>
      <c r="D239" s="1246"/>
      <c r="E239" s="14"/>
      <c r="F239" s="247"/>
      <c r="G239" s="153"/>
      <c r="H239" s="153"/>
      <c r="I239" s="153"/>
      <c r="J239" s="153">
        <f>SUM(J238)</f>
        <v>844632</v>
      </c>
      <c r="K239" s="738"/>
      <c r="L239" s="735">
        <v>947639.99999999977</v>
      </c>
      <c r="M239" s="736">
        <f t="shared" si="15"/>
        <v>0.89130049385842747</v>
      </c>
      <c r="N239" s="379"/>
    </row>
    <row r="240" spans="1:14" customFormat="1">
      <c r="A240" s="153"/>
      <c r="B240" s="733" t="s">
        <v>1522</v>
      </c>
      <c r="C240" s="238"/>
      <c r="D240" s="1246"/>
      <c r="E240" s="14"/>
      <c r="F240" s="247"/>
      <c r="G240" s="153"/>
      <c r="H240" s="153"/>
      <c r="I240" s="153"/>
      <c r="J240" s="153"/>
      <c r="K240" s="738"/>
      <c r="L240" s="735"/>
      <c r="M240" s="736" t="e">
        <f t="shared" si="15"/>
        <v>#DIV/0!</v>
      </c>
      <c r="N240" s="379"/>
    </row>
    <row r="241" spans="1:13" customFormat="1">
      <c r="A241" s="153">
        <v>34</v>
      </c>
      <c r="B241" s="734" t="s">
        <v>1585</v>
      </c>
      <c r="C241" s="238" t="s">
        <v>1586</v>
      </c>
      <c r="D241" s="1246">
        <v>315908</v>
      </c>
      <c r="E241" s="14">
        <v>333701</v>
      </c>
      <c r="F241" s="247">
        <f>E241-D241</f>
        <v>17793</v>
      </c>
      <c r="G241" s="153">
        <v>40</v>
      </c>
      <c r="H241" s="153">
        <f>F241*G241</f>
        <v>711720</v>
      </c>
      <c r="I241" s="153"/>
      <c r="J241" s="153">
        <f>SUM(H241:I241)</f>
        <v>711720</v>
      </c>
      <c r="K241" s="738"/>
      <c r="L241" s="735">
        <v>789520</v>
      </c>
      <c r="M241" s="736">
        <f t="shared" si="15"/>
        <v>0.90145911439862192</v>
      </c>
    </row>
    <row r="242" spans="1:13" customFormat="1">
      <c r="A242" s="153">
        <v>35</v>
      </c>
      <c r="B242" s="734" t="s">
        <v>1587</v>
      </c>
      <c r="C242" s="238">
        <v>5037183</v>
      </c>
      <c r="D242" s="1246">
        <v>46695.1</v>
      </c>
      <c r="E242" s="1246">
        <v>49878.1</v>
      </c>
      <c r="F242" s="247">
        <f>E242-D242</f>
        <v>3183</v>
      </c>
      <c r="G242" s="153">
        <v>40</v>
      </c>
      <c r="H242" s="153">
        <f>F242*G242</f>
        <v>127320</v>
      </c>
      <c r="I242" s="244"/>
      <c r="J242" s="244">
        <f>SUM(H242:I242)</f>
        <v>127320</v>
      </c>
      <c r="K242" s="738"/>
      <c r="L242" s="735">
        <v>148691.99999999983</v>
      </c>
      <c r="M242" s="736">
        <f t="shared" si="15"/>
        <v>0.8562666451456713</v>
      </c>
    </row>
    <row r="243" spans="1:13" customFormat="1">
      <c r="A243" s="153"/>
      <c r="B243" s="238"/>
      <c r="C243" s="238"/>
      <c r="D243" s="14"/>
      <c r="E243" s="14"/>
      <c r="F243" s="247"/>
      <c r="G243" s="153"/>
      <c r="H243" s="153"/>
      <c r="I243" s="153"/>
      <c r="J243" s="244">
        <f>SUM(J241:J242)</f>
        <v>839040</v>
      </c>
      <c r="K243" s="771">
        <f>(J238-J243)/J238</f>
        <v>6.6206347853266278E-3</v>
      </c>
      <c r="L243" s="735">
        <v>938211.99999999977</v>
      </c>
      <c r="M243" s="736">
        <f t="shared" si="15"/>
        <v>0.89429681138164963</v>
      </c>
    </row>
    <row r="244" spans="1:13" customFormat="1">
      <c r="A244" s="153"/>
      <c r="B244" s="239" t="s">
        <v>5</v>
      </c>
      <c r="C244" s="238"/>
      <c r="D244" s="14"/>
      <c r="E244" s="14"/>
      <c r="F244" s="247"/>
      <c r="G244" s="153"/>
      <c r="H244" s="153"/>
      <c r="I244" s="153"/>
      <c r="J244" s="153"/>
      <c r="K244" s="771"/>
      <c r="L244" s="735"/>
      <c r="M244" s="736" t="e">
        <f t="shared" si="15"/>
        <v>#DIV/0!</v>
      </c>
    </row>
    <row r="245" spans="1:13" customFormat="1">
      <c r="A245" s="153">
        <v>1</v>
      </c>
      <c r="B245" s="238" t="s">
        <v>1200</v>
      </c>
      <c r="C245" s="238" t="str">
        <f t="shared" ref="C245:H245" si="16">C184</f>
        <v>MPE15902</v>
      </c>
      <c r="D245" s="153">
        <f t="shared" si="16"/>
        <v>123251.6</v>
      </c>
      <c r="E245" s="153">
        <f t="shared" si="16"/>
        <v>123380.4</v>
      </c>
      <c r="F245" s="153">
        <f t="shared" si="16"/>
        <v>128.79999999998836</v>
      </c>
      <c r="G245" s="153">
        <f t="shared" si="16"/>
        <v>2000</v>
      </c>
      <c r="H245" s="153">
        <f t="shared" si="16"/>
        <v>257599.99999997672</v>
      </c>
      <c r="I245" s="153"/>
      <c r="J245" s="153">
        <f>H245+I245</f>
        <v>257599.99999997672</v>
      </c>
      <c r="K245" s="771"/>
      <c r="L245" s="735">
        <v>265200.00000001164</v>
      </c>
      <c r="M245" s="736">
        <f t="shared" si="15"/>
        <v>0.97134238310695853</v>
      </c>
    </row>
    <row r="246" spans="1:13" customFormat="1">
      <c r="A246" s="153">
        <v>2</v>
      </c>
      <c r="B246" s="238" t="s">
        <v>1486</v>
      </c>
      <c r="C246" s="258" t="str">
        <f t="shared" ref="C246:H246" si="17">C168</f>
        <v>MPE13164</v>
      </c>
      <c r="D246" s="244">
        <f t="shared" si="17"/>
        <v>89931.5</v>
      </c>
      <c r="E246" s="244">
        <f t="shared" si="17"/>
        <v>90189.9</v>
      </c>
      <c r="F246" s="244">
        <f t="shared" si="17"/>
        <v>258.39999999999418</v>
      </c>
      <c r="G246" s="244">
        <f t="shared" si="17"/>
        <v>2000</v>
      </c>
      <c r="H246" s="244">
        <f t="shared" si="17"/>
        <v>516799.99999998836</v>
      </c>
      <c r="I246" s="244"/>
      <c r="J246" s="244">
        <f>J168</f>
        <v>516799.99999998836</v>
      </c>
      <c r="K246" s="738"/>
      <c r="L246" s="735">
        <v>560000</v>
      </c>
      <c r="M246" s="736">
        <f t="shared" si="15"/>
        <v>0.92285714285712206</v>
      </c>
    </row>
    <row r="247" spans="1:13" customFormat="1">
      <c r="A247" s="153">
        <v>3</v>
      </c>
      <c r="B247" s="238" t="s">
        <v>1171</v>
      </c>
      <c r="C247" s="258" t="str">
        <f t="shared" ref="C247:H247" si="18">C172</f>
        <v>MPE13163</v>
      </c>
      <c r="D247" s="244">
        <f t="shared" si="18"/>
        <v>154830.79999999999</v>
      </c>
      <c r="E247" s="244">
        <f t="shared" si="18"/>
        <v>155022.70000000001</v>
      </c>
      <c r="F247" s="244">
        <f t="shared" si="18"/>
        <v>191.90000000002328</v>
      </c>
      <c r="G247" s="244">
        <f t="shared" si="18"/>
        <v>2000</v>
      </c>
      <c r="H247" s="244">
        <f t="shared" si="18"/>
        <v>383800.00000004657</v>
      </c>
      <c r="I247" s="244"/>
      <c r="J247" s="244">
        <f>J172</f>
        <v>905639.83290005859</v>
      </c>
      <c r="K247" s="738"/>
      <c r="L247" s="735">
        <v>961639.83290000039</v>
      </c>
      <c r="M247" s="736">
        <f t="shared" si="15"/>
        <v>0.94176613937562925</v>
      </c>
    </row>
    <row r="248" spans="1:13" customFormat="1">
      <c r="A248" s="153"/>
      <c r="B248" s="755"/>
      <c r="C248" s="238"/>
      <c r="D248" s="14"/>
      <c r="E248" s="14"/>
      <c r="F248" s="247"/>
      <c r="G248" s="153"/>
      <c r="H248" s="153"/>
      <c r="I248" s="153"/>
      <c r="J248" s="153">
        <f>SUM(J245:J247)</f>
        <v>1680039.8329000236</v>
      </c>
      <c r="K248" s="738"/>
      <c r="L248" s="735">
        <v>1786839.8329000119</v>
      </c>
      <c r="M248" s="736">
        <f t="shared" si="15"/>
        <v>0.94022967362068832</v>
      </c>
    </row>
    <row r="249" spans="1:13" customFormat="1">
      <c r="A249" s="153"/>
      <c r="B249" s="239" t="s">
        <v>1492</v>
      </c>
      <c r="C249" s="238"/>
      <c r="D249" s="778"/>
      <c r="E249" s="778"/>
      <c r="F249" s="247"/>
      <c r="G249" s="153"/>
      <c r="H249" s="153"/>
      <c r="I249" s="153"/>
      <c r="J249" s="349">
        <f>J164+J181+J192+J202+J211+J221+J230-J248+J239</f>
        <v>22312672.167099893</v>
      </c>
      <c r="K249" s="738"/>
      <c r="L249" s="735">
        <v>24208490.16710005</v>
      </c>
      <c r="M249" s="736">
        <f t="shared" si="15"/>
        <v>0.92168788772392662</v>
      </c>
    </row>
    <row r="250" spans="1:13" customFormat="1">
      <c r="A250" s="153"/>
      <c r="B250" s="239" t="s">
        <v>1493</v>
      </c>
      <c r="C250" s="239"/>
      <c r="D250" s="690"/>
      <c r="E250" s="690"/>
      <c r="F250" s="779"/>
      <c r="G250" s="95"/>
      <c r="H250" s="95"/>
      <c r="I250" s="349"/>
      <c r="J250" s="349">
        <f>J174+J189+J198+J207+J218+J226+J236-J248+J243</f>
        <v>22091698.094899952</v>
      </c>
      <c r="K250" s="780">
        <f>(J249-J250)/J249</f>
        <v>9.903523457211353E-3</v>
      </c>
      <c r="L250" s="379">
        <v>23994862.271499917</v>
      </c>
      <c r="M250" s="736">
        <f t="shared" si="15"/>
        <v>0.92068451341517132</v>
      </c>
    </row>
    <row r="251" spans="1:13" customFormat="1">
      <c r="A251" s="153"/>
      <c r="B251" s="239"/>
      <c r="C251" s="239"/>
      <c r="D251" s="690"/>
      <c r="E251" s="690"/>
      <c r="F251" s="779"/>
      <c r="G251" s="95"/>
      <c r="H251" s="95"/>
      <c r="I251" s="349"/>
      <c r="J251" s="349"/>
      <c r="K251" s="781"/>
      <c r="L251" s="379"/>
      <c r="M251" s="736" t="e">
        <f t="shared" si="15"/>
        <v>#DIV/0!</v>
      </c>
    </row>
    <row r="252" spans="1:13" customFormat="1" ht="18">
      <c r="A252" s="1340" t="s">
        <v>1588</v>
      </c>
      <c r="B252" s="1340"/>
      <c r="C252" s="1340"/>
      <c r="D252" s="1340"/>
      <c r="E252" s="1340"/>
      <c r="F252" s="1340"/>
      <c r="G252" s="1340"/>
      <c r="H252" s="1340"/>
      <c r="I252" s="1340"/>
      <c r="J252" s="1340"/>
      <c r="K252" s="1340"/>
      <c r="L252" s="379"/>
      <c r="M252" s="736" t="e">
        <f t="shared" si="15"/>
        <v>#DIV/0!</v>
      </c>
    </row>
    <row r="253" spans="1:13" customFormat="1">
      <c r="A253" s="1335" t="s">
        <v>1589</v>
      </c>
      <c r="B253" s="1335"/>
      <c r="C253" s="1335"/>
      <c r="D253" s="1336" t="str">
        <f>D158</f>
        <v>OCT.2024</v>
      </c>
      <c r="E253" s="1336"/>
      <c r="F253" s="153"/>
      <c r="G253" s="153"/>
      <c r="H253" s="153"/>
      <c r="I253" s="153"/>
      <c r="J253" s="153"/>
      <c r="K253" s="153"/>
      <c r="L253" s="379" t="s">
        <v>1495</v>
      </c>
      <c r="M253" s="736" t="e">
        <f t="shared" si="15"/>
        <v>#VALUE!</v>
      </c>
    </row>
    <row r="254" spans="1:13" customFormat="1" ht="25.5">
      <c r="A254" s="14" t="s">
        <v>345</v>
      </c>
      <c r="B254" s="725" t="s">
        <v>898</v>
      </c>
      <c r="C254" s="782" t="s">
        <v>1351</v>
      </c>
      <c r="D254" s="727"/>
      <c r="E254" s="727"/>
      <c r="F254" s="783" t="s">
        <v>1353</v>
      </c>
      <c r="G254" s="14" t="s">
        <v>135</v>
      </c>
      <c r="H254" s="727" t="s">
        <v>1590</v>
      </c>
      <c r="I254" s="784" t="s">
        <v>1591</v>
      </c>
      <c r="J254" s="727" t="s">
        <v>1495</v>
      </c>
      <c r="K254" s="727" t="s">
        <v>293</v>
      </c>
      <c r="L254" s="379"/>
      <c r="M254" s="736" t="e">
        <f t="shared" si="15"/>
        <v>#VALUE!</v>
      </c>
    </row>
    <row r="255" spans="1:13" customFormat="1">
      <c r="A255" s="153"/>
      <c r="B255" s="725"/>
      <c r="C255" s="726"/>
      <c r="D255" s="331">
        <f>D160</f>
        <v>45565</v>
      </c>
      <c r="E255" s="331">
        <f>E160</f>
        <v>45596</v>
      </c>
      <c r="F255" s="783"/>
      <c r="G255" s="14"/>
      <c r="H255" s="153"/>
      <c r="I255" s="153"/>
      <c r="J255" s="731"/>
      <c r="K255" s="153" t="s">
        <v>1592</v>
      </c>
      <c r="L255" s="379"/>
      <c r="M255" s="736" t="e">
        <f t="shared" si="15"/>
        <v>#DIV/0!</v>
      </c>
    </row>
    <row r="256" spans="1:13" customFormat="1">
      <c r="A256" s="153">
        <v>1</v>
      </c>
      <c r="B256" s="741" t="s">
        <v>1593</v>
      </c>
      <c r="C256" s="238"/>
      <c r="D256" s="247"/>
      <c r="E256" s="247"/>
      <c r="F256" s="247"/>
      <c r="G256" s="153"/>
      <c r="H256" s="244"/>
      <c r="I256" s="244"/>
      <c r="J256" s="244"/>
      <c r="K256" s="153"/>
      <c r="L256" s="735">
        <v>181199.999999997</v>
      </c>
      <c r="M256" s="736">
        <f t="shared" si="15"/>
        <v>0</v>
      </c>
    </row>
    <row r="257" spans="1:15" customFormat="1">
      <c r="A257" s="153">
        <v>1</v>
      </c>
      <c r="B257" s="734" t="s">
        <v>1594</v>
      </c>
      <c r="C257" s="238" t="s">
        <v>1595</v>
      </c>
      <c r="D257" s="247">
        <v>29571</v>
      </c>
      <c r="E257" s="247">
        <v>29574</v>
      </c>
      <c r="F257" s="247">
        <f>E257-D257</f>
        <v>3</v>
      </c>
      <c r="G257" s="153">
        <v>4000</v>
      </c>
      <c r="H257" s="244">
        <f>(F257*G257)</f>
        <v>12000</v>
      </c>
      <c r="I257" s="244">
        <v>240000</v>
      </c>
      <c r="J257" s="244">
        <f>H257+I257</f>
        <v>252000</v>
      </c>
      <c r="K257" s="153"/>
      <c r="L257" s="735">
        <v>402800.00000000291</v>
      </c>
      <c r="M257" s="736">
        <f t="shared" si="15"/>
        <v>0.62562065541211065</v>
      </c>
      <c r="N257" s="379"/>
      <c r="O257" s="379"/>
    </row>
    <row r="258" spans="1:15" customFormat="1">
      <c r="A258" s="153">
        <v>2</v>
      </c>
      <c r="B258" s="734" t="s">
        <v>1596</v>
      </c>
      <c r="C258" s="238" t="s">
        <v>1597</v>
      </c>
      <c r="D258" s="247">
        <v>129116.7</v>
      </c>
      <c r="E258" s="247">
        <v>129655.9</v>
      </c>
      <c r="F258" s="247">
        <f>E258-D258</f>
        <v>539.19999999999709</v>
      </c>
      <c r="G258" s="153">
        <v>2000</v>
      </c>
      <c r="H258" s="244">
        <f>(F258*G258)</f>
        <v>1078399.9999999942</v>
      </c>
      <c r="I258" s="244"/>
      <c r="J258" s="244">
        <f>H258+I258</f>
        <v>1078399.9999999942</v>
      </c>
      <c r="K258" s="153"/>
      <c r="L258" s="735">
        <v>1196600.0000000058</v>
      </c>
      <c r="M258" s="736">
        <f t="shared" si="15"/>
        <v>0.90122012368376148</v>
      </c>
      <c r="N258" s="379"/>
      <c r="O258" s="379"/>
    </row>
    <row r="259" spans="1:15" customFormat="1">
      <c r="A259" s="153">
        <v>2</v>
      </c>
      <c r="B259" s="734" t="s">
        <v>1598</v>
      </c>
      <c r="C259" s="238" t="s">
        <v>1599</v>
      </c>
      <c r="D259" s="247">
        <v>36021.800000000003</v>
      </c>
      <c r="E259" s="247">
        <v>36021.800000000003</v>
      </c>
      <c r="F259" s="247">
        <f>E259-D259</f>
        <v>0</v>
      </c>
      <c r="G259" s="153">
        <v>2000</v>
      </c>
      <c r="H259" s="244">
        <f>(F259*G259)</f>
        <v>0</v>
      </c>
      <c r="I259" s="244">
        <v>400000</v>
      </c>
      <c r="J259" s="244">
        <f>H259+I259</f>
        <v>400000</v>
      </c>
      <c r="K259" s="153"/>
      <c r="L259" s="735">
        <v>400000</v>
      </c>
      <c r="M259" s="736">
        <f t="shared" si="15"/>
        <v>1</v>
      </c>
      <c r="N259" s="379"/>
      <c r="O259" s="379"/>
    </row>
    <row r="260" spans="1:15" customFormat="1">
      <c r="A260" s="153"/>
      <c r="B260" s="734" t="s">
        <v>1600</v>
      </c>
      <c r="C260" s="238" t="s">
        <v>1595</v>
      </c>
      <c r="D260" s="247">
        <v>11836.5</v>
      </c>
      <c r="E260" s="247">
        <v>11838.7</v>
      </c>
      <c r="F260" s="247">
        <f>E260-D260</f>
        <v>2.2000000000007276</v>
      </c>
      <c r="G260" s="153">
        <v>4000</v>
      </c>
      <c r="H260" s="244">
        <f>(F260*G260)</f>
        <v>8800.0000000029104</v>
      </c>
      <c r="I260" s="244"/>
      <c r="J260" s="244">
        <f>H260+I260</f>
        <v>8800.0000000029104</v>
      </c>
      <c r="K260" s="153"/>
      <c r="L260" s="735">
        <v>40400.000000001455</v>
      </c>
      <c r="M260" s="736">
        <f t="shared" si="15"/>
        <v>0.21782178217828202</v>
      </c>
      <c r="N260" s="379"/>
      <c r="O260" s="379"/>
    </row>
    <row r="261" spans="1:15" customFormat="1">
      <c r="A261" s="153"/>
      <c r="B261" s="734" t="s">
        <v>1601</v>
      </c>
      <c r="C261" s="238" t="s">
        <v>1599</v>
      </c>
      <c r="D261" s="247">
        <v>19660.8</v>
      </c>
      <c r="E261" s="247">
        <v>19660.8</v>
      </c>
      <c r="F261" s="247">
        <f>E261-D261</f>
        <v>0</v>
      </c>
      <c r="G261" s="153">
        <v>2000</v>
      </c>
      <c r="H261" s="244">
        <f>(F261*G261)</f>
        <v>0</v>
      </c>
      <c r="I261" s="244"/>
      <c r="J261" s="244">
        <f>H261+I261</f>
        <v>0</v>
      </c>
      <c r="K261" s="153"/>
      <c r="L261" s="735">
        <v>0</v>
      </c>
      <c r="M261" s="736" t="e">
        <f t="shared" si="15"/>
        <v>#DIV/0!</v>
      </c>
      <c r="N261" s="379"/>
      <c r="O261" s="379"/>
    </row>
    <row r="262" spans="1:15" customFormat="1">
      <c r="A262" s="153"/>
      <c r="B262" s="734" t="s">
        <v>1363</v>
      </c>
      <c r="C262" s="238"/>
      <c r="D262" s="247"/>
      <c r="E262" s="247"/>
      <c r="F262" s="247"/>
      <c r="G262" s="153"/>
      <c r="H262" s="244"/>
      <c r="I262" s="244"/>
      <c r="J262" s="244">
        <f>J257+I259+J258-J260</f>
        <v>1721599.9999999912</v>
      </c>
      <c r="K262" s="153"/>
      <c r="L262" s="735">
        <v>1959000.0000000075</v>
      </c>
      <c r="M262" s="736">
        <f t="shared" si="15"/>
        <v>0.87881572230729177</v>
      </c>
      <c r="N262" s="379"/>
      <c r="O262" s="379"/>
    </row>
    <row r="263" spans="1:15" customFormat="1">
      <c r="A263" s="153"/>
      <c r="B263" s="737" t="s">
        <v>1522</v>
      </c>
      <c r="C263" s="238"/>
      <c r="D263" s="247"/>
      <c r="E263" s="247"/>
      <c r="F263" s="247"/>
      <c r="G263" s="153"/>
      <c r="H263" s="244"/>
      <c r="I263" s="244"/>
      <c r="J263" s="244"/>
      <c r="K263" s="153"/>
      <c r="L263" s="735"/>
      <c r="M263" s="736" t="e">
        <f t="shared" ref="M263:M326" si="19">J263/L263</f>
        <v>#DIV/0!</v>
      </c>
      <c r="N263" s="379"/>
      <c r="O263" s="379"/>
    </row>
    <row r="264" spans="1:15" customFormat="1">
      <c r="A264" s="153">
        <v>1</v>
      </c>
      <c r="B264" s="734" t="s">
        <v>1602</v>
      </c>
      <c r="C264" s="238" t="s">
        <v>1603</v>
      </c>
      <c r="D264" s="247">
        <v>84364.7</v>
      </c>
      <c r="E264" s="247">
        <v>84760.1</v>
      </c>
      <c r="F264" s="247">
        <f>E264-D264</f>
        <v>395.40000000000873</v>
      </c>
      <c r="G264" s="153">
        <v>2000</v>
      </c>
      <c r="H264" s="244">
        <f>(F264*G264)</f>
        <v>790800.00000001746</v>
      </c>
      <c r="I264" s="244"/>
      <c r="J264" s="244">
        <f>H264+I264</f>
        <v>790800.00000001746</v>
      </c>
      <c r="K264" s="153"/>
      <c r="L264" s="735">
        <v>869799.99999998836</v>
      </c>
      <c r="M264" s="736">
        <f t="shared" si="19"/>
        <v>0.90917452287885492</v>
      </c>
      <c r="N264" s="379" t="s">
        <v>1604</v>
      </c>
      <c r="O264" s="379">
        <v>521220.7</v>
      </c>
    </row>
    <row r="265" spans="1:15" customFormat="1">
      <c r="A265" s="153">
        <v>2</v>
      </c>
      <c r="B265" s="734" t="s">
        <v>1605</v>
      </c>
      <c r="C265" s="238" t="s">
        <v>1606</v>
      </c>
      <c r="D265" s="247">
        <v>23352.3</v>
      </c>
      <c r="E265" s="247">
        <v>24717.7</v>
      </c>
      <c r="F265" s="247">
        <f>E265-D265</f>
        <v>1365.4000000000015</v>
      </c>
      <c r="G265" s="153">
        <v>200</v>
      </c>
      <c r="H265" s="244">
        <f>(F265*G265)</f>
        <v>273080.00000000029</v>
      </c>
      <c r="I265" s="244"/>
      <c r="J265" s="244">
        <f>H265+I265</f>
        <v>273080.00000000029</v>
      </c>
      <c r="K265" s="153"/>
      <c r="L265" s="735">
        <v>311319.99999999971</v>
      </c>
      <c r="M265" s="736">
        <f t="shared" si="19"/>
        <v>0.8771681870743947</v>
      </c>
      <c r="N265" s="379" t="s">
        <v>1607</v>
      </c>
      <c r="O265" s="379">
        <v>187620.13</v>
      </c>
    </row>
    <row r="266" spans="1:15" customFormat="1">
      <c r="A266" s="161">
        <v>3</v>
      </c>
      <c r="B266" s="734" t="s">
        <v>169</v>
      </c>
      <c r="C266" s="238" t="s">
        <v>1608</v>
      </c>
      <c r="D266" s="247">
        <v>16533.2</v>
      </c>
      <c r="E266" s="247">
        <v>16594.3</v>
      </c>
      <c r="F266" s="247">
        <f>E266-D266</f>
        <v>61.099999999998545</v>
      </c>
      <c r="G266" s="153">
        <v>2000</v>
      </c>
      <c r="H266" s="244">
        <f>(F266*G266)</f>
        <v>122199.99999999709</v>
      </c>
      <c r="I266" s="244">
        <v>193820.40660000101</v>
      </c>
      <c r="J266" s="244">
        <f>H266+I266</f>
        <v>316020.40659999812</v>
      </c>
      <c r="K266" s="153"/>
      <c r="L266" s="735">
        <v>363420.40659999999</v>
      </c>
      <c r="M266" s="736">
        <f t="shared" si="19"/>
        <v>0.86957254149964991</v>
      </c>
      <c r="N266" s="379" t="s">
        <v>1609</v>
      </c>
      <c r="O266" s="379">
        <v>269009.77</v>
      </c>
    </row>
    <row r="267" spans="1:15" customFormat="1">
      <c r="A267" s="153">
        <v>4</v>
      </c>
      <c r="B267" s="734" t="s">
        <v>1610</v>
      </c>
      <c r="C267" s="238" t="s">
        <v>1611</v>
      </c>
      <c r="D267" s="247">
        <v>36552.1</v>
      </c>
      <c r="E267" s="247">
        <v>36552.1</v>
      </c>
      <c r="F267" s="247">
        <f>E267-D267</f>
        <v>0</v>
      </c>
      <c r="G267" s="153">
        <v>2000</v>
      </c>
      <c r="H267" s="244">
        <f>(F267*G267)</f>
        <v>0</v>
      </c>
      <c r="I267" s="244">
        <v>334480.47129999998</v>
      </c>
      <c r="J267" s="244">
        <f>H267+I267</f>
        <v>334480.47129999998</v>
      </c>
      <c r="K267" s="153"/>
      <c r="L267" s="735">
        <v>384480.47129999998</v>
      </c>
      <c r="M267" s="736">
        <f t="shared" si="19"/>
        <v>0.86995438329821873</v>
      </c>
      <c r="N267" s="379" t="s">
        <v>1612</v>
      </c>
      <c r="O267" s="379">
        <v>179100.59</v>
      </c>
    </row>
    <row r="268" spans="1:15" customFormat="1">
      <c r="A268" s="153"/>
      <c r="B268" s="439"/>
      <c r="C268" s="238"/>
      <c r="D268" s="247"/>
      <c r="E268" s="247"/>
      <c r="F268" s="247"/>
      <c r="G268" s="153"/>
      <c r="H268" s="244"/>
      <c r="I268" s="244"/>
      <c r="J268" s="349">
        <f>SUM(J264:J267)</f>
        <v>1714380.8779000156</v>
      </c>
      <c r="K268" s="743">
        <f>(J262-J268)/J262</f>
        <v>4.193263301565768E-3</v>
      </c>
      <c r="L268" s="785">
        <v>1929020.8778999881</v>
      </c>
      <c r="M268" s="736">
        <f t="shared" si="19"/>
        <v>0.88873111615378753</v>
      </c>
      <c r="N268" s="379"/>
      <c r="O268" s="379"/>
    </row>
    <row r="269" spans="1:15" customFormat="1">
      <c r="A269" s="95">
        <v>2</v>
      </c>
      <c r="B269" s="741" t="s">
        <v>1613</v>
      </c>
      <c r="C269" s="238"/>
      <c r="D269" s="247"/>
      <c r="E269" s="247"/>
      <c r="F269" s="247"/>
      <c r="G269" s="153"/>
      <c r="H269" s="244"/>
      <c r="I269" s="244"/>
      <c r="J269" s="244"/>
      <c r="K269" s="743"/>
      <c r="L269" s="735"/>
      <c r="M269" s="736" t="e">
        <f t="shared" si="19"/>
        <v>#DIV/0!</v>
      </c>
      <c r="N269" s="379"/>
      <c r="O269" s="379"/>
    </row>
    <row r="270" spans="1:15" customFormat="1">
      <c r="A270" s="153"/>
      <c r="B270" s="238"/>
      <c r="C270" s="238"/>
      <c r="D270" s="247"/>
      <c r="E270" s="247"/>
      <c r="F270" s="247"/>
      <c r="G270" s="153"/>
      <c r="H270" s="244"/>
      <c r="I270" s="244"/>
      <c r="J270" s="244"/>
      <c r="K270" s="743"/>
      <c r="L270" s="735">
        <v>792800.00000001804</v>
      </c>
      <c r="M270" s="736">
        <f t="shared" si="19"/>
        <v>0</v>
      </c>
      <c r="N270" s="379"/>
      <c r="O270" s="379"/>
    </row>
    <row r="271" spans="1:15" customFormat="1">
      <c r="A271" s="161">
        <v>1</v>
      </c>
      <c r="B271" s="238" t="s">
        <v>1614</v>
      </c>
      <c r="C271" s="153" t="s">
        <v>1615</v>
      </c>
      <c r="D271" s="247">
        <v>210621.6</v>
      </c>
      <c r="E271" s="247">
        <v>212310.3</v>
      </c>
      <c r="F271" s="247">
        <f>E271-D271</f>
        <v>1688.6999999999825</v>
      </c>
      <c r="G271" s="153">
        <v>1000</v>
      </c>
      <c r="H271" s="244">
        <f>(F271*G271)</f>
        <v>1688699.9999999825</v>
      </c>
      <c r="I271" s="244"/>
      <c r="J271" s="244">
        <f>SUM(H271:I271)</f>
        <v>1688699.9999999825</v>
      </c>
      <c r="K271" s="743"/>
      <c r="L271" s="735">
        <v>1078380</v>
      </c>
      <c r="M271" s="736">
        <f t="shared" si="19"/>
        <v>1.5659600511878768</v>
      </c>
      <c r="N271" s="379"/>
      <c r="O271" s="379"/>
    </row>
    <row r="272" spans="1:15" customFormat="1">
      <c r="A272" s="153"/>
      <c r="B272" s="238" t="s">
        <v>1616</v>
      </c>
      <c r="C272" s="153" t="s">
        <v>1617</v>
      </c>
      <c r="D272" s="247">
        <v>558929</v>
      </c>
      <c r="E272" s="247">
        <v>567587.5</v>
      </c>
      <c r="F272" s="247">
        <f>E272-D272</f>
        <v>8658.5</v>
      </c>
      <c r="G272" s="153">
        <v>120</v>
      </c>
      <c r="H272" s="244">
        <f>(F272*G272)</f>
        <v>1039020</v>
      </c>
      <c r="I272" s="244"/>
      <c r="J272" s="244">
        <f>H272+I272</f>
        <v>1039020</v>
      </c>
      <c r="K272" s="153"/>
      <c r="L272" s="735">
        <v>1871180.00000002</v>
      </c>
      <c r="M272" s="736">
        <f t="shared" si="19"/>
        <v>0.55527528083882305</v>
      </c>
      <c r="N272" s="379"/>
      <c r="O272" s="379"/>
    </row>
    <row r="273" spans="1:17" customFormat="1">
      <c r="A273" s="153"/>
      <c r="B273" s="734" t="s">
        <v>1363</v>
      </c>
      <c r="C273" s="153"/>
      <c r="D273" s="247"/>
      <c r="E273" s="247"/>
      <c r="F273" s="247"/>
      <c r="G273" s="153"/>
      <c r="H273" s="244"/>
      <c r="I273" s="244"/>
      <c r="J273" s="244">
        <f>SUM(J271:J272)</f>
        <v>2727719.9999999823</v>
      </c>
      <c r="K273" s="153"/>
      <c r="L273" s="735"/>
      <c r="M273" s="736" t="e">
        <f t="shared" si="19"/>
        <v>#DIV/0!</v>
      </c>
      <c r="N273" s="379"/>
      <c r="O273" s="379"/>
      <c r="P273" s="379"/>
      <c r="Q273" s="379"/>
    </row>
    <row r="274" spans="1:17" customFormat="1">
      <c r="A274" s="153"/>
      <c r="B274" s="238" t="s">
        <v>1618</v>
      </c>
      <c r="C274" s="153"/>
      <c r="D274" s="247"/>
      <c r="E274" s="247"/>
      <c r="F274" s="247"/>
      <c r="G274" s="153"/>
      <c r="H274" s="244"/>
      <c r="I274" s="244"/>
      <c r="J274" s="244"/>
      <c r="K274" s="153"/>
      <c r="L274" s="735">
        <v>804420</v>
      </c>
      <c r="M274" s="736">
        <f t="shared" si="19"/>
        <v>0</v>
      </c>
      <c r="N274" s="379"/>
      <c r="O274" s="379"/>
      <c r="P274" s="379"/>
      <c r="Q274" s="379"/>
    </row>
    <row r="275" spans="1:17" customFormat="1">
      <c r="A275" s="153">
        <v>5</v>
      </c>
      <c r="B275" s="748" t="s">
        <v>1619</v>
      </c>
      <c r="C275" s="153" t="s">
        <v>1620</v>
      </c>
      <c r="D275" s="247">
        <v>1048568.5</v>
      </c>
      <c r="E275" s="247">
        <v>1065814</v>
      </c>
      <c r="F275" s="247">
        <f>E275-D275</f>
        <v>17245.5</v>
      </c>
      <c r="G275" s="153">
        <v>60</v>
      </c>
      <c r="H275" s="244">
        <f>(F275*G275)</f>
        <v>1034730</v>
      </c>
      <c r="I275" s="244"/>
      <c r="J275" s="244">
        <f>H275+I275</f>
        <v>1034730</v>
      </c>
      <c r="K275" s="786"/>
      <c r="L275" s="735">
        <v>512040</v>
      </c>
      <c r="M275" s="736">
        <f t="shared" si="19"/>
        <v>2.0207991563159129</v>
      </c>
      <c r="N275" s="379" t="s">
        <v>1621</v>
      </c>
      <c r="O275" s="379"/>
      <c r="P275" s="379">
        <v>27020.02</v>
      </c>
      <c r="Q275" s="379"/>
    </row>
    <row r="276" spans="1:17" customFormat="1">
      <c r="A276" s="153">
        <v>6</v>
      </c>
      <c r="B276" s="734" t="s">
        <v>1622</v>
      </c>
      <c r="C276" s="153" t="s">
        <v>1623</v>
      </c>
      <c r="D276" s="247">
        <v>496161</v>
      </c>
      <c r="E276" s="247">
        <v>508479.5</v>
      </c>
      <c r="F276" s="247">
        <f>E276-D276</f>
        <v>12318.5</v>
      </c>
      <c r="G276" s="153">
        <v>30</v>
      </c>
      <c r="H276" s="244">
        <f>(F276*G276)</f>
        <v>369555</v>
      </c>
      <c r="I276" s="244"/>
      <c r="J276" s="244">
        <f>H276+I276</f>
        <v>369555</v>
      </c>
      <c r="K276" s="153"/>
      <c r="L276" s="735">
        <v>27466.5979999999</v>
      </c>
      <c r="M276" s="736">
        <f t="shared" si="19"/>
        <v>13.454705966862054</v>
      </c>
      <c r="N276" s="379" t="s">
        <v>1624</v>
      </c>
      <c r="O276" s="379"/>
      <c r="P276" s="379">
        <v>229439.94</v>
      </c>
      <c r="Q276" s="379"/>
    </row>
    <row r="277" spans="1:17" customFormat="1">
      <c r="A277" s="153">
        <v>7</v>
      </c>
      <c r="B277" s="238" t="s">
        <v>1625</v>
      </c>
      <c r="C277" s="153" t="s">
        <v>1626</v>
      </c>
      <c r="D277" s="247">
        <v>4106</v>
      </c>
      <c r="E277" s="247">
        <v>4128.8</v>
      </c>
      <c r="F277" s="247">
        <f>E277-D277</f>
        <v>22.800000000000182</v>
      </c>
      <c r="G277" s="153">
        <v>1333.33</v>
      </c>
      <c r="H277" s="244">
        <f>(F277*G277)</f>
        <v>30399.924000000239</v>
      </c>
      <c r="I277" s="244">
        <v>12000</v>
      </c>
      <c r="J277" s="244">
        <f>H277+I277</f>
        <v>42399.924000000239</v>
      </c>
      <c r="K277" s="786"/>
      <c r="L277" s="735">
        <v>518760</v>
      </c>
      <c r="M277" s="736">
        <f t="shared" si="19"/>
        <v>8.1733217672912792E-2</v>
      </c>
      <c r="N277" s="379" t="s">
        <v>1627</v>
      </c>
      <c r="O277" s="379"/>
      <c r="P277" s="379">
        <v>461722.66</v>
      </c>
      <c r="Q277" s="379"/>
    </row>
    <row r="278" spans="1:17" customFormat="1">
      <c r="A278" s="153"/>
      <c r="B278" s="238" t="s">
        <v>989</v>
      </c>
      <c r="C278" s="153" t="s">
        <v>1628</v>
      </c>
      <c r="D278" s="247">
        <v>7670.03</v>
      </c>
      <c r="E278" s="247">
        <v>7882.34</v>
      </c>
      <c r="F278" s="247">
        <f>E278-D278</f>
        <v>212.3100000000004</v>
      </c>
      <c r="G278" s="153">
        <v>6000</v>
      </c>
      <c r="H278" s="244">
        <f>(F278*G278)</f>
        <v>1273860.0000000023</v>
      </c>
      <c r="I278" s="244"/>
      <c r="J278" s="244">
        <f>H278+I278</f>
        <v>1273860.0000000023</v>
      </c>
      <c r="K278" s="153"/>
      <c r="L278" s="735">
        <v>1862686.598</v>
      </c>
      <c r="M278" s="736">
        <f t="shared" si="19"/>
        <v>0.68388316175558928</v>
      </c>
      <c r="N278" s="379" t="s">
        <v>1629</v>
      </c>
      <c r="O278" s="379"/>
      <c r="P278" s="379">
        <v>548279.29</v>
      </c>
      <c r="Q278" s="379"/>
    </row>
    <row r="279" spans="1:17" customFormat="1">
      <c r="A279" s="153"/>
      <c r="B279" s="238"/>
      <c r="C279" s="238"/>
      <c r="D279" s="247"/>
      <c r="E279" s="247"/>
      <c r="F279" s="247"/>
      <c r="G279" s="153"/>
      <c r="H279" s="244"/>
      <c r="I279" s="244"/>
      <c r="J279" s="349">
        <f>SUM(J275:J278)</f>
        <v>2720544.9240000024</v>
      </c>
      <c r="K279" s="743">
        <f>(J273-J279)/J273</f>
        <v>2.6304298095038742E-3</v>
      </c>
      <c r="L279" s="735"/>
      <c r="M279" s="736" t="e">
        <f t="shared" si="19"/>
        <v>#DIV/0!</v>
      </c>
      <c r="N279" s="379"/>
      <c r="O279" s="379"/>
      <c r="P279" s="379"/>
      <c r="Q279" s="379"/>
    </row>
    <row r="280" spans="1:17" customFormat="1">
      <c r="A280" s="95">
        <v>3</v>
      </c>
      <c r="B280" s="741" t="s">
        <v>1630</v>
      </c>
      <c r="C280" s="238"/>
      <c r="D280" s="247"/>
      <c r="E280" s="247"/>
      <c r="F280" s="247"/>
      <c r="G280" s="153"/>
      <c r="H280" s="244"/>
      <c r="I280" s="244"/>
      <c r="J280" s="244"/>
      <c r="K280" s="244"/>
      <c r="L280" s="735">
        <v>479700</v>
      </c>
      <c r="M280" s="736">
        <f t="shared" si="19"/>
        <v>0</v>
      </c>
      <c r="N280" s="379"/>
      <c r="O280" s="379"/>
      <c r="P280" s="379"/>
      <c r="Q280" s="379"/>
    </row>
    <row r="281" spans="1:17" customFormat="1">
      <c r="A281" s="153">
        <v>1</v>
      </c>
      <c r="B281" s="734" t="s">
        <v>1631</v>
      </c>
      <c r="C281" s="14" t="s">
        <v>1632</v>
      </c>
      <c r="D281" s="247">
        <v>218742.5</v>
      </c>
      <c r="E281" s="247">
        <v>223480</v>
      </c>
      <c r="F281" s="247">
        <f>E281-D281</f>
        <v>4737.5</v>
      </c>
      <c r="G281" s="153">
        <v>120</v>
      </c>
      <c r="H281" s="244">
        <f>(F281*G281)</f>
        <v>568500</v>
      </c>
      <c r="I281" s="244"/>
      <c r="J281" s="244">
        <f>H281+I281</f>
        <v>568500</v>
      </c>
      <c r="K281" s="153"/>
      <c r="L281" s="735">
        <v>840720</v>
      </c>
      <c r="M281" s="736">
        <f t="shared" si="19"/>
        <v>0.67620610904938627</v>
      </c>
      <c r="N281" s="379"/>
      <c r="O281" s="379"/>
      <c r="P281" s="379"/>
      <c r="Q281" s="379"/>
    </row>
    <row r="282" spans="1:17" customFormat="1">
      <c r="A282" s="153">
        <v>2</v>
      </c>
      <c r="B282" s="734" t="s">
        <v>1633</v>
      </c>
      <c r="C282" s="238" t="s">
        <v>1634</v>
      </c>
      <c r="D282" s="247">
        <v>49600</v>
      </c>
      <c r="E282" s="247">
        <v>52387.1</v>
      </c>
      <c r="F282" s="247">
        <f>E282-D282</f>
        <v>2787.0999999999985</v>
      </c>
      <c r="G282" s="153">
        <v>600</v>
      </c>
      <c r="H282" s="244">
        <f>(F282*G282)</f>
        <v>1672259.9999999991</v>
      </c>
      <c r="I282" s="244"/>
      <c r="J282" s="244">
        <f>H282+I282</f>
        <v>1672259.9999999991</v>
      </c>
      <c r="K282" s="153"/>
      <c r="L282" s="735">
        <v>1482600</v>
      </c>
      <c r="M282" s="736">
        <f t="shared" si="19"/>
        <v>1.1279239174423303</v>
      </c>
      <c r="N282" s="379"/>
      <c r="O282" s="379"/>
      <c r="P282" s="379"/>
      <c r="Q282" s="379">
        <f>40*33*0.98*30*1.732</f>
        <v>67215.456000000006</v>
      </c>
    </row>
    <row r="283" spans="1:17" customFormat="1">
      <c r="A283" s="161">
        <v>3</v>
      </c>
      <c r="B283" s="734" t="s">
        <v>1635</v>
      </c>
      <c r="C283" s="734" t="s">
        <v>1636</v>
      </c>
      <c r="D283" s="247">
        <v>427238.5</v>
      </c>
      <c r="E283" s="247">
        <v>429447</v>
      </c>
      <c r="F283" s="247">
        <f>E283-D283</f>
        <v>2208.5</v>
      </c>
      <c r="G283" s="153">
        <v>120</v>
      </c>
      <c r="H283" s="244">
        <f>(F283*G283)</f>
        <v>265020</v>
      </c>
      <c r="I283" s="244"/>
      <c r="J283" s="749">
        <f>H283+I283</f>
        <v>265020</v>
      </c>
      <c r="K283" s="161"/>
      <c r="L283" s="735">
        <v>465780</v>
      </c>
      <c r="M283" s="736">
        <f t="shared" si="19"/>
        <v>0.56898106402164117</v>
      </c>
      <c r="N283" s="379"/>
      <c r="O283" s="379"/>
      <c r="P283" s="379"/>
      <c r="Q283" s="379">
        <f>Q282/1000</f>
        <v>67.215456000000003</v>
      </c>
    </row>
    <row r="284" spans="1:17" customFormat="1">
      <c r="A284" s="153"/>
      <c r="B284" s="751" t="s">
        <v>1598</v>
      </c>
      <c r="C284" s="752" t="s">
        <v>1637</v>
      </c>
      <c r="D284" s="247">
        <v>222.1</v>
      </c>
      <c r="E284" s="247">
        <v>222.1</v>
      </c>
      <c r="F284" s="247">
        <f>E284-D284</f>
        <v>0</v>
      </c>
      <c r="G284" s="153">
        <v>20000</v>
      </c>
      <c r="H284" s="244">
        <f>(F284*G284)</f>
        <v>0</v>
      </c>
      <c r="I284" s="244">
        <v>2608000</v>
      </c>
      <c r="J284" s="749">
        <f>H284+I284</f>
        <v>2608000</v>
      </c>
      <c r="K284" s="153"/>
      <c r="L284" s="735">
        <v>3008000</v>
      </c>
      <c r="M284" s="736">
        <f t="shared" si="19"/>
        <v>0.86702127659574468</v>
      </c>
      <c r="N284" s="379"/>
      <c r="O284" s="379"/>
      <c r="P284" s="379"/>
      <c r="Q284" s="379"/>
    </row>
    <row r="285" spans="1:17" customFormat="1">
      <c r="A285" s="153"/>
      <c r="B285" s="734" t="s">
        <v>1364</v>
      </c>
      <c r="C285" s="238"/>
      <c r="D285" s="247"/>
      <c r="E285" s="247"/>
      <c r="F285" s="247"/>
      <c r="G285" s="153"/>
      <c r="H285" s="244"/>
      <c r="I285" s="244"/>
      <c r="J285" s="349">
        <f>(J282+J281+J284)-J283</f>
        <v>4583739.9999999991</v>
      </c>
      <c r="K285" s="244"/>
      <c r="L285" s="735">
        <v>4865540</v>
      </c>
      <c r="M285" s="736">
        <f t="shared" si="19"/>
        <v>0.94208248210887158</v>
      </c>
      <c r="N285" s="379"/>
      <c r="O285" s="379"/>
      <c r="P285" s="379"/>
      <c r="Q285" s="379"/>
    </row>
    <row r="286" spans="1:17" customFormat="1">
      <c r="A286" s="153">
        <v>9</v>
      </c>
      <c r="B286" s="734" t="s">
        <v>162</v>
      </c>
      <c r="C286" s="14" t="s">
        <v>1638</v>
      </c>
      <c r="D286" s="247">
        <v>2131.5300000000002</v>
      </c>
      <c r="E286" s="247">
        <v>2245.44</v>
      </c>
      <c r="F286" s="247">
        <f t="shared" ref="F286:F292" si="20">E286-D286</f>
        <v>113.90999999999985</v>
      </c>
      <c r="G286" s="153">
        <v>6000</v>
      </c>
      <c r="H286" s="244">
        <f t="shared" ref="H286:H292" si="21">(F286*G286)</f>
        <v>683459.99999999907</v>
      </c>
      <c r="I286" s="244"/>
      <c r="J286" s="244">
        <f>H286+I286</f>
        <v>683459.99999999907</v>
      </c>
      <c r="K286" s="153"/>
      <c r="L286" s="735">
        <v>744300.00000000105</v>
      </c>
      <c r="M286" s="736">
        <f t="shared" si="19"/>
        <v>0.91825876662635775</v>
      </c>
      <c r="N286" s="379"/>
      <c r="O286" s="379"/>
      <c r="P286" s="379"/>
      <c r="Q286" s="379"/>
    </row>
    <row r="287" spans="1:17" customFormat="1">
      <c r="A287" s="153">
        <v>10</v>
      </c>
      <c r="B287" s="734" t="s">
        <v>1639</v>
      </c>
      <c r="C287" s="238" t="s">
        <v>1640</v>
      </c>
      <c r="D287" s="247">
        <v>8101.7</v>
      </c>
      <c r="E287" s="247">
        <v>8859.5</v>
      </c>
      <c r="F287" s="247">
        <f t="shared" si="20"/>
        <v>757.80000000000018</v>
      </c>
      <c r="G287" s="153">
        <v>2000</v>
      </c>
      <c r="H287" s="244">
        <f t="shared" si="21"/>
        <v>1515600.0000000005</v>
      </c>
      <c r="I287" s="244"/>
      <c r="J287" s="244">
        <f>H287+I287</f>
        <v>1515600.0000000005</v>
      </c>
      <c r="K287" s="787"/>
      <c r="L287" s="735">
        <v>1648000</v>
      </c>
      <c r="M287" s="736">
        <f t="shared" si="19"/>
        <v>0.91966019417475753</v>
      </c>
      <c r="N287" s="379">
        <f>N288*H289</f>
        <v>5351550.0000000009</v>
      </c>
      <c r="O287" s="379"/>
      <c r="P287" s="379"/>
      <c r="Q287" s="379"/>
    </row>
    <row r="288" spans="1:17" customFormat="1">
      <c r="A288" s="153">
        <v>11</v>
      </c>
      <c r="B288" s="734" t="s">
        <v>1641</v>
      </c>
      <c r="C288" s="238" t="s">
        <v>1642</v>
      </c>
      <c r="D288" s="247">
        <v>102706.3</v>
      </c>
      <c r="E288" s="247">
        <v>102706.3</v>
      </c>
      <c r="F288" s="247">
        <f t="shared" si="20"/>
        <v>0</v>
      </c>
      <c r="G288" s="153">
        <v>2000</v>
      </c>
      <c r="H288" s="244">
        <f t="shared" si="21"/>
        <v>0</v>
      </c>
      <c r="I288" s="244"/>
      <c r="J288" s="244">
        <f>H288+I288</f>
        <v>0</v>
      </c>
      <c r="K288" s="153"/>
      <c r="L288" s="735">
        <v>0</v>
      </c>
      <c r="M288" s="736" t="e">
        <f t="shared" si="19"/>
        <v>#DIV/0!</v>
      </c>
      <c r="N288" s="379">
        <f>82852.3-82844.8</f>
        <v>7.5</v>
      </c>
      <c r="O288" s="379"/>
      <c r="P288" s="379"/>
      <c r="Q288" s="379"/>
    </row>
    <row r="289" spans="1:15" customFormat="1">
      <c r="A289" s="788">
        <v>12</v>
      </c>
      <c r="B289" s="789" t="s">
        <v>979</v>
      </c>
      <c r="C289" s="790" t="s">
        <v>1643</v>
      </c>
      <c r="D289" s="791">
        <v>29116.6</v>
      </c>
      <c r="E289" s="791">
        <v>32684.3</v>
      </c>
      <c r="F289" s="791">
        <f t="shared" si="20"/>
        <v>3567.7000000000007</v>
      </c>
      <c r="G289" s="788">
        <v>200</v>
      </c>
      <c r="H289" s="792">
        <f t="shared" si="21"/>
        <v>713540.00000000012</v>
      </c>
      <c r="I289" s="792"/>
      <c r="J289" s="792">
        <f>H289+I289</f>
        <v>713540.00000000012</v>
      </c>
      <c r="K289" s="788"/>
      <c r="L289" s="735">
        <v>773679.99999999953</v>
      </c>
      <c r="M289" s="736">
        <f t="shared" si="19"/>
        <v>0.92226760417743836</v>
      </c>
      <c r="N289" s="379">
        <f>L288*M287</f>
        <v>0</v>
      </c>
      <c r="O289" s="379" t="s">
        <v>1643</v>
      </c>
    </row>
    <row r="290" spans="1:15" customFormat="1">
      <c r="A290" s="153">
        <v>13</v>
      </c>
      <c r="B290" s="734" t="s">
        <v>1644</v>
      </c>
      <c r="C290" s="238" t="s">
        <v>1645</v>
      </c>
      <c r="D290" s="247">
        <v>46010.5</v>
      </c>
      <c r="E290" s="247">
        <v>46193.3</v>
      </c>
      <c r="F290" s="247">
        <f t="shared" si="20"/>
        <v>182.80000000000291</v>
      </c>
      <c r="G290" s="153">
        <v>2000</v>
      </c>
      <c r="H290" s="244">
        <f t="shared" si="21"/>
        <v>365600.00000000582</v>
      </c>
      <c r="I290" s="244"/>
      <c r="J290" s="244">
        <f>H290+I290</f>
        <v>365600.00000000582</v>
      </c>
      <c r="K290" s="153"/>
      <c r="L290" s="735">
        <v>382399.99999999418</v>
      </c>
      <c r="M290" s="736">
        <f t="shared" si="19"/>
        <v>0.95606694560672434</v>
      </c>
      <c r="N290" s="379">
        <f>4000/30</f>
        <v>133.33333333333334</v>
      </c>
      <c r="O290" s="379"/>
    </row>
    <row r="291" spans="1:15" customFormat="1">
      <c r="A291" s="153">
        <v>14</v>
      </c>
      <c r="B291" s="734" t="s">
        <v>1323</v>
      </c>
      <c r="C291" s="238" t="s">
        <v>1646</v>
      </c>
      <c r="D291" s="247">
        <v>112740</v>
      </c>
      <c r="E291" s="247">
        <v>113192.8</v>
      </c>
      <c r="F291" s="247">
        <f t="shared" si="20"/>
        <v>452.80000000000291</v>
      </c>
      <c r="G291" s="153">
        <v>2000</v>
      </c>
      <c r="H291" s="244">
        <f t="shared" si="21"/>
        <v>905600.00000000582</v>
      </c>
      <c r="I291" s="244"/>
      <c r="J291" s="244">
        <f>SUM(H291:I291)</f>
        <v>905600.00000000582</v>
      </c>
      <c r="K291" s="743"/>
      <c r="L291" s="735">
        <v>966399.99999999418</v>
      </c>
      <c r="M291" s="736">
        <f t="shared" si="19"/>
        <v>0.93708609271524346</v>
      </c>
      <c r="N291" s="379"/>
      <c r="O291" s="379">
        <v>7500</v>
      </c>
    </row>
    <row r="292" spans="1:15" customFormat="1">
      <c r="A292" s="153">
        <v>15</v>
      </c>
      <c r="B292" s="734" t="s">
        <v>1647</v>
      </c>
      <c r="C292" s="238" t="s">
        <v>1648</v>
      </c>
      <c r="D292" s="247">
        <v>26425.200000000001</v>
      </c>
      <c r="E292" s="247">
        <v>26465.3</v>
      </c>
      <c r="F292" s="247">
        <f t="shared" si="20"/>
        <v>40.099999999998545</v>
      </c>
      <c r="G292" s="153">
        <v>2000</v>
      </c>
      <c r="H292" s="244">
        <f t="shared" si="21"/>
        <v>80199.99999999709</v>
      </c>
      <c r="I292" s="244">
        <v>267439.00000000291</v>
      </c>
      <c r="J292" s="244">
        <f>H292+I292</f>
        <v>347639</v>
      </c>
      <c r="K292" s="153"/>
      <c r="L292" s="735">
        <v>325241.21189999999</v>
      </c>
      <c r="M292" s="736">
        <f t="shared" si="19"/>
        <v>1.0688651600120298</v>
      </c>
      <c r="N292" s="379">
        <v>189799.80059999999</v>
      </c>
      <c r="O292" s="765">
        <f>N292-J292</f>
        <v>-157839.19940000001</v>
      </c>
    </row>
    <row r="293" spans="1:15" customFormat="1">
      <c r="A293" s="153"/>
      <c r="B293" s="238"/>
      <c r="C293" s="238"/>
      <c r="D293" s="247"/>
      <c r="E293" s="247"/>
      <c r="F293" s="247"/>
      <c r="G293" s="153"/>
      <c r="H293" s="244"/>
      <c r="I293" s="244"/>
      <c r="J293" s="349">
        <f>SUM(J286:J292)</f>
        <v>4531439.0000000112</v>
      </c>
      <c r="K293" s="743">
        <f>(J285-J293)/J285</f>
        <v>1.141011488434944E-2</v>
      </c>
      <c r="L293" s="735">
        <v>4840021.2118999884</v>
      </c>
      <c r="M293" s="736">
        <f t="shared" si="19"/>
        <v>0.93624362406898609</v>
      </c>
      <c r="N293" s="379"/>
      <c r="O293" s="379"/>
    </row>
    <row r="294" spans="1:15" customFormat="1">
      <c r="A294" s="95">
        <v>4</v>
      </c>
      <c r="B294" s="741" t="s">
        <v>1649</v>
      </c>
      <c r="C294" s="238"/>
      <c r="D294" s="247"/>
      <c r="E294" s="247"/>
      <c r="F294" s="247"/>
      <c r="G294" s="153"/>
      <c r="H294" s="244"/>
      <c r="I294" s="244"/>
      <c r="J294" s="244"/>
      <c r="K294" s="153"/>
      <c r="L294" s="735">
        <v>2290000</v>
      </c>
      <c r="M294" s="736">
        <f t="shared" si="19"/>
        <v>0</v>
      </c>
      <c r="N294" s="379"/>
      <c r="O294" s="379"/>
    </row>
    <row r="295" spans="1:15" customFormat="1">
      <c r="A295" s="153">
        <v>1</v>
      </c>
      <c r="B295" s="734" t="s">
        <v>1631</v>
      </c>
      <c r="C295" s="238" t="s">
        <v>1650</v>
      </c>
      <c r="D295" s="247">
        <v>273455.2</v>
      </c>
      <c r="E295" s="247">
        <v>273455.2</v>
      </c>
      <c r="F295" s="247">
        <f>E295-D295</f>
        <v>0</v>
      </c>
      <c r="G295" s="153">
        <v>1000</v>
      </c>
      <c r="H295" s="244">
        <f>(F295*G295)</f>
        <v>0</v>
      </c>
      <c r="I295" s="244">
        <v>3224000</v>
      </c>
      <c r="J295" s="244">
        <f>H295+I295</f>
        <v>3224000</v>
      </c>
      <c r="K295" s="153"/>
      <c r="L295" s="735">
        <v>2290000</v>
      </c>
      <c r="M295" s="736">
        <f t="shared" si="19"/>
        <v>1.4078602620087337</v>
      </c>
      <c r="N295" s="379"/>
      <c r="O295" s="379"/>
    </row>
    <row r="296" spans="1:15" customFormat="1">
      <c r="A296" s="153"/>
      <c r="B296" s="734" t="s">
        <v>1363</v>
      </c>
      <c r="C296" s="238"/>
      <c r="D296" s="793"/>
      <c r="E296" s="793"/>
      <c r="F296" s="247"/>
      <c r="G296" s="153"/>
      <c r="H296" s="244"/>
      <c r="I296" s="244"/>
      <c r="J296" s="244">
        <f>SUM(J295)</f>
        <v>3224000</v>
      </c>
      <c r="K296" s="153"/>
      <c r="L296" s="735"/>
      <c r="M296" s="736" t="e">
        <f t="shared" si="19"/>
        <v>#DIV/0!</v>
      </c>
      <c r="N296" s="379"/>
      <c r="O296" s="379"/>
    </row>
    <row r="297" spans="1:15" customFormat="1">
      <c r="A297" s="153"/>
      <c r="B297" s="737" t="s">
        <v>1364</v>
      </c>
      <c r="C297" s="238"/>
      <c r="D297" s="247"/>
      <c r="E297" s="247"/>
      <c r="F297" s="247"/>
      <c r="G297" s="153"/>
      <c r="H297" s="244"/>
      <c r="I297" s="244"/>
      <c r="J297" s="244"/>
      <c r="K297" s="153"/>
      <c r="L297" s="735">
        <v>458000</v>
      </c>
      <c r="M297" s="736">
        <f t="shared" si="19"/>
        <v>0</v>
      </c>
      <c r="N297" s="379"/>
      <c r="O297" s="379"/>
    </row>
    <row r="298" spans="1:15" customFormat="1" ht="14.45" customHeight="1">
      <c r="A298" s="153">
        <v>16</v>
      </c>
      <c r="B298" s="734" t="s">
        <v>1651</v>
      </c>
      <c r="C298" s="238" t="s">
        <v>1652</v>
      </c>
      <c r="D298" s="247">
        <v>12132.22</v>
      </c>
      <c r="E298" s="247">
        <v>12215.51</v>
      </c>
      <c r="F298" s="247">
        <f>E298-D298</f>
        <v>83.290000000000873</v>
      </c>
      <c r="G298" s="153">
        <v>8000</v>
      </c>
      <c r="H298" s="244">
        <f>(F298*G298)</f>
        <v>666320.00000000698</v>
      </c>
      <c r="I298" s="244"/>
      <c r="J298" s="244">
        <f>H298+I298</f>
        <v>666320.00000000698</v>
      </c>
      <c r="K298" s="743" t="s">
        <v>15</v>
      </c>
      <c r="L298" s="735">
        <v>325799.99999999598</v>
      </c>
      <c r="M298" s="736">
        <f t="shared" si="19"/>
        <v>2.0451810926949516</v>
      </c>
      <c r="N298" s="379"/>
      <c r="O298" s="379"/>
    </row>
    <row r="299" spans="1:15" customFormat="1">
      <c r="A299" s="153">
        <v>17</v>
      </c>
      <c r="B299" s="734" t="s">
        <v>1653</v>
      </c>
      <c r="C299" s="238" t="s">
        <v>1654</v>
      </c>
      <c r="D299" s="247">
        <v>9365.5</v>
      </c>
      <c r="E299" s="247">
        <v>9405.14</v>
      </c>
      <c r="F299" s="247">
        <f>E299-D299</f>
        <v>39.639999999999418</v>
      </c>
      <c r="G299" s="153">
        <v>12000</v>
      </c>
      <c r="H299" s="244">
        <f>(F299*G299)</f>
        <v>475679.99999999302</v>
      </c>
      <c r="I299" s="244"/>
      <c r="J299" s="244">
        <f>H299+I299</f>
        <v>475679.99999999302</v>
      </c>
      <c r="K299" s="743"/>
      <c r="L299" s="735">
        <v>1115730</v>
      </c>
      <c r="M299" s="736">
        <f t="shared" si="19"/>
        <v>0.42633970584280517</v>
      </c>
      <c r="N299" s="379"/>
      <c r="O299" s="379"/>
    </row>
    <row r="300" spans="1:15" customFormat="1">
      <c r="A300" s="153">
        <v>18</v>
      </c>
      <c r="B300" s="734" t="s">
        <v>1655</v>
      </c>
      <c r="C300" s="238" t="s">
        <v>1656</v>
      </c>
      <c r="D300" s="247">
        <v>1585898</v>
      </c>
      <c r="E300" s="247">
        <v>1611587.5</v>
      </c>
      <c r="F300" s="247">
        <f>E300-D300</f>
        <v>25689.5</v>
      </c>
      <c r="G300" s="153">
        <v>60</v>
      </c>
      <c r="H300" s="244">
        <f>(F300*G300)</f>
        <v>1541370</v>
      </c>
      <c r="I300" s="244"/>
      <c r="J300" s="244">
        <f>H300+I300</f>
        <v>1541370</v>
      </c>
      <c r="K300" s="743"/>
      <c r="L300" s="735">
        <v>354199.99999999697</v>
      </c>
      <c r="M300" s="736">
        <f t="shared" si="19"/>
        <v>4.3516939582157343</v>
      </c>
      <c r="N300" s="379"/>
      <c r="O300" s="379"/>
    </row>
    <row r="301" spans="1:15" customFormat="1">
      <c r="A301" s="153">
        <v>19</v>
      </c>
      <c r="B301" s="734" t="s">
        <v>1657</v>
      </c>
      <c r="C301" s="238" t="s">
        <v>1658</v>
      </c>
      <c r="D301" s="247">
        <v>54426.9</v>
      </c>
      <c r="E301" s="247">
        <v>54683.5</v>
      </c>
      <c r="F301" s="247">
        <f>E301-D301</f>
        <v>256.59999999999854</v>
      </c>
      <c r="G301" s="153">
        <v>2000</v>
      </c>
      <c r="H301" s="244">
        <f>(F301*G301)</f>
        <v>513199.99999999709</v>
      </c>
      <c r="I301" s="244"/>
      <c r="J301" s="244">
        <f>H301+I301</f>
        <v>513199.99999999709</v>
      </c>
      <c r="K301" s="743"/>
      <c r="L301" s="735">
        <v>2253729.9999999902</v>
      </c>
      <c r="M301" s="736">
        <f t="shared" si="19"/>
        <v>0.22771139400016829</v>
      </c>
      <c r="N301" s="379"/>
      <c r="O301" s="379"/>
    </row>
    <row r="302" spans="1:15" customFormat="1">
      <c r="A302" s="153"/>
      <c r="B302" s="238"/>
      <c r="C302" s="238"/>
      <c r="D302" s="247"/>
      <c r="E302" s="247"/>
      <c r="F302" s="247"/>
      <c r="G302" s="153"/>
      <c r="H302" s="244"/>
      <c r="I302" s="244"/>
      <c r="J302" s="349">
        <f>SUM(J298:J301)</f>
        <v>3196569.9999999972</v>
      </c>
      <c r="K302" s="743">
        <f>(J296-J302)/J296</f>
        <v>8.5080645161298984E-3</v>
      </c>
      <c r="L302" s="735"/>
      <c r="M302" s="736" t="e">
        <f t="shared" si="19"/>
        <v>#DIV/0!</v>
      </c>
      <c r="N302" s="379"/>
      <c r="O302" s="379"/>
    </row>
    <row r="303" spans="1:15" customFormat="1">
      <c r="A303" s="95">
        <v>5</v>
      </c>
      <c r="B303" s="741" t="s">
        <v>1659</v>
      </c>
      <c r="C303" s="238"/>
      <c r="D303" s="247"/>
      <c r="E303" s="247"/>
      <c r="F303" s="247"/>
      <c r="G303" s="153"/>
      <c r="H303" s="244"/>
      <c r="I303" s="244"/>
      <c r="J303" s="244"/>
      <c r="K303" s="153"/>
      <c r="L303" s="794">
        <v>1285280</v>
      </c>
      <c r="M303" s="736">
        <f t="shared" si="19"/>
        <v>0</v>
      </c>
      <c r="N303" s="379"/>
      <c r="O303" s="379"/>
    </row>
    <row r="304" spans="1:15" s="796" customFormat="1">
      <c r="A304" s="161">
        <v>1</v>
      </c>
      <c r="B304" s="734" t="s">
        <v>1660</v>
      </c>
      <c r="C304" s="734" t="s">
        <v>1661</v>
      </c>
      <c r="D304" s="795">
        <v>2631.66</v>
      </c>
      <c r="E304" s="795">
        <v>2710.27</v>
      </c>
      <c r="F304" s="795">
        <f>E304-D304</f>
        <v>78.610000000000127</v>
      </c>
      <c r="G304" s="161">
        <v>9000</v>
      </c>
      <c r="H304" s="749">
        <f>(F304*G304)</f>
        <v>707490.00000000116</v>
      </c>
      <c r="I304" s="749">
        <v>1107000</v>
      </c>
      <c r="J304" s="749">
        <f>H304+I304</f>
        <v>1814490.0000000012</v>
      </c>
      <c r="K304" s="161"/>
      <c r="L304" s="735">
        <v>1965479.9999999981</v>
      </c>
      <c r="M304" s="736">
        <f t="shared" si="19"/>
        <v>0.9231790707613422</v>
      </c>
    </row>
    <row r="305" spans="1:21" customFormat="1">
      <c r="A305" s="153"/>
      <c r="B305" s="734" t="s">
        <v>1363</v>
      </c>
      <c r="C305" s="238"/>
      <c r="D305" s="247"/>
      <c r="E305" s="247"/>
      <c r="F305" s="247"/>
      <c r="G305" s="153"/>
      <c r="H305" s="244"/>
      <c r="I305" s="244"/>
      <c r="J305" s="244">
        <f>SUM(J304:J304)</f>
        <v>1814490.0000000012</v>
      </c>
      <c r="K305" s="153"/>
      <c r="L305" s="735">
        <v>1965479.9999999981</v>
      </c>
      <c r="M305" s="736">
        <f t="shared" si="19"/>
        <v>0.9231790707613422</v>
      </c>
      <c r="N305" s="379">
        <f>200/3</f>
        <v>66.666666666666671</v>
      </c>
      <c r="O305" s="379"/>
      <c r="P305" s="379"/>
      <c r="Q305" s="379"/>
      <c r="R305" s="379"/>
      <c r="S305" s="379"/>
      <c r="T305" s="379"/>
      <c r="U305" s="379"/>
    </row>
    <row r="306" spans="1:21" customFormat="1">
      <c r="A306" s="153"/>
      <c r="B306" s="733" t="s">
        <v>1364</v>
      </c>
      <c r="C306" s="238"/>
      <c r="D306" s="247"/>
      <c r="E306" s="247"/>
      <c r="F306" s="247"/>
      <c r="G306" s="153"/>
      <c r="H306" s="244"/>
      <c r="I306" s="244"/>
      <c r="J306" s="244"/>
      <c r="K306" s="743"/>
      <c r="L306" s="735"/>
      <c r="M306" s="736" t="e">
        <f t="shared" si="19"/>
        <v>#DIV/0!</v>
      </c>
      <c r="N306" s="379"/>
      <c r="O306" s="379"/>
      <c r="P306" s="379"/>
      <c r="Q306" s="379"/>
      <c r="R306" s="379"/>
      <c r="S306" s="379"/>
      <c r="T306" s="379"/>
      <c r="U306" s="379"/>
    </row>
    <row r="307" spans="1:21" customFormat="1">
      <c r="A307" s="153">
        <v>20</v>
      </c>
      <c r="B307" s="238" t="s">
        <v>1662</v>
      </c>
      <c r="C307" s="238" t="s">
        <v>1663</v>
      </c>
      <c r="D307" s="247">
        <v>4301.3999999999996</v>
      </c>
      <c r="E307" s="247">
        <v>4679.1000000000004</v>
      </c>
      <c r="F307" s="247">
        <f t="shared" ref="F307:F312" si="22">E307-D307</f>
        <v>377.70000000000073</v>
      </c>
      <c r="G307" s="153">
        <v>100</v>
      </c>
      <c r="H307" s="244">
        <f t="shared" ref="H307:H312" si="23">(F307*G307)</f>
        <v>37770.000000000073</v>
      </c>
      <c r="I307" s="244"/>
      <c r="J307" s="244">
        <f t="shared" ref="J307:J312" si="24">H307+I307</f>
        <v>37770.000000000073</v>
      </c>
      <c r="K307" s="743"/>
      <c r="L307" s="735">
        <v>29329.999999999971</v>
      </c>
      <c r="M307" s="736">
        <f t="shared" si="19"/>
        <v>1.2877599727241769</v>
      </c>
      <c r="N307" s="379" t="s">
        <v>1664</v>
      </c>
      <c r="O307" s="379"/>
      <c r="P307" s="379">
        <v>42849.86</v>
      </c>
      <c r="Q307" s="379"/>
      <c r="R307" s="379"/>
      <c r="S307" s="379"/>
      <c r="T307" s="379"/>
      <c r="U307" s="379"/>
    </row>
    <row r="308" spans="1:21" customFormat="1">
      <c r="A308" s="153">
        <v>21</v>
      </c>
      <c r="B308" s="797" t="s">
        <v>1665</v>
      </c>
      <c r="C308" s="797" t="s">
        <v>1666</v>
      </c>
      <c r="D308" s="798">
        <v>31282.799999999999</v>
      </c>
      <c r="E308" s="798">
        <v>31282.799999999999</v>
      </c>
      <c r="F308" s="799">
        <f t="shared" si="22"/>
        <v>0</v>
      </c>
      <c r="G308" s="800">
        <v>2000</v>
      </c>
      <c r="H308" s="800">
        <f t="shared" si="23"/>
        <v>0</v>
      </c>
      <c r="I308" s="800">
        <v>353678.71110000001</v>
      </c>
      <c r="J308" s="800">
        <f t="shared" si="24"/>
        <v>353678.71110000001</v>
      </c>
      <c r="K308" s="743"/>
      <c r="L308" s="735">
        <v>373678.71110000001</v>
      </c>
      <c r="M308" s="736">
        <f t="shared" si="19"/>
        <v>0.94647808556948321</v>
      </c>
      <c r="N308" s="379" t="s">
        <v>1667</v>
      </c>
      <c r="O308" s="379"/>
      <c r="P308" s="379">
        <v>212759.78</v>
      </c>
      <c r="Q308" s="379">
        <f>P308/2</f>
        <v>106379.89</v>
      </c>
      <c r="R308" s="379">
        <f>51+26</f>
        <v>77</v>
      </c>
      <c r="S308" s="379">
        <f>R308/2</f>
        <v>38.5</v>
      </c>
      <c r="T308" s="379">
        <f>33+15</f>
        <v>48</v>
      </c>
      <c r="U308" s="379">
        <f>T308/2</f>
        <v>24</v>
      </c>
    </row>
    <row r="309" spans="1:21" customFormat="1">
      <c r="A309" s="153">
        <v>22</v>
      </c>
      <c r="B309" s="238" t="s">
        <v>1668</v>
      </c>
      <c r="C309" s="238" t="s">
        <v>1669</v>
      </c>
      <c r="D309" s="247">
        <v>28311.9</v>
      </c>
      <c r="E309" s="247">
        <v>28765.9</v>
      </c>
      <c r="F309" s="247">
        <f t="shared" si="22"/>
        <v>454</v>
      </c>
      <c r="G309" s="153">
        <v>1333.33</v>
      </c>
      <c r="H309" s="244">
        <f t="shared" si="23"/>
        <v>605331.81999999995</v>
      </c>
      <c r="I309" s="244"/>
      <c r="J309" s="244">
        <f t="shared" si="24"/>
        <v>605331.81999999995</v>
      </c>
      <c r="K309" s="743"/>
      <c r="L309" s="735">
        <v>673731.64900000382</v>
      </c>
      <c r="M309" s="736">
        <f t="shared" si="19"/>
        <v>0.89847615278052129</v>
      </c>
      <c r="N309" s="379" t="s">
        <v>1670</v>
      </c>
      <c r="O309" s="379"/>
      <c r="P309" s="379">
        <v>408960.48</v>
      </c>
      <c r="Q309" s="379">
        <f>P309/2</f>
        <v>204480.24</v>
      </c>
      <c r="R309" s="379">
        <f>51+25</f>
        <v>76</v>
      </c>
      <c r="S309" s="379">
        <f>R309/2</f>
        <v>38</v>
      </c>
      <c r="T309" s="379">
        <f>31+16</f>
        <v>47</v>
      </c>
      <c r="U309" s="379">
        <f>T309/2</f>
        <v>23.5</v>
      </c>
    </row>
    <row r="310" spans="1:21" customFormat="1">
      <c r="A310" s="153">
        <v>23</v>
      </c>
      <c r="B310" s="734" t="s">
        <v>1671</v>
      </c>
      <c r="C310" s="238">
        <v>3300078</v>
      </c>
      <c r="D310" s="795">
        <v>820361.2</v>
      </c>
      <c r="E310" s="795">
        <v>829875.9</v>
      </c>
      <c r="F310" s="247">
        <f t="shared" si="22"/>
        <v>9514.7000000000698</v>
      </c>
      <c r="G310" s="247">
        <v>6.6660000000000004</v>
      </c>
      <c r="H310" s="244">
        <f t="shared" si="23"/>
        <v>63424.990200000466</v>
      </c>
      <c r="I310" s="244"/>
      <c r="J310" s="244">
        <f t="shared" si="24"/>
        <v>63424.990200000466</v>
      </c>
      <c r="K310" s="743"/>
      <c r="L310" s="735">
        <v>63866.946000000004</v>
      </c>
      <c r="M310" s="736">
        <f t="shared" si="19"/>
        <v>0.99308005427409141</v>
      </c>
      <c r="N310" s="379" t="s">
        <v>1672</v>
      </c>
      <c r="O310" s="379"/>
      <c r="P310" s="379">
        <v>49019.53</v>
      </c>
      <c r="Q310" s="379">
        <f>P310/2</f>
        <v>24509.764999999999</v>
      </c>
      <c r="R310" s="379">
        <f>39+27</f>
        <v>66</v>
      </c>
      <c r="S310" s="379">
        <f>R310/2</f>
        <v>33</v>
      </c>
      <c r="T310" s="379">
        <f>26+16</f>
        <v>42</v>
      </c>
      <c r="U310" s="379">
        <f>T310/2</f>
        <v>21</v>
      </c>
    </row>
    <row r="311" spans="1:21" customFormat="1">
      <c r="A311" s="153">
        <v>24</v>
      </c>
      <c r="B311" s="238" t="s">
        <v>1132</v>
      </c>
      <c r="C311" s="238" t="s">
        <v>1673</v>
      </c>
      <c r="D311" s="795">
        <v>17441.599999999999</v>
      </c>
      <c r="E311" s="795">
        <v>19883.7</v>
      </c>
      <c r="F311" s="247">
        <f t="shared" si="22"/>
        <v>2442.1000000000022</v>
      </c>
      <c r="G311" s="153">
        <v>100</v>
      </c>
      <c r="H311" s="244">
        <f t="shared" si="23"/>
        <v>244210.00000000023</v>
      </c>
      <c r="I311" s="244">
        <v>180000</v>
      </c>
      <c r="J311" s="244">
        <f t="shared" si="24"/>
        <v>424210.00000000023</v>
      </c>
      <c r="K311" s="247"/>
      <c r="L311" s="735">
        <v>456104</v>
      </c>
      <c r="M311" s="736">
        <f t="shared" si="19"/>
        <v>0.93007296581481469</v>
      </c>
      <c r="N311" s="379" t="s">
        <v>1674</v>
      </c>
      <c r="O311" s="379"/>
      <c r="P311" s="379">
        <v>211916.01</v>
      </c>
      <c r="Q311" s="379">
        <f>AVERAGE(Q308:Q310)</f>
        <v>111789.96500000001</v>
      </c>
      <c r="R311" s="379"/>
      <c r="S311" s="379">
        <f>AVERAGE(S308:S310)</f>
        <v>36.5</v>
      </c>
      <c r="T311" s="379"/>
      <c r="U311" s="379">
        <f>AVERAGE(U308:U310)</f>
        <v>22.833333333333332</v>
      </c>
    </row>
    <row r="312" spans="1:21" customFormat="1">
      <c r="A312" s="153"/>
      <c r="B312" s="238" t="s">
        <v>1675</v>
      </c>
      <c r="C312" s="238" t="s">
        <v>1676</v>
      </c>
      <c r="D312" s="795">
        <v>15324.5</v>
      </c>
      <c r="E312" s="795">
        <v>16861.099999999999</v>
      </c>
      <c r="F312" s="247">
        <f t="shared" si="22"/>
        <v>1536.5999999999985</v>
      </c>
      <c r="G312" s="153">
        <v>200</v>
      </c>
      <c r="H312" s="244">
        <f t="shared" si="23"/>
        <v>307319.99999999971</v>
      </c>
      <c r="I312" s="244"/>
      <c r="J312" s="244">
        <f t="shared" si="24"/>
        <v>307319.99999999971</v>
      </c>
      <c r="K312" s="247"/>
      <c r="L312" s="735">
        <v>334100</v>
      </c>
      <c r="M312" s="736">
        <f t="shared" si="19"/>
        <v>0.91984435797665287</v>
      </c>
      <c r="N312" s="379" t="s">
        <v>1677</v>
      </c>
      <c r="O312" s="379"/>
      <c r="P312" s="379">
        <v>334829.59000000003</v>
      </c>
      <c r="Q312" s="379"/>
      <c r="R312" s="379"/>
      <c r="S312" s="379"/>
      <c r="T312" s="379"/>
      <c r="U312" s="379"/>
    </row>
    <row r="313" spans="1:21" customFormat="1">
      <c r="A313" s="95"/>
      <c r="B313" s="741"/>
      <c r="C313" s="238"/>
      <c r="D313" s="153"/>
      <c r="E313" s="247"/>
      <c r="F313" s="247"/>
      <c r="G313" s="153"/>
      <c r="H313" s="244"/>
      <c r="I313" s="244"/>
      <c r="J313" s="244">
        <f>SUM(J307:J312)</f>
        <v>1791735.5213000006</v>
      </c>
      <c r="K313" s="743">
        <f>(J305-J313)/J305</f>
        <v>1.2540426621254758E-2</v>
      </c>
      <c r="L313" s="735">
        <v>1930811.3061000039</v>
      </c>
      <c r="M313" s="736">
        <f t="shared" si="19"/>
        <v>0.92797028670765402</v>
      </c>
      <c r="N313" s="379"/>
      <c r="O313" s="379"/>
      <c r="P313" s="379">
        <v>12000</v>
      </c>
      <c r="Q313" s="379">
        <f>P313*Q311</f>
        <v>1341479580.0000002</v>
      </c>
      <c r="R313" s="379"/>
      <c r="S313" s="379">
        <f>P313*S311</f>
        <v>438000</v>
      </c>
      <c r="T313" s="379"/>
      <c r="U313" s="379">
        <f>P313*U311</f>
        <v>274000</v>
      </c>
    </row>
    <row r="314" spans="1:21" customFormat="1">
      <c r="A314" s="95">
        <v>6</v>
      </c>
      <c r="B314" s="741" t="s">
        <v>1678</v>
      </c>
      <c r="C314" s="238"/>
      <c r="D314" s="153"/>
      <c r="E314" s="153"/>
      <c r="F314" s="247"/>
      <c r="G314" s="153"/>
      <c r="H314" s="244"/>
      <c r="I314" s="244"/>
      <c r="J314" s="244"/>
      <c r="K314" s="743"/>
      <c r="L314" s="735">
        <v>466800.000000017</v>
      </c>
      <c r="M314" s="736">
        <f t="shared" si="19"/>
        <v>0</v>
      </c>
      <c r="N314" s="379"/>
      <c r="O314" s="379"/>
      <c r="P314" s="379"/>
      <c r="Q314" s="379"/>
      <c r="R314" s="379"/>
      <c r="S314" s="379"/>
      <c r="T314" s="379"/>
      <c r="U314" s="379"/>
    </row>
    <row r="315" spans="1:21" customFormat="1">
      <c r="A315" s="153">
        <v>1</v>
      </c>
      <c r="B315" s="734" t="s">
        <v>1679</v>
      </c>
      <c r="C315" s="238" t="s">
        <v>1680</v>
      </c>
      <c r="D315" s="247">
        <v>124063.9</v>
      </c>
      <c r="E315" s="801">
        <v>124578.1</v>
      </c>
      <c r="F315" s="247">
        <f>E315-D315</f>
        <v>514.20000000001164</v>
      </c>
      <c r="G315" s="153">
        <v>2000</v>
      </c>
      <c r="H315" s="244">
        <f>(F315*G315)</f>
        <v>1028400.0000000233</v>
      </c>
      <c r="I315" s="244"/>
      <c r="J315" s="244">
        <f>H315+I315</f>
        <v>1028400.0000000233</v>
      </c>
      <c r="K315" s="153"/>
      <c r="L315" s="735">
        <v>1072399.9999999942</v>
      </c>
      <c r="M315" s="736">
        <f t="shared" si="19"/>
        <v>0.9589705333830929</v>
      </c>
      <c r="N315" s="379">
        <f>J308/29</f>
        <v>12195.817624137931</v>
      </c>
      <c r="O315" s="379"/>
      <c r="P315" s="379"/>
      <c r="Q315" s="379"/>
      <c r="R315" s="379"/>
      <c r="S315" s="379"/>
      <c r="T315" s="379"/>
      <c r="U315" s="379"/>
    </row>
    <row r="316" spans="1:21" customFormat="1">
      <c r="A316" s="153">
        <v>2</v>
      </c>
      <c r="B316" s="748" t="s">
        <v>1681</v>
      </c>
      <c r="C316" s="238">
        <v>3300071</v>
      </c>
      <c r="D316" s="153">
        <v>942100.6</v>
      </c>
      <c r="E316" s="801">
        <v>942702.3</v>
      </c>
      <c r="F316" s="247">
        <f>E316-D316</f>
        <v>601.70000000006985</v>
      </c>
      <c r="G316" s="153">
        <v>80</v>
      </c>
      <c r="H316" s="244">
        <f>(F316*G316)</f>
        <v>48136.000000005588</v>
      </c>
      <c r="I316" s="244"/>
      <c r="J316" s="244">
        <f>H316+I316</f>
        <v>48136.000000005588</v>
      </c>
      <c r="K316" s="743"/>
      <c r="L316" s="735">
        <v>329343.99999999441</v>
      </c>
      <c r="M316" s="736">
        <f t="shared" si="19"/>
        <v>0.14615720948311312</v>
      </c>
      <c r="N316" s="379">
        <f>N315*2</f>
        <v>24391.635248275863</v>
      </c>
      <c r="O316" s="379"/>
      <c r="P316" s="379"/>
      <c r="Q316" s="379"/>
      <c r="R316" s="379"/>
      <c r="S316" s="379"/>
      <c r="T316" s="379"/>
      <c r="U316" s="379"/>
    </row>
    <row r="317" spans="1:21" customFormat="1">
      <c r="A317" s="153">
        <v>3</v>
      </c>
      <c r="B317" s="734" t="s">
        <v>1682</v>
      </c>
      <c r="C317" s="238" t="s">
        <v>1683</v>
      </c>
      <c r="D317" s="247">
        <v>175454.6</v>
      </c>
      <c r="E317" s="801">
        <v>175814.6</v>
      </c>
      <c r="F317" s="247">
        <f>E317-D317</f>
        <v>360</v>
      </c>
      <c r="G317" s="153">
        <v>2000</v>
      </c>
      <c r="H317" s="244">
        <f>(F317*G317)</f>
        <v>720000</v>
      </c>
      <c r="I317" s="244"/>
      <c r="J317" s="244">
        <f>H317+I317</f>
        <v>720000</v>
      </c>
      <c r="K317" s="743"/>
      <c r="L317" s="735">
        <v>2624200.0000000116</v>
      </c>
      <c r="M317" s="736">
        <f t="shared" si="19"/>
        <v>0.2743693316058215</v>
      </c>
      <c r="N317" s="379"/>
      <c r="O317" s="379"/>
      <c r="P317" s="379"/>
      <c r="Q317" s="379"/>
      <c r="R317" s="379"/>
      <c r="S317" s="379"/>
      <c r="T317" s="379"/>
      <c r="U317" s="379"/>
    </row>
    <row r="318" spans="1:21" customFormat="1">
      <c r="A318" s="153"/>
      <c r="B318" s="734" t="s">
        <v>1679</v>
      </c>
      <c r="C318" s="238" t="s">
        <v>1680</v>
      </c>
      <c r="D318" s="247">
        <v>123.9</v>
      </c>
      <c r="E318" s="247">
        <v>123.9</v>
      </c>
      <c r="F318" s="247">
        <f>E318-D318</f>
        <v>0</v>
      </c>
      <c r="G318" s="153">
        <v>2000</v>
      </c>
      <c r="H318" s="244">
        <f>(F318*G318)</f>
        <v>0</v>
      </c>
      <c r="I318" s="244"/>
      <c r="J318" s="244">
        <f>H318+I318</f>
        <v>0</v>
      </c>
      <c r="K318" s="743"/>
      <c r="L318" s="735">
        <v>0</v>
      </c>
      <c r="M318" s="736" t="e">
        <f t="shared" si="19"/>
        <v>#DIV/0!</v>
      </c>
      <c r="N318" s="379"/>
      <c r="O318" s="379"/>
      <c r="P318" s="379"/>
      <c r="Q318" s="379"/>
      <c r="R318" s="379"/>
      <c r="S318" s="379"/>
      <c r="T318" s="379"/>
      <c r="U318" s="379"/>
    </row>
    <row r="319" spans="1:21" customFormat="1">
      <c r="A319" s="153"/>
      <c r="B319" s="734"/>
      <c r="C319" s="238"/>
      <c r="D319" s="247"/>
      <c r="E319" s="247"/>
      <c r="F319" s="247"/>
      <c r="G319" s="153"/>
      <c r="H319" s="244"/>
      <c r="I319" s="244"/>
      <c r="J319" s="244">
        <f>SUM(J317+J315+J316)</f>
        <v>1796536.0000000289</v>
      </c>
      <c r="K319" s="153"/>
      <c r="L319" s="735">
        <v>1881144.0000000119</v>
      </c>
      <c r="M319" s="736">
        <f t="shared" si="19"/>
        <v>0.95502311359471548</v>
      </c>
      <c r="N319" s="379"/>
      <c r="O319" s="379"/>
      <c r="P319" s="379"/>
      <c r="Q319" s="379"/>
      <c r="R319" s="379"/>
      <c r="S319" s="379"/>
      <c r="T319" s="379"/>
      <c r="U319" s="379"/>
    </row>
    <row r="320" spans="1:21" customFormat="1">
      <c r="A320" s="153">
        <v>1</v>
      </c>
      <c r="B320" s="802" t="s">
        <v>1684</v>
      </c>
      <c r="C320" s="803" t="s">
        <v>1685</v>
      </c>
      <c r="D320" s="804">
        <v>61361.8</v>
      </c>
      <c r="E320" s="804">
        <v>61361.8</v>
      </c>
      <c r="F320" s="804">
        <f>E320-D320</f>
        <v>0</v>
      </c>
      <c r="G320" s="805">
        <v>2000</v>
      </c>
      <c r="H320" s="806">
        <f>(F320*G320)</f>
        <v>0</v>
      </c>
      <c r="I320" s="806"/>
      <c r="J320" s="806">
        <f>H320+I320</f>
        <v>0</v>
      </c>
      <c r="K320" s="743"/>
      <c r="L320" s="735">
        <v>7200.0000000116415</v>
      </c>
      <c r="M320" s="736">
        <f t="shared" si="19"/>
        <v>0</v>
      </c>
      <c r="N320" s="379"/>
      <c r="O320" s="379"/>
      <c r="P320" s="379"/>
      <c r="Q320" s="379"/>
      <c r="R320" s="379"/>
      <c r="S320" s="379"/>
      <c r="T320" s="379"/>
      <c r="U320" s="379"/>
    </row>
    <row r="321" spans="1:14" customFormat="1">
      <c r="A321" s="153"/>
      <c r="B321" s="802" t="s">
        <v>1686</v>
      </c>
      <c r="C321" s="803" t="s">
        <v>1685</v>
      </c>
      <c r="D321" s="804">
        <v>7689.3</v>
      </c>
      <c r="E321" s="804">
        <v>7782.9</v>
      </c>
      <c r="F321" s="804">
        <f>E321-D321</f>
        <v>93.599999999999454</v>
      </c>
      <c r="G321" s="805">
        <v>2000</v>
      </c>
      <c r="H321" s="806">
        <f>(F321*G321)</f>
        <v>187199.99999999889</v>
      </c>
      <c r="I321" s="806"/>
      <c r="J321" s="806">
        <f>H321+I321</f>
        <v>187199.99999999889</v>
      </c>
      <c r="K321" s="743"/>
      <c r="L321" s="735">
        <v>151600.00000000035</v>
      </c>
      <c r="M321" s="736">
        <f t="shared" si="19"/>
        <v>1.2348284960422062</v>
      </c>
      <c r="N321" s="379"/>
    </row>
    <row r="322" spans="1:14" customFormat="1">
      <c r="A322" s="153"/>
      <c r="B322" s="734" t="s">
        <v>1363</v>
      </c>
      <c r="C322" s="238"/>
      <c r="D322" s="247"/>
      <c r="E322" s="247"/>
      <c r="F322" s="247"/>
      <c r="G322" s="153"/>
      <c r="H322" s="244"/>
      <c r="I322" s="244"/>
      <c r="J322" s="244">
        <f>J319</f>
        <v>1796536.0000000289</v>
      </c>
      <c r="K322" s="743"/>
      <c r="L322" s="735">
        <v>1881144.0000000119</v>
      </c>
      <c r="M322" s="736">
        <f t="shared" si="19"/>
        <v>0.95502311359471548</v>
      </c>
      <c r="N322" s="379"/>
    </row>
    <row r="323" spans="1:14" customFormat="1">
      <c r="A323" s="153"/>
      <c r="B323" s="737" t="s">
        <v>1364</v>
      </c>
      <c r="C323" s="238"/>
      <c r="D323" s="247"/>
      <c r="E323" s="247"/>
      <c r="F323" s="247"/>
      <c r="G323" s="153"/>
      <c r="H323" s="244"/>
      <c r="I323" s="244"/>
      <c r="J323" s="244"/>
      <c r="K323" s="743"/>
      <c r="L323" s="735"/>
      <c r="M323" s="736" t="e">
        <f t="shared" si="19"/>
        <v>#DIV/0!</v>
      </c>
      <c r="N323" s="379"/>
    </row>
    <row r="324" spans="1:14" customFormat="1">
      <c r="A324" s="153">
        <v>25</v>
      </c>
      <c r="B324" s="748" t="s">
        <v>1065</v>
      </c>
      <c r="C324" s="238" t="s">
        <v>1687</v>
      </c>
      <c r="D324" s="247">
        <v>53412.3</v>
      </c>
      <c r="E324" s="247">
        <v>57770.8</v>
      </c>
      <c r="F324" s="247">
        <f>E324-D324</f>
        <v>4358.5</v>
      </c>
      <c r="G324" s="153">
        <v>200</v>
      </c>
      <c r="H324" s="244">
        <f>(F324*G324)</f>
        <v>871700</v>
      </c>
      <c r="I324" s="244"/>
      <c r="J324" s="244">
        <f>H324+I324</f>
        <v>871700</v>
      </c>
      <c r="K324" s="743"/>
      <c r="L324" s="735">
        <v>920460.00000000058</v>
      </c>
      <c r="M324" s="736">
        <f t="shared" si="19"/>
        <v>0.94702648675662104</v>
      </c>
      <c r="N324" s="379">
        <v>806583.9828</v>
      </c>
    </row>
    <row r="325" spans="1:14" customFormat="1">
      <c r="A325" s="153">
        <v>26</v>
      </c>
      <c r="B325" s="748" t="s">
        <v>1688</v>
      </c>
      <c r="C325" s="238" t="s">
        <v>1689</v>
      </c>
      <c r="D325" s="247">
        <v>43408.5</v>
      </c>
      <c r="E325" s="247">
        <v>43474.7</v>
      </c>
      <c r="F325" s="247">
        <f>E325-D325</f>
        <v>66.19999999999709</v>
      </c>
      <c r="G325" s="153">
        <v>2000</v>
      </c>
      <c r="H325" s="244">
        <f>(F325*G325)</f>
        <v>132399.99999999418</v>
      </c>
      <c r="I325" s="244"/>
      <c r="J325" s="244">
        <f>H325+I325</f>
        <v>132399.99999999418</v>
      </c>
      <c r="K325" s="153"/>
      <c r="L325" s="735">
        <v>143399.99999999418</v>
      </c>
      <c r="M325" s="736">
        <f t="shared" si="19"/>
        <v>0.92329149232914609</v>
      </c>
      <c r="N325" s="379"/>
    </row>
    <row r="326" spans="1:14" customFormat="1">
      <c r="A326" s="153">
        <v>27</v>
      </c>
      <c r="B326" s="748" t="s">
        <v>1162</v>
      </c>
      <c r="C326" s="238" t="s">
        <v>1690</v>
      </c>
      <c r="D326" s="247">
        <v>2753.4</v>
      </c>
      <c r="E326" s="247">
        <v>2773.3</v>
      </c>
      <c r="F326" s="247">
        <f>E326-D326</f>
        <v>19.900000000000091</v>
      </c>
      <c r="G326" s="153">
        <v>2000</v>
      </c>
      <c r="H326" s="244">
        <f>(F326*G326)</f>
        <v>39800.000000000182</v>
      </c>
      <c r="I326" s="244">
        <v>14109.999999999818</v>
      </c>
      <c r="J326" s="244">
        <f>H326+I326</f>
        <v>53910</v>
      </c>
      <c r="K326" s="743"/>
      <c r="L326" s="735">
        <v>48199.999999999818</v>
      </c>
      <c r="M326" s="736">
        <f t="shared" si="19"/>
        <v>1.1184647302904607</v>
      </c>
      <c r="N326" s="379"/>
    </row>
    <row r="327" spans="1:14" customFormat="1">
      <c r="A327" s="153">
        <v>28</v>
      </c>
      <c r="B327" s="734" t="s">
        <v>1691</v>
      </c>
      <c r="C327" s="238" t="s">
        <v>1692</v>
      </c>
      <c r="D327" s="247">
        <v>13842.4</v>
      </c>
      <c r="E327" s="247">
        <v>14959.9</v>
      </c>
      <c r="F327" s="247">
        <f>E327-D327</f>
        <v>1117.5</v>
      </c>
      <c r="G327" s="153">
        <v>200</v>
      </c>
      <c r="H327" s="244">
        <f>(F327*G327)</f>
        <v>223500</v>
      </c>
      <c r="I327" s="244"/>
      <c r="J327" s="244">
        <f>H327+I327</f>
        <v>223500</v>
      </c>
      <c r="K327" s="807"/>
      <c r="L327" s="735">
        <v>240279.99999999994</v>
      </c>
      <c r="M327" s="736">
        <f t="shared" ref="M327:M390" si="25">J327/L327</f>
        <v>0.93016480772432186</v>
      </c>
      <c r="N327" s="379">
        <v>243240.2458</v>
      </c>
    </row>
    <row r="328" spans="1:14" customFormat="1">
      <c r="A328" s="153">
        <v>29</v>
      </c>
      <c r="B328" s="734" t="s">
        <v>1693</v>
      </c>
      <c r="C328" s="238" t="s">
        <v>1694</v>
      </c>
      <c r="D328" s="247">
        <v>49737.1</v>
      </c>
      <c r="E328" s="247">
        <v>49978.3</v>
      </c>
      <c r="F328" s="247">
        <f>E328-D328</f>
        <v>241.20000000000437</v>
      </c>
      <c r="G328" s="153">
        <v>2000</v>
      </c>
      <c r="H328" s="244">
        <f>(F328*G328)</f>
        <v>482400.00000000873</v>
      </c>
      <c r="I328" s="244"/>
      <c r="J328" s="244">
        <f>H328+I328</f>
        <v>482400.00000000873</v>
      </c>
      <c r="K328" s="743"/>
      <c r="L328" s="735">
        <v>515800.00000000291</v>
      </c>
      <c r="M328" s="736">
        <f t="shared" si="25"/>
        <v>0.93524621946492048</v>
      </c>
      <c r="N328" s="379"/>
    </row>
    <row r="329" spans="1:14" customFormat="1">
      <c r="A329" s="153"/>
      <c r="B329" s="238"/>
      <c r="C329" s="238"/>
      <c r="D329" s="247"/>
      <c r="E329" s="247"/>
      <c r="F329" s="247"/>
      <c r="G329" s="153"/>
      <c r="H329" s="244"/>
      <c r="I329" s="244"/>
      <c r="J329" s="244">
        <f>SUM(J324:J328)</f>
        <v>1763910.0000000028</v>
      </c>
      <c r="K329" s="743">
        <f>(J322-J329)/J322</f>
        <v>1.8160504437442698E-2</v>
      </c>
      <c r="L329" s="735">
        <v>1868139.9999999977</v>
      </c>
      <c r="M329" s="736">
        <f t="shared" si="25"/>
        <v>0.94420653698331225</v>
      </c>
      <c r="N329" s="379"/>
    </row>
    <row r="330" spans="1:14" customFormat="1">
      <c r="A330" s="95">
        <v>7</v>
      </c>
      <c r="B330" s="741" t="s">
        <v>1695</v>
      </c>
      <c r="C330" s="238"/>
      <c r="D330" s="247"/>
      <c r="E330" s="247"/>
      <c r="F330" s="247"/>
      <c r="G330" s="153"/>
      <c r="H330" s="244"/>
      <c r="I330" s="244"/>
      <c r="J330" s="244"/>
      <c r="K330" s="743"/>
      <c r="L330" s="735">
        <v>2326599.99999998</v>
      </c>
      <c r="M330" s="736">
        <f t="shared" si="25"/>
        <v>0</v>
      </c>
      <c r="N330" s="379"/>
    </row>
    <row r="331" spans="1:14" customFormat="1">
      <c r="A331" s="153">
        <v>1</v>
      </c>
      <c r="B331" s="238" t="s">
        <v>1696</v>
      </c>
      <c r="C331" s="238" t="s">
        <v>1697</v>
      </c>
      <c r="D331" s="247">
        <v>320912.5</v>
      </c>
      <c r="E331" s="247">
        <v>320912.5</v>
      </c>
      <c r="F331" s="247">
        <f>E331-D331</f>
        <v>0</v>
      </c>
      <c r="G331" s="153">
        <v>2000</v>
      </c>
      <c r="H331" s="244">
        <f>(F331*G331)</f>
        <v>0</v>
      </c>
      <c r="I331" s="244">
        <v>3080000</v>
      </c>
      <c r="J331" s="244">
        <f>H331+I331</f>
        <v>3080000</v>
      </c>
      <c r="K331" s="743"/>
      <c r="L331" s="735">
        <v>3410199.9999999534</v>
      </c>
      <c r="M331" s="736">
        <f t="shared" si="25"/>
        <v>0.90317283443787522</v>
      </c>
      <c r="N331" s="379"/>
    </row>
    <row r="332" spans="1:14" customFormat="1">
      <c r="A332" s="153"/>
      <c r="B332" s="734" t="s">
        <v>1363</v>
      </c>
      <c r="C332" s="238"/>
      <c r="D332" s="247"/>
      <c r="E332" s="247"/>
      <c r="F332" s="247"/>
      <c r="G332" s="153"/>
      <c r="H332" s="244"/>
      <c r="I332" s="244"/>
      <c r="J332" s="244">
        <f>SUM(J331)</f>
        <v>3080000</v>
      </c>
      <c r="K332" s="743"/>
      <c r="L332" s="735">
        <v>3410199.9999999534</v>
      </c>
      <c r="M332" s="736">
        <f t="shared" si="25"/>
        <v>0.90317283443787522</v>
      </c>
      <c r="N332" s="379"/>
    </row>
    <row r="333" spans="1:14" customFormat="1">
      <c r="A333" s="153"/>
      <c r="B333" s="737" t="s">
        <v>1364</v>
      </c>
      <c r="C333" s="238"/>
      <c r="D333" s="247"/>
      <c r="E333" s="247"/>
      <c r="F333" s="247"/>
      <c r="G333" s="153"/>
      <c r="H333" s="244"/>
      <c r="I333" s="244"/>
      <c r="J333" s="244"/>
      <c r="K333" s="743"/>
      <c r="L333" s="735"/>
      <c r="M333" s="736" t="e">
        <f t="shared" si="25"/>
        <v>#DIV/0!</v>
      </c>
      <c r="N333" s="379"/>
    </row>
    <row r="334" spans="1:14" customFormat="1">
      <c r="A334" s="153">
        <v>30</v>
      </c>
      <c r="B334" s="748" t="s">
        <v>1698</v>
      </c>
      <c r="C334" s="238" t="s">
        <v>1699</v>
      </c>
      <c r="D334" s="153">
        <v>110562</v>
      </c>
      <c r="E334" s="153">
        <v>111400.8</v>
      </c>
      <c r="F334" s="153">
        <f>E334-D334</f>
        <v>838.80000000000291</v>
      </c>
      <c r="G334" s="153">
        <v>2000</v>
      </c>
      <c r="H334" s="244">
        <f>(F334*G334)</f>
        <v>1677600.0000000058</v>
      </c>
      <c r="I334" s="244"/>
      <c r="J334" s="244">
        <f>H334+I334</f>
        <v>1677600.0000000058</v>
      </c>
      <c r="K334" s="808"/>
      <c r="L334" s="735">
        <v>1849200.0000000116</v>
      </c>
      <c r="M334" s="736">
        <f t="shared" si="25"/>
        <v>0.90720311486047767</v>
      </c>
      <c r="N334" s="379"/>
    </row>
    <row r="335" spans="1:14" customFormat="1">
      <c r="A335" s="153">
        <v>31</v>
      </c>
      <c r="B335" s="238" t="s">
        <v>1700</v>
      </c>
      <c r="C335" s="238" t="s">
        <v>1701</v>
      </c>
      <c r="D335" s="247">
        <v>14758.9</v>
      </c>
      <c r="E335" s="247">
        <v>15049.5</v>
      </c>
      <c r="F335" s="247">
        <f>E335-D335</f>
        <v>290.60000000000036</v>
      </c>
      <c r="G335" s="261">
        <v>1333.3330000000001</v>
      </c>
      <c r="H335" s="244">
        <f>(F335*G335)</f>
        <v>387466.56980000052</v>
      </c>
      <c r="I335" s="244"/>
      <c r="J335" s="244">
        <f>H335+I335</f>
        <v>387466.56980000052</v>
      </c>
      <c r="K335" s="743"/>
      <c r="L335" s="735">
        <v>389066.56939999905</v>
      </c>
      <c r="M335" s="736">
        <f t="shared" si="25"/>
        <v>0.99588759424263573</v>
      </c>
      <c r="N335" s="379"/>
    </row>
    <row r="336" spans="1:14" customFormat="1">
      <c r="A336" s="153">
        <v>32</v>
      </c>
      <c r="B336" s="238" t="s">
        <v>1702</v>
      </c>
      <c r="C336" s="238" t="s">
        <v>1703</v>
      </c>
      <c r="D336" s="247">
        <v>22698.5</v>
      </c>
      <c r="E336" s="247">
        <v>23011.5</v>
      </c>
      <c r="F336" s="247">
        <f>E336-D336</f>
        <v>313</v>
      </c>
      <c r="G336" s="153">
        <v>2000</v>
      </c>
      <c r="H336" s="244">
        <f>(F336*G336)</f>
        <v>626000</v>
      </c>
      <c r="I336" s="244"/>
      <c r="J336" s="244">
        <f>H336+I336</f>
        <v>626000</v>
      </c>
      <c r="K336" s="743"/>
      <c r="L336" s="735">
        <v>697000</v>
      </c>
      <c r="M336" s="736">
        <f t="shared" si="25"/>
        <v>0.89813486370157825</v>
      </c>
      <c r="N336" s="379"/>
    </row>
    <row r="337" spans="1:17" customFormat="1">
      <c r="A337" s="153">
        <v>33</v>
      </c>
      <c r="B337" s="238" t="s">
        <v>1067</v>
      </c>
      <c r="C337" s="238" t="s">
        <v>1704</v>
      </c>
      <c r="D337" s="247">
        <v>47806.9</v>
      </c>
      <c r="E337" s="247">
        <v>48189.4</v>
      </c>
      <c r="F337" s="247">
        <f>E337-D337</f>
        <v>382.5</v>
      </c>
      <c r="G337" s="153">
        <v>1000</v>
      </c>
      <c r="H337" s="244">
        <f>(F337*G337)</f>
        <v>382500</v>
      </c>
      <c r="I337" s="244"/>
      <c r="J337" s="244">
        <f>H337+I337</f>
        <v>382500</v>
      </c>
      <c r="K337" s="743"/>
      <c r="L337" s="735">
        <v>411000</v>
      </c>
      <c r="M337" s="736">
        <f t="shared" si="25"/>
        <v>0.93065693430656937</v>
      </c>
      <c r="N337" s="379"/>
      <c r="O337" s="379"/>
      <c r="P337" s="379"/>
      <c r="Q337" s="379"/>
    </row>
    <row r="338" spans="1:17" customFormat="1">
      <c r="A338" s="153"/>
      <c r="B338" s="238"/>
      <c r="C338" s="238"/>
      <c r="D338" s="247"/>
      <c r="E338" s="247"/>
      <c r="F338" s="247"/>
      <c r="G338" s="153"/>
      <c r="H338" s="244"/>
      <c r="I338" s="244"/>
      <c r="J338" s="244">
        <f>SUM(J334:J337)</f>
        <v>3073566.5698000062</v>
      </c>
      <c r="K338" s="743">
        <f>(J332-J338)/J332</f>
        <v>2.0887760389590175E-3</v>
      </c>
      <c r="L338" s="735">
        <v>3346266.5694000106</v>
      </c>
      <c r="M338" s="736">
        <f t="shared" si="25"/>
        <v>0.91850619371041331</v>
      </c>
      <c r="N338" s="379"/>
      <c r="O338" s="379"/>
      <c r="P338" s="379"/>
      <c r="Q338" s="379"/>
    </row>
    <row r="339" spans="1:17" customFormat="1">
      <c r="A339" s="153">
        <v>8</v>
      </c>
      <c r="B339" s="239" t="s">
        <v>1705</v>
      </c>
      <c r="C339" s="238"/>
      <c r="D339" s="247"/>
      <c r="E339" s="247"/>
      <c r="F339" s="247"/>
      <c r="G339" s="153"/>
      <c r="H339" s="244"/>
      <c r="I339" s="244"/>
      <c r="J339" s="244"/>
      <c r="K339" s="153"/>
      <c r="L339" s="735"/>
      <c r="M339" s="736" t="e">
        <f t="shared" si="25"/>
        <v>#DIV/0!</v>
      </c>
      <c r="N339" s="379"/>
      <c r="O339" s="379"/>
      <c r="P339" s="379"/>
      <c r="Q339" s="379"/>
    </row>
    <row r="340" spans="1:17" customFormat="1">
      <c r="A340" s="153"/>
      <c r="B340" s="734" t="s">
        <v>1706</v>
      </c>
      <c r="C340" s="238"/>
      <c r="D340" s="247"/>
      <c r="E340" s="247"/>
      <c r="F340" s="247"/>
      <c r="G340" s="153"/>
      <c r="H340" s="244"/>
      <c r="I340" s="244"/>
      <c r="J340" s="244"/>
      <c r="K340" s="153"/>
      <c r="L340" s="735">
        <v>4028199.9999999502</v>
      </c>
      <c r="M340" s="736">
        <f t="shared" si="25"/>
        <v>0</v>
      </c>
      <c r="N340" s="379"/>
      <c r="O340" s="379"/>
      <c r="P340" s="379"/>
      <c r="Q340" s="379"/>
    </row>
    <row r="341" spans="1:17" customFormat="1">
      <c r="A341" s="153">
        <v>1</v>
      </c>
      <c r="B341" s="748" t="s">
        <v>1707</v>
      </c>
      <c r="C341" s="748" t="s">
        <v>1708</v>
      </c>
      <c r="D341" s="809">
        <v>404647.7</v>
      </c>
      <c r="E341" s="809">
        <v>405663</v>
      </c>
      <c r="F341" s="809">
        <f>E341-D341</f>
        <v>1015.2999999999884</v>
      </c>
      <c r="G341" s="747">
        <v>2000</v>
      </c>
      <c r="H341" s="769">
        <f>(F341*G341)</f>
        <v>2030599.9999999767</v>
      </c>
      <c r="I341" s="769"/>
      <c r="J341" s="769">
        <f>H341+I341</f>
        <v>2030599.9999999767</v>
      </c>
      <c r="K341" s="727"/>
      <c r="L341" s="735">
        <v>4628200.0000000698</v>
      </c>
      <c r="M341" s="736">
        <f t="shared" si="25"/>
        <v>0.43874508448207644</v>
      </c>
      <c r="N341" s="379"/>
      <c r="O341" s="379"/>
      <c r="P341" s="379"/>
      <c r="Q341" s="379"/>
    </row>
    <row r="342" spans="1:17" customFormat="1">
      <c r="A342" s="153">
        <v>2</v>
      </c>
      <c r="B342" s="734" t="s">
        <v>1709</v>
      </c>
      <c r="C342" s="752" t="s">
        <v>1710</v>
      </c>
      <c r="D342" s="247">
        <v>6501.2</v>
      </c>
      <c r="E342" s="247">
        <v>6501.2</v>
      </c>
      <c r="F342" s="247">
        <f>E342-D342</f>
        <v>0</v>
      </c>
      <c r="G342" s="153">
        <v>800</v>
      </c>
      <c r="H342" s="244">
        <f>(F342*G342)</f>
        <v>0</v>
      </c>
      <c r="I342" s="244">
        <v>7225000</v>
      </c>
      <c r="J342" s="244">
        <f>H342+I342</f>
        <v>7225000</v>
      </c>
      <c r="K342" s="727"/>
      <c r="L342" s="735">
        <v>5025000</v>
      </c>
      <c r="M342" s="736">
        <f t="shared" si="25"/>
        <v>1.4378109452736318</v>
      </c>
      <c r="N342" s="379">
        <f>L341*M341</f>
        <v>2030599.9999999769</v>
      </c>
      <c r="O342" s="379"/>
      <c r="P342" s="379"/>
      <c r="Q342" s="379"/>
    </row>
    <row r="343" spans="1:17" customFormat="1">
      <c r="A343" s="153">
        <v>1</v>
      </c>
      <c r="B343" s="734" t="s">
        <v>1711</v>
      </c>
      <c r="C343" s="752" t="s">
        <v>1712</v>
      </c>
      <c r="D343" s="247">
        <v>28348</v>
      </c>
      <c r="E343" s="247">
        <v>28348</v>
      </c>
      <c r="F343" s="247">
        <f>E343-D343</f>
        <v>0</v>
      </c>
      <c r="G343" s="153">
        <v>800</v>
      </c>
      <c r="H343" s="244">
        <f>(F343*G343)</f>
        <v>0</v>
      </c>
      <c r="I343" s="769"/>
      <c r="J343" s="244">
        <f>H343+I343</f>
        <v>0</v>
      </c>
      <c r="K343" s="727"/>
      <c r="L343" s="735">
        <v>0</v>
      </c>
      <c r="M343" s="736" t="e">
        <f t="shared" si="25"/>
        <v>#DIV/0!</v>
      </c>
      <c r="N343" s="379"/>
      <c r="O343" s="379"/>
      <c r="P343" s="379"/>
      <c r="Q343" s="379"/>
    </row>
    <row r="344" spans="1:17" customFormat="1">
      <c r="A344" s="153"/>
      <c r="B344" s="734" t="s">
        <v>1363</v>
      </c>
      <c r="C344" s="238"/>
      <c r="D344" s="247"/>
      <c r="E344" s="247"/>
      <c r="F344" s="247"/>
      <c r="G344" s="153"/>
      <c r="H344" s="244"/>
      <c r="I344" s="244"/>
      <c r="J344" s="244">
        <f>SUM(J341:J343)</f>
        <v>9255599.9999999776</v>
      </c>
      <c r="K344" s="153"/>
      <c r="L344" s="735">
        <v>9653200.0000000708</v>
      </c>
      <c r="M344" s="736">
        <f t="shared" si="25"/>
        <v>0.95881158579537462</v>
      </c>
      <c r="N344" s="379"/>
      <c r="O344" s="379"/>
      <c r="P344" s="379"/>
      <c r="Q344" s="379"/>
    </row>
    <row r="345" spans="1:17" customFormat="1">
      <c r="A345" s="153"/>
      <c r="B345" s="734" t="s">
        <v>1713</v>
      </c>
      <c r="C345" s="238"/>
      <c r="D345" s="247"/>
      <c r="E345" s="247"/>
      <c r="F345" s="247"/>
      <c r="G345" s="153"/>
      <c r="H345" s="244"/>
      <c r="I345" s="244"/>
      <c r="J345" s="20"/>
      <c r="K345" s="244"/>
      <c r="L345" s="735"/>
      <c r="M345" s="736" t="e">
        <f t="shared" si="25"/>
        <v>#DIV/0!</v>
      </c>
      <c r="N345" s="379"/>
      <c r="O345" s="379"/>
      <c r="P345" s="379"/>
      <c r="Q345" s="379"/>
    </row>
    <row r="346" spans="1:17" customFormat="1">
      <c r="A346" s="153">
        <v>3</v>
      </c>
      <c r="B346" s="734" t="s">
        <v>1714</v>
      </c>
      <c r="C346" s="748" t="s">
        <v>1715</v>
      </c>
      <c r="D346" s="809">
        <v>377084.2</v>
      </c>
      <c r="E346" s="809">
        <v>377910.6</v>
      </c>
      <c r="F346" s="809">
        <f>E346-D346</f>
        <v>826.39999999996508</v>
      </c>
      <c r="G346" s="747">
        <v>2000</v>
      </c>
      <c r="H346" s="769">
        <f>(F346*G346)</f>
        <v>1652799.9999999302</v>
      </c>
      <c r="I346" s="244"/>
      <c r="J346" s="244">
        <f>H346+I346</f>
        <v>1652799.9999999302</v>
      </c>
      <c r="K346" s="810"/>
      <c r="L346" s="735">
        <v>1392000</v>
      </c>
      <c r="M346" s="736">
        <f t="shared" si="25"/>
        <v>1.1873563218390302</v>
      </c>
      <c r="N346" s="379"/>
      <c r="O346" s="379"/>
      <c r="P346" s="379"/>
      <c r="Q346" s="379"/>
    </row>
    <row r="347" spans="1:17" customFormat="1">
      <c r="A347" s="153">
        <v>4</v>
      </c>
      <c r="B347" s="734" t="s">
        <v>1716</v>
      </c>
      <c r="C347" s="748">
        <v>3743638</v>
      </c>
      <c r="D347" s="809">
        <v>424278.9</v>
      </c>
      <c r="E347" s="809">
        <v>424278.9</v>
      </c>
      <c r="F347" s="809">
        <f>E347-D347</f>
        <v>0</v>
      </c>
      <c r="G347" s="747">
        <v>40</v>
      </c>
      <c r="H347" s="769">
        <f>(F347*G347)</f>
        <v>0</v>
      </c>
      <c r="I347" s="244">
        <v>659770.00000000163</v>
      </c>
      <c r="J347" s="244">
        <f>H347+I347</f>
        <v>659770.00000000163</v>
      </c>
      <c r="K347" s="727" t="s">
        <v>1546</v>
      </c>
      <c r="L347" s="735">
        <v>659770.00000000163</v>
      </c>
      <c r="M347" s="736">
        <f t="shared" si="25"/>
        <v>1</v>
      </c>
      <c r="N347" s="379"/>
      <c r="O347" s="379"/>
      <c r="P347" s="379"/>
      <c r="Q347" s="379"/>
    </row>
    <row r="348" spans="1:17" customFormat="1">
      <c r="A348" s="153">
        <v>5</v>
      </c>
      <c r="B348" s="734" t="s">
        <v>1717</v>
      </c>
      <c r="C348" s="238" t="s">
        <v>1718</v>
      </c>
      <c r="D348" s="247">
        <v>205488.1</v>
      </c>
      <c r="E348" s="247">
        <v>207654</v>
      </c>
      <c r="F348" s="247">
        <f>E348-D348</f>
        <v>2165.8999999999942</v>
      </c>
      <c r="G348" s="153">
        <v>1000</v>
      </c>
      <c r="H348" s="244">
        <f>(F348*G348)</f>
        <v>2165899.9999999944</v>
      </c>
      <c r="I348" s="244"/>
      <c r="J348" s="244">
        <f>H348+I348</f>
        <v>2165899.9999999944</v>
      </c>
      <c r="K348" s="153"/>
      <c r="L348" s="735">
        <v>2164899.9999999944</v>
      </c>
      <c r="M348" s="736">
        <f t="shared" si="25"/>
        <v>1.0004619151000047</v>
      </c>
      <c r="N348" s="379"/>
      <c r="O348" s="379"/>
      <c r="P348" s="379"/>
      <c r="Q348" s="379"/>
    </row>
    <row r="349" spans="1:17" customFormat="1">
      <c r="A349" s="153"/>
      <c r="B349" s="734" t="s">
        <v>1719</v>
      </c>
      <c r="C349" s="238"/>
      <c r="D349" s="247"/>
      <c r="E349" s="247"/>
      <c r="F349" s="247"/>
      <c r="G349" s="153"/>
      <c r="H349" s="244"/>
      <c r="I349" s="244"/>
      <c r="J349" s="244">
        <f>SUM(J346:J348)</f>
        <v>4478469.9999999264</v>
      </c>
      <c r="K349" s="247"/>
      <c r="L349" s="735">
        <v>4216669.9999999963</v>
      </c>
      <c r="M349" s="736">
        <f t="shared" si="25"/>
        <v>1.0620869074411634</v>
      </c>
      <c r="N349" s="379"/>
      <c r="O349" s="379"/>
      <c r="P349" s="379"/>
      <c r="Q349" s="379"/>
    </row>
    <row r="350" spans="1:17" customFormat="1">
      <c r="A350" s="153"/>
      <c r="B350" s="734" t="s">
        <v>1363</v>
      </c>
      <c r="C350" s="238"/>
      <c r="D350" s="247"/>
      <c r="E350" s="247"/>
      <c r="F350" s="247"/>
      <c r="G350" s="153"/>
      <c r="H350" s="244"/>
      <c r="I350" s="244"/>
      <c r="J350" s="244">
        <f>J344-J349</f>
        <v>4777130.0000000512</v>
      </c>
      <c r="K350" s="247"/>
      <c r="L350" s="735">
        <v>5436530.0000000745</v>
      </c>
      <c r="M350" s="736">
        <f t="shared" si="25"/>
        <v>0.87870939735456</v>
      </c>
      <c r="N350" s="379"/>
      <c r="O350" s="379"/>
      <c r="P350" s="379"/>
      <c r="Q350" s="379"/>
    </row>
    <row r="351" spans="1:17" customFormat="1">
      <c r="A351" s="153"/>
      <c r="B351" s="737" t="s">
        <v>1522</v>
      </c>
      <c r="C351" s="238"/>
      <c r="D351" s="247"/>
      <c r="E351" s="247"/>
      <c r="F351" s="247"/>
      <c r="G351" s="153"/>
      <c r="H351" s="244"/>
      <c r="I351" s="153"/>
      <c r="J351" s="244"/>
      <c r="K351" s="743"/>
      <c r="L351" s="735"/>
      <c r="M351" s="736" t="e">
        <f t="shared" si="25"/>
        <v>#DIV/0!</v>
      </c>
      <c r="N351" s="379"/>
      <c r="O351" s="379"/>
      <c r="P351" s="379"/>
      <c r="Q351" s="379"/>
    </row>
    <row r="352" spans="1:17" customFormat="1">
      <c r="A352" s="153">
        <v>34</v>
      </c>
      <c r="B352" s="748" t="s">
        <v>1310</v>
      </c>
      <c r="C352" s="748" t="s">
        <v>1720</v>
      </c>
      <c r="D352" s="809">
        <v>135618.1</v>
      </c>
      <c r="E352" s="809">
        <v>136014.70000000001</v>
      </c>
      <c r="F352" s="809">
        <f>E352-D352</f>
        <v>396.60000000000582</v>
      </c>
      <c r="G352" s="747">
        <v>2000</v>
      </c>
      <c r="H352" s="769">
        <f t="shared" ref="H352:H359" si="26">(F352*G352)</f>
        <v>793200.00000001164</v>
      </c>
      <c r="I352" s="769"/>
      <c r="J352" s="769">
        <f t="shared" ref="J352:J359" si="27">H352+I352</f>
        <v>793200.00000001164</v>
      </c>
      <c r="K352" s="727"/>
      <c r="L352" s="735">
        <v>896000</v>
      </c>
      <c r="M352" s="736">
        <f t="shared" si="25"/>
        <v>0.88526785714287015</v>
      </c>
      <c r="N352" s="379">
        <f>133.6*2000</f>
        <v>267200</v>
      </c>
      <c r="O352" s="379"/>
      <c r="P352" s="379"/>
      <c r="Q352" s="379">
        <v>35</v>
      </c>
    </row>
    <row r="353" spans="1:17" customFormat="1">
      <c r="A353" s="153">
        <v>35</v>
      </c>
      <c r="B353" s="734" t="s">
        <v>1721</v>
      </c>
      <c r="C353" s="238">
        <v>3300079</v>
      </c>
      <c r="D353" s="247">
        <v>82645</v>
      </c>
      <c r="E353" s="247">
        <v>100783.8</v>
      </c>
      <c r="F353" s="247">
        <v>20149.900000000001</v>
      </c>
      <c r="G353" s="153">
        <v>20</v>
      </c>
      <c r="H353" s="244">
        <f t="shared" si="26"/>
        <v>402998</v>
      </c>
      <c r="I353" s="244"/>
      <c r="J353" s="244">
        <f t="shared" si="27"/>
        <v>402998</v>
      </c>
      <c r="K353" s="727"/>
      <c r="L353" s="735">
        <v>402998</v>
      </c>
      <c r="M353" s="736">
        <f t="shared" si="25"/>
        <v>1</v>
      </c>
      <c r="N353" s="379">
        <f>N352/5</f>
        <v>53440</v>
      </c>
      <c r="O353" s="379"/>
      <c r="P353" s="379"/>
      <c r="Q353" s="379">
        <v>12500</v>
      </c>
    </row>
    <row r="354" spans="1:17" customFormat="1">
      <c r="A354" s="153">
        <v>36</v>
      </c>
      <c r="B354" s="734" t="s">
        <v>1722</v>
      </c>
      <c r="C354" s="238" t="s">
        <v>1723</v>
      </c>
      <c r="D354" s="247">
        <v>11816</v>
      </c>
      <c r="E354" s="247">
        <v>11816</v>
      </c>
      <c r="F354" s="247">
        <f t="shared" ref="F354:F359" si="28">E354-D354</f>
        <v>0</v>
      </c>
      <c r="G354" s="153">
        <v>6000</v>
      </c>
      <c r="H354" s="244">
        <f t="shared" si="26"/>
        <v>0</v>
      </c>
      <c r="I354" s="244">
        <v>1307492.3076923101</v>
      </c>
      <c r="J354" s="244">
        <f t="shared" si="27"/>
        <v>1307492.3076923101</v>
      </c>
      <c r="K354" s="727"/>
      <c r="L354" s="735">
        <v>1397492.3076923126</v>
      </c>
      <c r="M354" s="736">
        <f t="shared" si="25"/>
        <v>0.93559892995144989</v>
      </c>
      <c r="N354" s="379">
        <f>N352-N353</f>
        <v>213760</v>
      </c>
      <c r="O354" s="379"/>
      <c r="P354" s="379"/>
      <c r="Q354" s="379">
        <f>Q353*Q352</f>
        <v>437500</v>
      </c>
    </row>
    <row r="355" spans="1:17" customFormat="1">
      <c r="A355" s="153"/>
      <c r="B355" s="734" t="s">
        <v>1724</v>
      </c>
      <c r="C355" s="238" t="s">
        <v>1725</v>
      </c>
      <c r="D355" s="247">
        <v>895.89</v>
      </c>
      <c r="E355" s="247">
        <v>1001.28</v>
      </c>
      <c r="F355" s="247">
        <f t="shared" si="28"/>
        <v>105.38999999999999</v>
      </c>
      <c r="G355" s="153">
        <v>6000</v>
      </c>
      <c r="H355" s="244">
        <f t="shared" si="26"/>
        <v>632339.99999999988</v>
      </c>
      <c r="I355" s="244"/>
      <c r="J355" s="244">
        <f t="shared" si="27"/>
        <v>632339.99999999988</v>
      </c>
      <c r="K355" s="727"/>
      <c r="L355" s="735">
        <v>801060</v>
      </c>
      <c r="M355" s="736">
        <f t="shared" si="25"/>
        <v>0.78937907272863439</v>
      </c>
      <c r="N355" s="379"/>
      <c r="O355" s="379"/>
      <c r="P355" s="379"/>
      <c r="Q355" s="379">
        <f>Q354/30</f>
        <v>14583.333333333334</v>
      </c>
    </row>
    <row r="356" spans="1:17" customFormat="1">
      <c r="A356" s="153">
        <v>38</v>
      </c>
      <c r="B356" s="734" t="s">
        <v>1726</v>
      </c>
      <c r="C356" s="238" t="s">
        <v>1727</v>
      </c>
      <c r="D356" s="247">
        <v>72046.5</v>
      </c>
      <c r="E356" s="247">
        <v>72411.3</v>
      </c>
      <c r="F356" s="247">
        <f t="shared" si="28"/>
        <v>364.80000000000291</v>
      </c>
      <c r="G356" s="153">
        <v>2000</v>
      </c>
      <c r="H356" s="244">
        <f t="shared" si="26"/>
        <v>729600.00000000582</v>
      </c>
      <c r="I356" s="244"/>
      <c r="J356" s="244">
        <f t="shared" si="27"/>
        <v>729600.00000000582</v>
      </c>
      <c r="K356" s="727"/>
      <c r="L356" s="735">
        <v>749600.00000000582</v>
      </c>
      <c r="M356" s="736">
        <f t="shared" si="25"/>
        <v>0.97331910352187856</v>
      </c>
      <c r="N356" s="379">
        <f>23*G357</f>
        <v>138000</v>
      </c>
      <c r="O356" s="379">
        <f>N356*0.6</f>
        <v>82800</v>
      </c>
      <c r="P356" s="379">
        <f>N356-O356</f>
        <v>55200</v>
      </c>
      <c r="Q356" s="379">
        <f>Q355*16</f>
        <v>233333.33333333334</v>
      </c>
    </row>
    <row r="357" spans="1:17" customFormat="1">
      <c r="A357" s="153">
        <v>39</v>
      </c>
      <c r="B357" s="734" t="s">
        <v>1728</v>
      </c>
      <c r="C357" s="238" t="s">
        <v>1729</v>
      </c>
      <c r="D357" s="247">
        <v>3524.5</v>
      </c>
      <c r="E357" s="247">
        <v>3636.6</v>
      </c>
      <c r="F357" s="247">
        <f t="shared" si="28"/>
        <v>112.09999999999991</v>
      </c>
      <c r="G357" s="153">
        <v>6000</v>
      </c>
      <c r="H357" s="244">
        <f t="shared" si="26"/>
        <v>672599.99999999942</v>
      </c>
      <c r="I357" s="244"/>
      <c r="J357" s="244">
        <f t="shared" si="27"/>
        <v>672599.99999999942</v>
      </c>
      <c r="K357" s="727"/>
      <c r="L357" s="735">
        <v>649139.64390000002</v>
      </c>
      <c r="M357" s="736">
        <f t="shared" si="25"/>
        <v>1.0361406922539049</v>
      </c>
      <c r="N357" s="379">
        <f>J357/3</f>
        <v>224199.9999999998</v>
      </c>
      <c r="O357" s="379">
        <f>J357/3</f>
        <v>224199.9999999998</v>
      </c>
      <c r="P357" s="379">
        <f>O357*33</f>
        <v>7398599.9999999935</v>
      </c>
      <c r="Q357" s="379">
        <f>J357/2</f>
        <v>336299.99999999971</v>
      </c>
    </row>
    <row r="358" spans="1:17" customFormat="1">
      <c r="A358" s="153">
        <v>40</v>
      </c>
      <c r="B358" s="734" t="s">
        <v>1730</v>
      </c>
      <c r="C358" s="238" t="s">
        <v>1731</v>
      </c>
      <c r="D358" s="247">
        <v>1815.84</v>
      </c>
      <c r="E358" s="247">
        <v>1832.89</v>
      </c>
      <c r="F358" s="247">
        <f t="shared" si="28"/>
        <v>17.050000000000182</v>
      </c>
      <c r="G358" s="153">
        <v>4000</v>
      </c>
      <c r="H358" s="244">
        <f t="shared" si="26"/>
        <v>68200.000000000728</v>
      </c>
      <c r="I358" s="244">
        <v>29038.438200000299</v>
      </c>
      <c r="J358" s="244">
        <f t="shared" si="27"/>
        <v>97238.438200001023</v>
      </c>
      <c r="K358" s="727"/>
      <c r="L358" s="735">
        <v>109398.43819999998</v>
      </c>
      <c r="M358" s="736">
        <f t="shared" si="25"/>
        <v>0.88884667642358572</v>
      </c>
      <c r="N358" s="379">
        <f>N357/100</f>
        <v>2241.9999999999982</v>
      </c>
      <c r="O358" s="379"/>
      <c r="P358" s="379"/>
      <c r="Q358" s="379"/>
    </row>
    <row r="359" spans="1:17" customFormat="1">
      <c r="A359" s="153">
        <v>41</v>
      </c>
      <c r="B359" s="734" t="s">
        <v>1077</v>
      </c>
      <c r="C359" s="238" t="s">
        <v>1732</v>
      </c>
      <c r="D359" s="247">
        <v>1173.57</v>
      </c>
      <c r="E359" s="247">
        <v>1203.8900000000001</v>
      </c>
      <c r="F359" s="247">
        <f t="shared" si="28"/>
        <v>30.320000000000164</v>
      </c>
      <c r="G359" s="153">
        <v>4000</v>
      </c>
      <c r="H359" s="244">
        <f t="shared" si="26"/>
        <v>121280.00000000065</v>
      </c>
      <c r="I359" s="244"/>
      <c r="J359" s="244">
        <f t="shared" si="27"/>
        <v>121280.00000000065</v>
      </c>
      <c r="K359" s="727"/>
      <c r="L359" s="735">
        <v>336599.99999999948</v>
      </c>
      <c r="M359" s="736">
        <f t="shared" si="25"/>
        <v>0.36030897207368046</v>
      </c>
      <c r="N359" s="379">
        <f>N358*33</f>
        <v>73985.999999999942</v>
      </c>
      <c r="O359" s="379"/>
      <c r="P359" s="379"/>
      <c r="Q359" s="379"/>
    </row>
    <row r="360" spans="1:17" customFormat="1">
      <c r="A360" s="153"/>
      <c r="B360" s="238"/>
      <c r="C360" s="238"/>
      <c r="D360" s="247"/>
      <c r="E360" s="247"/>
      <c r="F360" s="247"/>
      <c r="G360" s="153"/>
      <c r="H360" s="244"/>
      <c r="I360" s="244"/>
      <c r="J360" s="244">
        <f>SUM(J352:J359)</f>
        <v>4756748.7458923282</v>
      </c>
      <c r="K360" s="743">
        <f>(J350-J360)/J350</f>
        <v>4.2664223305044647E-3</v>
      </c>
      <c r="L360" s="735">
        <v>5342288.3897923175</v>
      </c>
      <c r="M360" s="736">
        <f t="shared" si="25"/>
        <v>0.8903953509850201</v>
      </c>
      <c r="N360" s="379"/>
      <c r="O360" s="379"/>
      <c r="P360" s="379"/>
      <c r="Q360" s="379"/>
    </row>
    <row r="361" spans="1:17" customFormat="1">
      <c r="A361" s="95">
        <v>9</v>
      </c>
      <c r="B361" s="732" t="s">
        <v>1733</v>
      </c>
      <c r="C361" s="238"/>
      <c r="D361" s="247"/>
      <c r="E361" s="247"/>
      <c r="F361" s="247"/>
      <c r="G361" s="153"/>
      <c r="H361" s="244"/>
      <c r="I361" s="244"/>
      <c r="J361" s="244"/>
      <c r="K361" s="153"/>
      <c r="L361" s="735">
        <v>1836799.99999999</v>
      </c>
      <c r="M361" s="736">
        <f t="shared" si="25"/>
        <v>0</v>
      </c>
      <c r="N361" s="379"/>
      <c r="O361" s="379"/>
      <c r="P361" s="379"/>
      <c r="Q361" s="379"/>
    </row>
    <row r="362" spans="1:17" customFormat="1">
      <c r="A362" s="153">
        <v>1</v>
      </c>
      <c r="B362" s="734" t="s">
        <v>1714</v>
      </c>
      <c r="C362" s="238" t="s">
        <v>1734</v>
      </c>
      <c r="D362" s="247">
        <v>171283.8</v>
      </c>
      <c r="E362" s="247">
        <v>172724.6</v>
      </c>
      <c r="F362" s="247">
        <f>E362-D362</f>
        <v>1440.8000000000175</v>
      </c>
      <c r="G362" s="153">
        <v>2000</v>
      </c>
      <c r="H362" s="244">
        <f>(F362*G362)</f>
        <v>2881600.0000000349</v>
      </c>
      <c r="I362" s="244"/>
      <c r="J362" s="244">
        <f>H362+I362</f>
        <v>2881600.0000000349</v>
      </c>
      <c r="K362" s="727"/>
      <c r="L362" s="735">
        <v>2026000</v>
      </c>
      <c r="M362" s="736">
        <f t="shared" si="25"/>
        <v>1.4223099703850124</v>
      </c>
      <c r="N362" s="379"/>
      <c r="O362" s="379"/>
      <c r="P362" s="379"/>
      <c r="Q362" s="379"/>
    </row>
    <row r="363" spans="1:17" customFormat="1">
      <c r="A363" s="153"/>
      <c r="B363" s="734" t="s">
        <v>1714</v>
      </c>
      <c r="C363" s="238" t="s">
        <v>1735</v>
      </c>
      <c r="D363" s="247">
        <v>1312.4</v>
      </c>
      <c r="E363" s="247">
        <v>1362.01</v>
      </c>
      <c r="F363" s="247">
        <f>E363-D363</f>
        <v>49.6099999999999</v>
      </c>
      <c r="G363" s="153">
        <v>8000</v>
      </c>
      <c r="H363" s="244">
        <f>(F363*G363)</f>
        <v>396879.99999999919</v>
      </c>
      <c r="I363" s="244"/>
      <c r="J363" s="244">
        <f>H363+I363</f>
        <v>396879.99999999919</v>
      </c>
      <c r="K363" s="727"/>
      <c r="L363" s="735">
        <v>415280.00000000064</v>
      </c>
      <c r="M363" s="736">
        <f t="shared" si="25"/>
        <v>0.95569254478905452</v>
      </c>
      <c r="N363" s="379"/>
      <c r="O363" s="379"/>
      <c r="P363" s="379"/>
      <c r="Q363" s="379"/>
    </row>
    <row r="364" spans="1:17" customFormat="1">
      <c r="A364" s="153"/>
      <c r="B364" s="734" t="s">
        <v>1736</v>
      </c>
      <c r="C364" s="238"/>
      <c r="D364" s="247"/>
      <c r="E364" s="247"/>
      <c r="F364" s="247"/>
      <c r="G364" s="153"/>
      <c r="H364" s="244"/>
      <c r="I364" s="244"/>
      <c r="J364" s="244">
        <v>130000</v>
      </c>
      <c r="K364" s="727"/>
      <c r="L364" s="735">
        <v>1050000</v>
      </c>
      <c r="M364" s="736">
        <f t="shared" si="25"/>
        <v>0.12380952380952381</v>
      </c>
      <c r="N364" s="379"/>
      <c r="O364" s="379"/>
      <c r="P364" s="379"/>
      <c r="Q364" s="379"/>
    </row>
    <row r="365" spans="1:17" customFormat="1">
      <c r="A365" s="153"/>
      <c r="B365" s="734" t="s">
        <v>1363</v>
      </c>
      <c r="C365" s="238"/>
      <c r="D365" s="247"/>
      <c r="E365" s="247"/>
      <c r="F365" s="247"/>
      <c r="G365" s="153"/>
      <c r="H365" s="244"/>
      <c r="I365" s="244"/>
      <c r="J365" s="244">
        <f>SUM(J362+J364)</f>
        <v>3011600.0000000349</v>
      </c>
      <c r="K365" s="153"/>
      <c r="L365" s="735">
        <v>3491280.0000000005</v>
      </c>
      <c r="M365" s="736">
        <f t="shared" si="25"/>
        <v>0.86260626475104674</v>
      </c>
      <c r="N365" s="379"/>
      <c r="O365" s="379"/>
      <c r="P365" s="379"/>
      <c r="Q365" s="379"/>
    </row>
    <row r="366" spans="1:17" customFormat="1">
      <c r="A366" s="153"/>
      <c r="B366" s="737" t="s">
        <v>1522</v>
      </c>
      <c r="C366" s="238"/>
      <c r="D366" s="247"/>
      <c r="E366" s="247"/>
      <c r="F366" s="247"/>
      <c r="G366" s="153"/>
      <c r="H366" s="244"/>
      <c r="I366" s="244"/>
      <c r="J366" s="244"/>
      <c r="K366" s="153"/>
      <c r="L366" s="735"/>
      <c r="M366" s="736" t="e">
        <f t="shared" si="25"/>
        <v>#DIV/0!</v>
      </c>
      <c r="N366" s="379"/>
      <c r="O366" s="379"/>
      <c r="P366" s="379"/>
      <c r="Q366" s="379"/>
    </row>
    <row r="367" spans="1:17" customFormat="1">
      <c r="A367" s="153">
        <v>42</v>
      </c>
      <c r="B367" s="734" t="s">
        <v>1737</v>
      </c>
      <c r="C367" s="238" t="s">
        <v>1738</v>
      </c>
      <c r="D367" s="247">
        <v>5817.15</v>
      </c>
      <c r="E367" s="247">
        <v>5867.46</v>
      </c>
      <c r="F367" s="247">
        <f t="shared" ref="F367:F372" si="29">E367-D367</f>
        <v>50.3100000000004</v>
      </c>
      <c r="G367" s="153">
        <v>20000</v>
      </c>
      <c r="H367" s="244">
        <f t="shared" ref="H367:H372" si="30">(F367*G367)</f>
        <v>1006200.000000008</v>
      </c>
      <c r="I367" s="244"/>
      <c r="J367" s="244">
        <f>H367+I367</f>
        <v>1006200.000000008</v>
      </c>
      <c r="K367" s="727"/>
      <c r="L367" s="735">
        <v>1048599.9999999877</v>
      </c>
      <c r="M367" s="736">
        <f t="shared" si="25"/>
        <v>0.9595651344650199</v>
      </c>
      <c r="N367" s="379"/>
      <c r="O367" s="379"/>
      <c r="P367" s="379"/>
      <c r="Q367" s="379"/>
    </row>
    <row r="368" spans="1:17" customFormat="1">
      <c r="A368" s="153">
        <v>43</v>
      </c>
      <c r="B368" s="734" t="s">
        <v>1739</v>
      </c>
      <c r="C368" s="238" t="s">
        <v>1740</v>
      </c>
      <c r="D368" s="247">
        <v>1519747</v>
      </c>
      <c r="E368" s="247">
        <v>1519747</v>
      </c>
      <c r="F368" s="247">
        <f t="shared" si="29"/>
        <v>0</v>
      </c>
      <c r="G368" s="153">
        <v>60</v>
      </c>
      <c r="H368" s="244">
        <f t="shared" si="30"/>
        <v>0</v>
      </c>
      <c r="I368" s="244"/>
      <c r="J368" s="244">
        <f t="shared" ref="J368:J372" si="31">H368+I368</f>
        <v>0</v>
      </c>
      <c r="K368" s="153"/>
      <c r="L368" s="735">
        <v>108660</v>
      </c>
      <c r="M368" s="736">
        <f t="shared" si="25"/>
        <v>0</v>
      </c>
      <c r="N368" s="379">
        <f>J368/27</f>
        <v>0</v>
      </c>
      <c r="O368" s="379"/>
      <c r="P368" s="379"/>
      <c r="Q368" s="379"/>
    </row>
    <row r="369" spans="1:14" customFormat="1">
      <c r="A369" s="153">
        <v>44</v>
      </c>
      <c r="B369" s="734" t="s">
        <v>1741</v>
      </c>
      <c r="C369" s="238" t="s">
        <v>1742</v>
      </c>
      <c r="D369" s="247">
        <v>67652.399999999994</v>
      </c>
      <c r="E369" s="247">
        <v>67776.899999999994</v>
      </c>
      <c r="F369" s="247">
        <f t="shared" si="29"/>
        <v>124.5</v>
      </c>
      <c r="G369" s="153">
        <v>2000</v>
      </c>
      <c r="H369" s="244">
        <f t="shared" si="30"/>
        <v>249000</v>
      </c>
      <c r="I369" s="244">
        <v>142760.54770001164</v>
      </c>
      <c r="J369" s="244">
        <f t="shared" si="31"/>
        <v>391760.54770001164</v>
      </c>
      <c r="K369" s="153"/>
      <c r="L369" s="735">
        <v>415560.5477</v>
      </c>
      <c r="M369" s="736">
        <f t="shared" si="25"/>
        <v>0.94272796074672138</v>
      </c>
      <c r="N369" s="379">
        <f>N368*4</f>
        <v>0</v>
      </c>
    </row>
    <row r="370" spans="1:14" customFormat="1">
      <c r="A370" s="153">
        <v>45</v>
      </c>
      <c r="B370" s="734" t="s">
        <v>1743</v>
      </c>
      <c r="C370" s="238" t="s">
        <v>1744</v>
      </c>
      <c r="D370" s="247">
        <v>6435.99</v>
      </c>
      <c r="E370" s="247">
        <v>6450.76</v>
      </c>
      <c r="F370" s="247">
        <f t="shared" si="29"/>
        <v>14.770000000000437</v>
      </c>
      <c r="G370" s="153">
        <v>20000</v>
      </c>
      <c r="H370" s="244">
        <f t="shared" si="30"/>
        <v>295400.00000000873</v>
      </c>
      <c r="I370" s="244"/>
      <c r="J370" s="244">
        <f t="shared" si="31"/>
        <v>295400.00000000873</v>
      </c>
      <c r="K370" s="153"/>
      <c r="L370" s="735">
        <v>612799.99999998836</v>
      </c>
      <c r="M370" s="736">
        <f t="shared" si="25"/>
        <v>0.48204960835511479</v>
      </c>
      <c r="N370" s="379"/>
    </row>
    <row r="371" spans="1:14" customFormat="1">
      <c r="A371" s="153"/>
      <c r="B371" s="238" t="s">
        <v>1745</v>
      </c>
      <c r="C371" s="14" t="s">
        <v>1746</v>
      </c>
      <c r="D371" s="153">
        <v>1040.07</v>
      </c>
      <c r="E371" s="153">
        <v>1043.6199999999999</v>
      </c>
      <c r="F371" s="153">
        <f t="shared" si="29"/>
        <v>3.5499999999999545</v>
      </c>
      <c r="G371" s="153">
        <v>6000</v>
      </c>
      <c r="H371" s="153">
        <f t="shared" si="30"/>
        <v>21299.999999999727</v>
      </c>
      <c r="I371" s="244">
        <v>454200</v>
      </c>
      <c r="J371" s="244">
        <f t="shared" si="31"/>
        <v>475499.99999999971</v>
      </c>
      <c r="K371" s="153"/>
      <c r="L371" s="735">
        <v>370919.6666</v>
      </c>
      <c r="M371" s="736">
        <f t="shared" si="25"/>
        <v>1.2819487420514135</v>
      </c>
      <c r="N371" s="379"/>
    </row>
    <row r="372" spans="1:14" customFormat="1">
      <c r="A372" s="153"/>
      <c r="B372" s="725" t="s">
        <v>1747</v>
      </c>
      <c r="C372" s="238" t="s">
        <v>1748</v>
      </c>
      <c r="D372" s="247">
        <v>55125.1</v>
      </c>
      <c r="E372" s="247">
        <v>59278.2</v>
      </c>
      <c r="F372" s="247">
        <f t="shared" si="29"/>
        <v>4153.0999999999985</v>
      </c>
      <c r="G372" s="153">
        <v>200</v>
      </c>
      <c r="H372" s="244">
        <f t="shared" si="30"/>
        <v>830619.99999999977</v>
      </c>
      <c r="I372" s="20"/>
      <c r="J372" s="244">
        <f t="shared" si="31"/>
        <v>830619.99999999977</v>
      </c>
      <c r="K372" s="153"/>
      <c r="L372" s="735">
        <v>868600</v>
      </c>
      <c r="M372" s="736">
        <f t="shared" si="25"/>
        <v>0.9562744646557676</v>
      </c>
      <c r="N372" s="379"/>
    </row>
    <row r="373" spans="1:14" customFormat="1">
      <c r="A373" s="153"/>
      <c r="B373" s="734"/>
      <c r="C373" s="811"/>
      <c r="D373" s="202"/>
      <c r="E373" s="247"/>
      <c r="F373" s="247"/>
      <c r="G373" s="244"/>
      <c r="H373" s="244"/>
      <c r="I373" s="244"/>
      <c r="J373" s="244">
        <f>SUM(J367:J372)</f>
        <v>2999480.5477000279</v>
      </c>
      <c r="K373" s="743">
        <f>(J365-J373)/J365</f>
        <v>4.0242569730398617E-3</v>
      </c>
      <c r="L373" s="735">
        <v>3425140.2142999759</v>
      </c>
      <c r="M373" s="736">
        <f t="shared" si="25"/>
        <v>0.87572489300647693</v>
      </c>
      <c r="N373" s="379"/>
    </row>
    <row r="374" spans="1:14" customFormat="1">
      <c r="A374" s="95">
        <v>10</v>
      </c>
      <c r="B374" s="732" t="s">
        <v>1749</v>
      </c>
      <c r="C374" s="238"/>
      <c r="D374" s="247"/>
      <c r="E374" s="247"/>
      <c r="F374" s="247"/>
      <c r="G374" s="153"/>
      <c r="H374" s="244"/>
      <c r="I374" s="244"/>
      <c r="J374" s="244"/>
      <c r="K374" s="153"/>
      <c r="L374" s="735">
        <v>3702000</v>
      </c>
      <c r="M374" s="736">
        <f t="shared" si="25"/>
        <v>0</v>
      </c>
      <c r="N374" s="379"/>
    </row>
    <row r="375" spans="1:14" customFormat="1">
      <c r="A375" s="153">
        <v>1</v>
      </c>
      <c r="B375" s="734" t="s">
        <v>1750</v>
      </c>
      <c r="C375" s="238" t="s">
        <v>1751</v>
      </c>
      <c r="D375" s="247">
        <v>30318</v>
      </c>
      <c r="E375" s="247">
        <v>30632</v>
      </c>
      <c r="F375" s="247">
        <f>E375-D375</f>
        <v>314</v>
      </c>
      <c r="G375" s="153">
        <v>8000</v>
      </c>
      <c r="H375" s="244">
        <f>(F375*G375)</f>
        <v>2512000</v>
      </c>
      <c r="I375" s="244">
        <v>3369000</v>
      </c>
      <c r="J375" s="244">
        <f>H375+I375</f>
        <v>5881000</v>
      </c>
      <c r="K375" s="153"/>
      <c r="L375" s="735">
        <v>4931000</v>
      </c>
      <c r="M375" s="736">
        <f t="shared" si="25"/>
        <v>1.1926586899209086</v>
      </c>
      <c r="N375" s="379"/>
    </row>
    <row r="376" spans="1:14" customFormat="1">
      <c r="A376" s="153">
        <v>2</v>
      </c>
      <c r="B376" s="734" t="s">
        <v>1752</v>
      </c>
      <c r="C376" s="238" t="s">
        <v>1734</v>
      </c>
      <c r="D376" s="247"/>
      <c r="E376" s="247"/>
      <c r="F376" s="247">
        <f>F362</f>
        <v>1440.8000000000175</v>
      </c>
      <c r="G376" s="244">
        <f>G362</f>
        <v>2000</v>
      </c>
      <c r="H376" s="244">
        <f>H362</f>
        <v>2881600.0000000349</v>
      </c>
      <c r="I376" s="244"/>
      <c r="J376" s="244">
        <f>J362</f>
        <v>2881600.0000000349</v>
      </c>
      <c r="K376" s="153"/>
      <c r="L376" s="735">
        <v>2026000</v>
      </c>
      <c r="M376" s="736">
        <f t="shared" si="25"/>
        <v>1.4223099703850124</v>
      </c>
      <c r="N376" s="379"/>
    </row>
    <row r="377" spans="1:14" customFormat="1">
      <c r="A377" s="153"/>
      <c r="B377" s="734" t="s">
        <v>1714</v>
      </c>
      <c r="C377" s="238" t="s">
        <v>1735</v>
      </c>
      <c r="D377" s="247">
        <v>1312.4</v>
      </c>
      <c r="E377" s="247">
        <v>1362.01</v>
      </c>
      <c r="F377" s="247">
        <f>E377-D377</f>
        <v>49.6099999999999</v>
      </c>
      <c r="G377" s="153">
        <v>8000</v>
      </c>
      <c r="H377" s="244">
        <f>(F377*G377)</f>
        <v>396879.99999999919</v>
      </c>
      <c r="I377" s="244"/>
      <c r="J377" s="244">
        <f>H377+I377</f>
        <v>396879.99999999919</v>
      </c>
      <c r="K377" s="153"/>
      <c r="L377" s="735">
        <v>415280.00000000064</v>
      </c>
      <c r="M377" s="736">
        <f t="shared" si="25"/>
        <v>0.95569254478905452</v>
      </c>
      <c r="N377" s="379"/>
    </row>
    <row r="378" spans="1:14" customFormat="1">
      <c r="A378" s="153"/>
      <c r="B378" s="734" t="s">
        <v>1736</v>
      </c>
      <c r="C378" s="238"/>
      <c r="D378" s="247"/>
      <c r="E378" s="247"/>
      <c r="F378" s="247"/>
      <c r="G378" s="244"/>
      <c r="H378" s="244"/>
      <c r="I378" s="244"/>
      <c r="J378" s="244"/>
      <c r="K378" s="153"/>
      <c r="L378" s="735"/>
      <c r="M378" s="736" t="e">
        <f t="shared" si="25"/>
        <v>#DIV/0!</v>
      </c>
      <c r="N378" s="379"/>
    </row>
    <row r="379" spans="1:14" customFormat="1">
      <c r="A379" s="153"/>
      <c r="B379" s="238" t="s">
        <v>1363</v>
      </c>
      <c r="C379" s="238"/>
      <c r="D379" s="247"/>
      <c r="E379" s="247"/>
      <c r="F379" s="247"/>
      <c r="G379" s="153"/>
      <c r="H379" s="244"/>
      <c r="I379" s="244"/>
      <c r="J379" s="244">
        <f>J375-J376-J377-J378</f>
        <v>2602519.999999966</v>
      </c>
      <c r="K379" s="153"/>
      <c r="L379" s="735">
        <v>2489719.9999999995</v>
      </c>
      <c r="M379" s="736">
        <f t="shared" si="25"/>
        <v>1.0453062995035451</v>
      </c>
      <c r="N379" s="379">
        <v>60</v>
      </c>
    </row>
    <row r="380" spans="1:14" customFormat="1">
      <c r="A380" s="153"/>
      <c r="B380" s="737" t="s">
        <v>1522</v>
      </c>
      <c r="C380" s="238"/>
      <c r="D380" s="247"/>
      <c r="E380" s="247"/>
      <c r="F380" s="247"/>
      <c r="G380" s="153"/>
      <c r="H380" s="244"/>
      <c r="I380" s="153"/>
      <c r="J380" s="244"/>
      <c r="K380" s="153"/>
      <c r="L380" s="735"/>
      <c r="M380" s="736" t="e">
        <f t="shared" si="25"/>
        <v>#DIV/0!</v>
      </c>
      <c r="N380" s="379"/>
    </row>
    <row r="381" spans="1:14" customFormat="1">
      <c r="A381" s="153">
        <v>46</v>
      </c>
      <c r="B381" s="725" t="s">
        <v>1753</v>
      </c>
      <c r="C381" s="238" t="s">
        <v>1754</v>
      </c>
      <c r="D381" s="247">
        <v>62862.6</v>
      </c>
      <c r="E381" s="247">
        <v>62862.6</v>
      </c>
      <c r="F381" s="247">
        <f>E381-D381</f>
        <v>0</v>
      </c>
      <c r="G381" s="153">
        <v>2000</v>
      </c>
      <c r="H381" s="244">
        <f>(F381*G381)</f>
        <v>0</v>
      </c>
      <c r="I381" s="20">
        <v>804746.09270000004</v>
      </c>
      <c r="J381" s="244">
        <f>H381+I381</f>
        <v>804746.09270000004</v>
      </c>
      <c r="K381" s="727"/>
      <c r="L381" s="735">
        <v>814746.09270000004</v>
      </c>
      <c r="M381" s="736">
        <f t="shared" si="25"/>
        <v>0.98772623754860756</v>
      </c>
      <c r="N381" s="379"/>
    </row>
    <row r="382" spans="1:14" customFormat="1">
      <c r="A382" s="153">
        <v>47</v>
      </c>
      <c r="B382" s="725" t="s">
        <v>1755</v>
      </c>
      <c r="C382" s="238" t="s">
        <v>1756</v>
      </c>
      <c r="D382" s="247">
        <v>2175.02</v>
      </c>
      <c r="E382" s="247">
        <v>2198.75</v>
      </c>
      <c r="F382" s="247">
        <f>E382-D382</f>
        <v>23.730000000000018</v>
      </c>
      <c r="G382" s="153">
        <v>20000</v>
      </c>
      <c r="H382" s="244">
        <f>(F382*G382)</f>
        <v>474600.00000000035</v>
      </c>
      <c r="I382" s="20"/>
      <c r="J382" s="244">
        <f>H382+I382</f>
        <v>474600.00000000035</v>
      </c>
      <c r="K382" s="727"/>
      <c r="L382" s="735">
        <v>394399.99999999598</v>
      </c>
      <c r="M382" s="736">
        <f t="shared" si="25"/>
        <v>1.2033468559837859</v>
      </c>
      <c r="N382" s="379"/>
    </row>
    <row r="383" spans="1:14" customFormat="1">
      <c r="A383" s="153"/>
      <c r="B383" s="725" t="s">
        <v>1757</v>
      </c>
      <c r="C383" s="238">
        <v>3190952</v>
      </c>
      <c r="D383" s="247">
        <v>992161</v>
      </c>
      <c r="E383" s="801">
        <v>996334</v>
      </c>
      <c r="F383" s="247">
        <f>E383-D383</f>
        <v>4173</v>
      </c>
      <c r="G383" s="153">
        <v>60</v>
      </c>
      <c r="H383" s="244">
        <f>(F383*G383)</f>
        <v>250380</v>
      </c>
      <c r="I383" s="20">
        <v>242797.30910000001</v>
      </c>
      <c r="J383" s="244">
        <f>H383+I383</f>
        <v>493177.30910000001</v>
      </c>
      <c r="K383" s="727"/>
      <c r="L383" s="735">
        <v>491737.30910000001</v>
      </c>
      <c r="M383" s="736">
        <f t="shared" si="25"/>
        <v>1.002928392809233</v>
      </c>
      <c r="N383" s="379"/>
    </row>
    <row r="384" spans="1:14" customFormat="1">
      <c r="A384" s="153"/>
      <c r="B384" s="439"/>
      <c r="C384" s="202"/>
      <c r="D384" s="202"/>
      <c r="E384" s="202"/>
      <c r="F384" s="202"/>
      <c r="G384" s="202"/>
      <c r="H384" s="202"/>
      <c r="I384" s="202"/>
      <c r="J384" s="202"/>
      <c r="K384" s="727"/>
      <c r="L384" s="735"/>
      <c r="M384" s="736" t="e">
        <f t="shared" si="25"/>
        <v>#DIV/0!</v>
      </c>
      <c r="N384" s="379"/>
    </row>
    <row r="385" spans="1:17" customFormat="1">
      <c r="A385" s="153">
        <v>49</v>
      </c>
      <c r="B385" s="725" t="s">
        <v>1758</v>
      </c>
      <c r="C385" s="238" t="s">
        <v>1759</v>
      </c>
      <c r="D385" s="247">
        <v>29239.9</v>
      </c>
      <c r="E385" s="247">
        <v>31666.9</v>
      </c>
      <c r="F385" s="247">
        <f>E385-D385</f>
        <v>2427</v>
      </c>
      <c r="G385" s="153">
        <v>100</v>
      </c>
      <c r="H385" s="244">
        <f>(F385*G385)</f>
        <v>242700</v>
      </c>
      <c r="I385" s="20"/>
      <c r="J385" s="244">
        <f>H385+I385</f>
        <v>242700</v>
      </c>
      <c r="K385" s="727"/>
      <c r="L385" s="735">
        <v>264330.00000000029</v>
      </c>
      <c r="M385" s="736">
        <f t="shared" si="25"/>
        <v>0.91817046873226549</v>
      </c>
      <c r="N385" s="379">
        <v>235375</v>
      </c>
      <c r="O385" s="379"/>
      <c r="P385" s="379"/>
      <c r="Q385" s="379"/>
    </row>
    <row r="386" spans="1:17" customFormat="1">
      <c r="A386" s="153">
        <v>50</v>
      </c>
      <c r="B386" s="725" t="s">
        <v>1760</v>
      </c>
      <c r="C386" s="238" t="s">
        <v>1761</v>
      </c>
      <c r="D386" s="247">
        <v>65203.6</v>
      </c>
      <c r="E386" s="247">
        <v>70706.8</v>
      </c>
      <c r="F386" s="247">
        <f>E386-D386</f>
        <v>5503.2000000000044</v>
      </c>
      <c r="G386" s="153">
        <v>100</v>
      </c>
      <c r="H386" s="244">
        <f>(F386*G386)</f>
        <v>550320.00000000047</v>
      </c>
      <c r="I386" s="20"/>
      <c r="J386" s="244">
        <f>H386+I386</f>
        <v>550320.00000000047</v>
      </c>
      <c r="K386" s="153"/>
      <c r="L386" s="735">
        <v>482729.99999999953</v>
      </c>
      <c r="M386" s="736">
        <f t="shared" si="25"/>
        <v>1.1400161581008037</v>
      </c>
      <c r="N386" s="765">
        <v>584875</v>
      </c>
      <c r="O386" s="379"/>
      <c r="P386" s="765">
        <f>N386-J386</f>
        <v>34554.999999999534</v>
      </c>
      <c r="Q386" s="379"/>
    </row>
    <row r="387" spans="1:17" customFormat="1">
      <c r="A387" s="153"/>
      <c r="B387" s="238"/>
      <c r="C387" s="238"/>
      <c r="D387" s="247"/>
      <c r="E387" s="247"/>
      <c r="F387" s="247"/>
      <c r="G387" s="153"/>
      <c r="H387" s="244"/>
      <c r="I387" s="244"/>
      <c r="J387" s="244">
        <f>SUM(J381:J386)</f>
        <v>2565543.401800001</v>
      </c>
      <c r="K387" s="743">
        <f>(J379-J387)/J379</f>
        <v>1.4207997709898655E-2</v>
      </c>
      <c r="L387" s="735">
        <v>2447943.4017999955</v>
      </c>
      <c r="M387" s="736">
        <f t="shared" si="25"/>
        <v>1.0480403263872577</v>
      </c>
      <c r="N387" s="765">
        <f>I385-N385</f>
        <v>-235375</v>
      </c>
      <c r="O387" s="379"/>
      <c r="P387" s="379"/>
      <c r="Q387" s="379"/>
    </row>
    <row r="388" spans="1:17" customFormat="1">
      <c r="A388" s="95">
        <v>11</v>
      </c>
      <c r="B388" s="741" t="s">
        <v>1762</v>
      </c>
      <c r="C388" s="238"/>
      <c r="D388" s="247"/>
      <c r="E388" s="247"/>
      <c r="F388" s="247"/>
      <c r="G388" s="153"/>
      <c r="H388" s="244"/>
      <c r="I388" s="244"/>
      <c r="J388" s="244"/>
      <c r="K388" s="247"/>
      <c r="L388" s="735">
        <v>394399.99999999598</v>
      </c>
      <c r="M388" s="736">
        <f t="shared" si="25"/>
        <v>0</v>
      </c>
      <c r="N388" s="379"/>
      <c r="O388" s="379"/>
      <c r="P388" s="379"/>
      <c r="Q388" s="379"/>
    </row>
    <row r="389" spans="1:17" customFormat="1">
      <c r="A389" s="153">
        <v>1</v>
      </c>
      <c r="B389" s="238" t="s">
        <v>1763</v>
      </c>
      <c r="C389" s="238" t="s">
        <v>1764</v>
      </c>
      <c r="D389" s="247">
        <v>161221.70000000001</v>
      </c>
      <c r="E389" s="247">
        <v>162285.1</v>
      </c>
      <c r="F389" s="247">
        <f>E389-D389</f>
        <v>1063.3999999999942</v>
      </c>
      <c r="G389" s="153">
        <v>1000</v>
      </c>
      <c r="H389" s="244">
        <f>(F389*G389)</f>
        <v>1063399.9999999942</v>
      </c>
      <c r="I389" s="244"/>
      <c r="J389" s="244">
        <f>H389+I389</f>
        <v>1063399.9999999942</v>
      </c>
      <c r="K389" s="247"/>
      <c r="L389" s="735">
        <v>1108700.0000000116</v>
      </c>
      <c r="M389" s="736">
        <f t="shared" si="25"/>
        <v>0.95914133670062507</v>
      </c>
      <c r="N389" s="379"/>
      <c r="O389" s="379"/>
      <c r="P389" s="379"/>
      <c r="Q389" s="379"/>
    </row>
    <row r="390" spans="1:17" customFormat="1">
      <c r="A390" s="153"/>
      <c r="B390" s="238" t="s">
        <v>1765</v>
      </c>
      <c r="C390" s="747" t="s">
        <v>1766</v>
      </c>
      <c r="D390" s="247">
        <v>597377.5</v>
      </c>
      <c r="E390" s="247">
        <v>615837</v>
      </c>
      <c r="F390" s="247">
        <f>E390-D390</f>
        <v>18459.5</v>
      </c>
      <c r="G390" s="153">
        <v>90</v>
      </c>
      <c r="H390" s="244">
        <f>(F390*G390)</f>
        <v>1661355</v>
      </c>
      <c r="I390" s="244">
        <v>620000</v>
      </c>
      <c r="J390" s="244">
        <f>H390+I390</f>
        <v>2281355</v>
      </c>
      <c r="K390" s="247"/>
      <c r="L390" s="735">
        <v>2352780</v>
      </c>
      <c r="M390" s="736">
        <f t="shared" si="25"/>
        <v>0.96964229549724157</v>
      </c>
      <c r="N390" s="379"/>
      <c r="O390" s="379"/>
      <c r="P390" s="379"/>
      <c r="Q390" s="379"/>
    </row>
    <row r="391" spans="1:17" customFormat="1">
      <c r="A391" s="153"/>
      <c r="B391" s="238" t="s">
        <v>1363</v>
      </c>
      <c r="C391" s="238"/>
      <c r="D391" s="247"/>
      <c r="E391" s="247"/>
      <c r="F391" s="247"/>
      <c r="G391" s="153"/>
      <c r="H391" s="244"/>
      <c r="I391" s="244"/>
      <c r="J391" s="244">
        <f>SUM(J389:J390)</f>
        <v>3344754.9999999944</v>
      </c>
      <c r="K391" s="247"/>
      <c r="L391" s="735">
        <v>3461480.0000000116</v>
      </c>
      <c r="M391" s="736">
        <f t="shared" ref="M391:M417" si="32">J391/L391</f>
        <v>0.96627887493210507</v>
      </c>
      <c r="N391" s="379"/>
      <c r="O391" s="379"/>
      <c r="P391" s="379"/>
      <c r="Q391" s="379"/>
    </row>
    <row r="392" spans="1:17" customFormat="1">
      <c r="A392" s="153"/>
      <c r="B392" s="733" t="s">
        <v>1767</v>
      </c>
      <c r="C392" s="238"/>
      <c r="D392" s="247"/>
      <c r="E392" s="247"/>
      <c r="F392" s="247"/>
      <c r="G392" s="153"/>
      <c r="H392" s="244"/>
      <c r="I392" s="244"/>
      <c r="J392" s="244"/>
      <c r="K392" s="247"/>
      <c r="L392" s="735"/>
      <c r="M392" s="736" t="e">
        <f t="shared" si="32"/>
        <v>#DIV/0!</v>
      </c>
      <c r="N392" s="379"/>
      <c r="O392" s="379"/>
      <c r="P392" s="379"/>
      <c r="Q392" s="379"/>
    </row>
    <row r="393" spans="1:17" customFormat="1">
      <c r="A393" s="153">
        <v>51</v>
      </c>
      <c r="B393" s="748" t="s">
        <v>167</v>
      </c>
      <c r="C393" s="238" t="s">
        <v>1768</v>
      </c>
      <c r="D393" s="247">
        <v>60014.71</v>
      </c>
      <c r="E393" s="247">
        <v>60541.56</v>
      </c>
      <c r="F393" s="247">
        <f>E393-D393</f>
        <v>526.84999999999854</v>
      </c>
      <c r="G393" s="153">
        <v>3000</v>
      </c>
      <c r="H393" s="244">
        <f>(F393*G393)</f>
        <v>1580549.9999999956</v>
      </c>
      <c r="I393" s="244"/>
      <c r="J393" s="244">
        <f>H393+I393</f>
        <v>1580549.9999999956</v>
      </c>
      <c r="K393" s="247"/>
      <c r="L393" s="735">
        <v>1711139.9999999921</v>
      </c>
      <c r="M393" s="736">
        <f t="shared" si="32"/>
        <v>0.92368245730916398</v>
      </c>
      <c r="N393" s="379">
        <v>1362421.8746</v>
      </c>
      <c r="O393" s="379"/>
      <c r="P393" s="379"/>
      <c r="Q393" s="379">
        <v>7974669663</v>
      </c>
    </row>
    <row r="394" spans="1:17" customFormat="1">
      <c r="A394" s="153">
        <v>52</v>
      </c>
      <c r="B394" s="748" t="s">
        <v>1769</v>
      </c>
      <c r="C394" s="238" t="s">
        <v>1770</v>
      </c>
      <c r="D394" s="247">
        <v>46104.77</v>
      </c>
      <c r="E394" s="247">
        <v>46526.19</v>
      </c>
      <c r="F394" s="247">
        <f>E394-D394</f>
        <v>421.42000000000553</v>
      </c>
      <c r="G394" s="153">
        <v>1500</v>
      </c>
      <c r="H394" s="244">
        <f>(F394*G394)</f>
        <v>632130.00000000827</v>
      </c>
      <c r="I394" s="244"/>
      <c r="J394" s="244">
        <f>H394+I394</f>
        <v>632130.00000000827</v>
      </c>
      <c r="K394" s="247"/>
      <c r="L394" s="735">
        <v>505799.99999999563</v>
      </c>
      <c r="M394" s="736">
        <f t="shared" si="32"/>
        <v>1.2497627520759464</v>
      </c>
      <c r="N394" s="379"/>
      <c r="O394" s="379"/>
      <c r="P394" s="379"/>
      <c r="Q394" s="379"/>
    </row>
    <row r="395" spans="1:17" customFormat="1">
      <c r="A395" s="153">
        <v>53</v>
      </c>
      <c r="B395" s="238" t="s">
        <v>1771</v>
      </c>
      <c r="C395" s="238" t="s">
        <v>1772</v>
      </c>
      <c r="D395" s="247">
        <v>46857.5</v>
      </c>
      <c r="E395" s="247">
        <v>47294.2</v>
      </c>
      <c r="F395" s="247">
        <f>E395-D395</f>
        <v>436.69999999999709</v>
      </c>
      <c r="G395" s="153">
        <v>2000</v>
      </c>
      <c r="H395" s="244">
        <f>(F395*G395)</f>
        <v>873399.99999999418</v>
      </c>
      <c r="I395" s="244"/>
      <c r="J395" s="244">
        <f>H395+I395</f>
        <v>873399.99999999418</v>
      </c>
      <c r="K395" s="247"/>
      <c r="L395" s="735">
        <v>969800.00000000291</v>
      </c>
      <c r="M395" s="736">
        <f t="shared" si="32"/>
        <v>0.90059806145596155</v>
      </c>
      <c r="N395" s="379"/>
      <c r="O395" s="379"/>
      <c r="P395" s="379"/>
      <c r="Q395" s="379"/>
    </row>
    <row r="396" spans="1:17" customFormat="1">
      <c r="A396" s="153">
        <v>54</v>
      </c>
      <c r="B396" s="238" t="s">
        <v>1773</v>
      </c>
      <c r="C396" s="238" t="s">
        <v>1774</v>
      </c>
      <c r="D396" s="247">
        <v>60935.7</v>
      </c>
      <c r="E396" s="247">
        <v>61070.1</v>
      </c>
      <c r="F396" s="247">
        <f>E396-D396</f>
        <v>134.40000000000146</v>
      </c>
      <c r="G396" s="153">
        <v>1000</v>
      </c>
      <c r="H396" s="244">
        <f>(F396*G396)</f>
        <v>134400.00000000146</v>
      </c>
      <c r="I396" s="244">
        <v>75000</v>
      </c>
      <c r="J396" s="244">
        <f>H396+I396</f>
        <v>209400.00000000146</v>
      </c>
      <c r="K396" s="247"/>
      <c r="L396" s="735">
        <v>207199.99999999709</v>
      </c>
      <c r="M396" s="736">
        <f t="shared" si="32"/>
        <v>1.0106177606177817</v>
      </c>
      <c r="N396" s="379"/>
      <c r="O396" s="379"/>
      <c r="P396" s="379"/>
      <c r="Q396" s="379"/>
    </row>
    <row r="397" spans="1:17" customFormat="1">
      <c r="A397" s="153"/>
      <c r="B397" s="238"/>
      <c r="C397" s="238"/>
      <c r="D397" s="247"/>
      <c r="E397" s="247"/>
      <c r="F397" s="247"/>
      <c r="G397" s="153"/>
      <c r="H397" s="244"/>
      <c r="I397" s="244"/>
      <c r="J397" s="244">
        <f>SUM(J393:J396)</f>
        <v>3295479.9999999995</v>
      </c>
      <c r="K397" s="743">
        <f>(J391-J397)/J391</f>
        <v>1.473202073096384E-2</v>
      </c>
      <c r="L397" s="735">
        <v>3393939.9999999879</v>
      </c>
      <c r="M397" s="736">
        <f t="shared" si="32"/>
        <v>0.97098946946616949</v>
      </c>
      <c r="N397" s="379"/>
      <c r="O397" s="379"/>
      <c r="P397" s="379"/>
      <c r="Q397" s="379"/>
    </row>
    <row r="398" spans="1:17" customFormat="1">
      <c r="A398" s="95">
        <v>12</v>
      </c>
      <c r="B398" s="741" t="s">
        <v>1775</v>
      </c>
      <c r="C398" s="238"/>
      <c r="D398" s="247"/>
      <c r="E398" s="247"/>
      <c r="F398" s="247"/>
      <c r="G398" s="153"/>
      <c r="H398" s="244"/>
      <c r="I398" s="244"/>
      <c r="J398" s="244"/>
      <c r="K398" s="247"/>
      <c r="L398" s="735">
        <v>1880000</v>
      </c>
      <c r="M398" s="736">
        <f t="shared" si="32"/>
        <v>0</v>
      </c>
      <c r="N398" s="379"/>
      <c r="O398" s="379"/>
      <c r="P398" s="379"/>
      <c r="Q398" s="379"/>
    </row>
    <row r="399" spans="1:17" customFormat="1">
      <c r="A399" s="153">
        <v>1</v>
      </c>
      <c r="B399" s="238" t="s">
        <v>1776</v>
      </c>
      <c r="C399" s="238" t="s">
        <v>1777</v>
      </c>
      <c r="D399" s="247">
        <v>41327.5</v>
      </c>
      <c r="E399" s="247">
        <v>41658.5</v>
      </c>
      <c r="F399" s="247">
        <f>E399-D399</f>
        <v>331</v>
      </c>
      <c r="G399" s="153">
        <v>8000</v>
      </c>
      <c r="H399" s="244">
        <f>(F399*G399)</f>
        <v>2648000</v>
      </c>
      <c r="I399" s="244"/>
      <c r="J399" s="244">
        <f>H399+I399</f>
        <v>2648000</v>
      </c>
      <c r="K399" s="247"/>
      <c r="L399" s="735">
        <v>741800.00000000303</v>
      </c>
      <c r="M399" s="736">
        <f t="shared" si="32"/>
        <v>3.5696953356699774</v>
      </c>
      <c r="N399" s="379"/>
      <c r="O399" s="379"/>
      <c r="P399" s="379"/>
      <c r="Q399" s="379"/>
    </row>
    <row r="400" spans="1:17" customFormat="1">
      <c r="A400" s="153">
        <v>2</v>
      </c>
      <c r="B400" s="238" t="s">
        <v>1776</v>
      </c>
      <c r="C400" s="238" t="s">
        <v>1778</v>
      </c>
      <c r="D400" s="247">
        <v>55590.400000000001</v>
      </c>
      <c r="E400" s="247">
        <v>56144</v>
      </c>
      <c r="F400" s="247">
        <f>E400-D400</f>
        <v>553.59999999999854</v>
      </c>
      <c r="G400" s="153">
        <v>2000</v>
      </c>
      <c r="H400" s="244">
        <f>(F400*G400)</f>
        <v>1107199.9999999972</v>
      </c>
      <c r="I400" s="244"/>
      <c r="J400" s="244">
        <f>H400+I400</f>
        <v>1107199.9999999972</v>
      </c>
      <c r="K400" s="244"/>
      <c r="L400" s="735">
        <v>1880000</v>
      </c>
      <c r="M400" s="736">
        <f t="shared" si="32"/>
        <v>0.58893617021276445</v>
      </c>
      <c r="N400" s="379"/>
      <c r="O400" s="379"/>
      <c r="P400" s="379"/>
      <c r="Q400" s="379"/>
    </row>
    <row r="401" spans="1:16" customFormat="1">
      <c r="A401" s="153"/>
      <c r="B401" s="238" t="s">
        <v>1363</v>
      </c>
      <c r="C401" s="238"/>
      <c r="D401" s="153"/>
      <c r="E401" s="153"/>
      <c r="F401" s="153"/>
      <c r="G401" s="153"/>
      <c r="H401" s="153"/>
      <c r="I401" s="244"/>
      <c r="J401" s="244">
        <f>J399</f>
        <v>2648000</v>
      </c>
      <c r="K401" s="153"/>
      <c r="L401" s="735"/>
      <c r="M401" s="736" t="e">
        <f t="shared" si="32"/>
        <v>#DIV/0!</v>
      </c>
      <c r="N401" s="379"/>
      <c r="O401" s="379"/>
      <c r="P401" s="379"/>
    </row>
    <row r="402" spans="1:16" customFormat="1">
      <c r="A402" s="153"/>
      <c r="B402" s="733" t="s">
        <v>1767</v>
      </c>
      <c r="C402" s="238"/>
      <c r="D402" s="247"/>
      <c r="E402" s="247"/>
      <c r="F402" s="247"/>
      <c r="G402" s="153"/>
      <c r="H402" s="244"/>
      <c r="I402" s="244"/>
      <c r="J402" s="244"/>
      <c r="K402" s="247"/>
      <c r="L402" s="735">
        <v>478999.99999999598</v>
      </c>
      <c r="M402" s="736">
        <f t="shared" si="32"/>
        <v>0</v>
      </c>
      <c r="N402" s="379"/>
      <c r="O402" s="379"/>
      <c r="P402" s="379"/>
    </row>
    <row r="403" spans="1:16" customFormat="1">
      <c r="A403" s="153">
        <v>55</v>
      </c>
      <c r="B403" s="238" t="s">
        <v>1779</v>
      </c>
      <c r="C403" s="238" t="s">
        <v>1780</v>
      </c>
      <c r="D403" s="247">
        <v>4375.24</v>
      </c>
      <c r="E403" s="247">
        <v>4410.78</v>
      </c>
      <c r="F403" s="247">
        <f>E403-D403</f>
        <v>35.539999999999964</v>
      </c>
      <c r="G403" s="153">
        <v>20000</v>
      </c>
      <c r="H403" s="244">
        <f>(F403*G403)</f>
        <v>710799.9999999993</v>
      </c>
      <c r="I403" s="244"/>
      <c r="J403" s="244">
        <f>H403+I403</f>
        <v>710799.9999999993</v>
      </c>
      <c r="K403" s="812"/>
      <c r="L403" s="735">
        <v>619927.133999996</v>
      </c>
      <c r="M403" s="736">
        <f t="shared" si="32"/>
        <v>1.1465863663906086</v>
      </c>
      <c r="N403" s="379"/>
      <c r="O403" s="379"/>
      <c r="P403" s="379"/>
    </row>
    <row r="404" spans="1:16" customFormat="1">
      <c r="A404" s="153">
        <v>56</v>
      </c>
      <c r="B404" s="238" t="s">
        <v>1781</v>
      </c>
      <c r="C404" s="238" t="s">
        <v>1782</v>
      </c>
      <c r="D404" s="247">
        <v>106934.5</v>
      </c>
      <c r="E404" s="247">
        <v>108267.5</v>
      </c>
      <c r="F404" s="247">
        <f>E404-D404</f>
        <v>1333</v>
      </c>
      <c r="G404" s="153">
        <v>666.66</v>
      </c>
      <c r="H404" s="244">
        <f>(F404*G404)</f>
        <v>888657.77999999991</v>
      </c>
      <c r="I404" s="813"/>
      <c r="J404" s="244">
        <f>H404+I404</f>
        <v>888657.77999999991</v>
      </c>
      <c r="K404" s="247"/>
      <c r="L404" s="735">
        <v>260000</v>
      </c>
      <c r="M404" s="736">
        <f t="shared" si="32"/>
        <v>3.4179145384615381</v>
      </c>
      <c r="N404" s="379"/>
      <c r="O404" s="379"/>
      <c r="P404" s="379"/>
    </row>
    <row r="405" spans="1:16" customFormat="1">
      <c r="A405" s="153">
        <v>57</v>
      </c>
      <c r="B405" s="238" t="s">
        <v>1783</v>
      </c>
      <c r="C405" s="238" t="s">
        <v>1784</v>
      </c>
      <c r="D405" s="247">
        <v>11946.8</v>
      </c>
      <c r="E405" s="247">
        <v>12143.4</v>
      </c>
      <c r="F405" s="247">
        <f>E405-D405</f>
        <v>196.60000000000036</v>
      </c>
      <c r="G405" s="247">
        <v>2000</v>
      </c>
      <c r="H405" s="244">
        <f>(F405*G405)</f>
        <v>393200.0000000007</v>
      </c>
      <c r="I405" s="244"/>
      <c r="J405" s="244">
        <f>H405+I405</f>
        <v>393200.0000000007</v>
      </c>
      <c r="K405" s="247"/>
      <c r="L405" s="735">
        <v>484200.00000000402</v>
      </c>
      <c r="M405" s="736">
        <f t="shared" si="32"/>
        <v>0.81206113176372874</v>
      </c>
      <c r="N405" s="379"/>
      <c r="O405" s="379">
        <v>362359.86349999998</v>
      </c>
      <c r="P405" s="743">
        <f>(J400-O405)/J400</f>
        <v>0.67272411172326507</v>
      </c>
    </row>
    <row r="406" spans="1:16" customFormat="1">
      <c r="A406" s="153">
        <v>58</v>
      </c>
      <c r="B406" s="238" t="s">
        <v>1785</v>
      </c>
      <c r="C406" s="814" t="s">
        <v>1786</v>
      </c>
      <c r="D406" s="247">
        <v>2811.85</v>
      </c>
      <c r="E406" s="247">
        <v>2842.16</v>
      </c>
      <c r="F406" s="247">
        <f>E406-D406</f>
        <v>30.309999999999945</v>
      </c>
      <c r="G406" s="247">
        <v>20000</v>
      </c>
      <c r="H406" s="244">
        <f>(F406*G406)</f>
        <v>606199.99999999895</v>
      </c>
      <c r="I406" s="244"/>
      <c r="J406" s="244">
        <f>H406+I406</f>
        <v>606199.99999999895</v>
      </c>
      <c r="K406" s="247"/>
      <c r="L406" s="735">
        <v>1843127.1340000001</v>
      </c>
      <c r="M406" s="736">
        <f t="shared" si="32"/>
        <v>0.32889755069928828</v>
      </c>
      <c r="N406" s="379"/>
      <c r="O406" s="379">
        <v>581220</v>
      </c>
      <c r="P406" s="743">
        <f>(J399-O406)/J399</f>
        <v>0.78050604229607246</v>
      </c>
    </row>
    <row r="407" spans="1:16" customFormat="1">
      <c r="A407" s="153"/>
      <c r="B407" s="755"/>
      <c r="C407" s="238"/>
      <c r="D407" s="247"/>
      <c r="E407" s="247"/>
      <c r="F407" s="247"/>
      <c r="G407" s="153"/>
      <c r="H407" s="244"/>
      <c r="I407" s="244"/>
      <c r="J407" s="244">
        <f>SUM(J403:J406)</f>
        <v>2598857.7799999989</v>
      </c>
      <c r="K407" s="743">
        <f>(J401-J407)/J401</f>
        <v>1.8558240181269312E-2</v>
      </c>
      <c r="L407" s="735"/>
      <c r="M407" s="736" t="e">
        <f t="shared" si="32"/>
        <v>#DIV/0!</v>
      </c>
      <c r="N407" s="379"/>
      <c r="O407" s="379"/>
      <c r="P407" s="379"/>
    </row>
    <row r="408" spans="1:16" customFormat="1">
      <c r="A408" s="95">
        <v>13</v>
      </c>
      <c r="B408" s="741" t="s">
        <v>1787</v>
      </c>
      <c r="C408" s="238"/>
      <c r="D408" s="247"/>
      <c r="E408" s="247"/>
      <c r="F408" s="247"/>
      <c r="G408" s="153"/>
      <c r="H408" s="244"/>
      <c r="I408" s="244"/>
      <c r="J408" s="244"/>
      <c r="K408" s="247"/>
      <c r="L408" s="785">
        <v>865599.99999997695</v>
      </c>
      <c r="M408" s="736">
        <f t="shared" si="32"/>
        <v>0</v>
      </c>
      <c r="N408" s="379"/>
      <c r="O408" s="379"/>
      <c r="P408" s="379"/>
    </row>
    <row r="409" spans="1:16" customFormat="1">
      <c r="A409" s="153">
        <v>1</v>
      </c>
      <c r="B409" s="238" t="s">
        <v>242</v>
      </c>
      <c r="C409" s="238" t="s">
        <v>1788</v>
      </c>
      <c r="D409" s="247">
        <v>5208.8999999999996</v>
      </c>
      <c r="E409" s="247">
        <v>5236.93</v>
      </c>
      <c r="F409" s="247">
        <f>E409-D409</f>
        <v>28.030000000000655</v>
      </c>
      <c r="G409" s="153">
        <v>80000</v>
      </c>
      <c r="H409" s="244">
        <f>(F409*G409)</f>
        <v>2242400.0000000522</v>
      </c>
      <c r="I409" s="244"/>
      <c r="J409" s="244">
        <f t="shared" ref="J409:J414" si="33">H409+I409</f>
        <v>2242400.0000000522</v>
      </c>
      <c r="K409" s="247"/>
      <c r="L409" s="735">
        <v>1809599.9999999912</v>
      </c>
      <c r="M409" s="736">
        <f t="shared" si="32"/>
        <v>1.2391688770999465</v>
      </c>
      <c r="N409" s="379"/>
      <c r="O409" s="379"/>
      <c r="P409" s="379"/>
    </row>
    <row r="410" spans="1:16" customFormat="1">
      <c r="A410" s="153">
        <v>2</v>
      </c>
      <c r="B410" s="734" t="s">
        <v>1789</v>
      </c>
      <c r="C410" s="748" t="s">
        <v>321</v>
      </c>
      <c r="D410" s="809">
        <v>437460</v>
      </c>
      <c r="E410" s="809">
        <v>439390</v>
      </c>
      <c r="F410" s="809">
        <f>E410-D410</f>
        <v>1930</v>
      </c>
      <c r="G410" s="747">
        <v>40</v>
      </c>
      <c r="H410" s="769">
        <f>F410*G410</f>
        <v>77200</v>
      </c>
      <c r="I410" s="769"/>
      <c r="J410" s="769">
        <f t="shared" si="33"/>
        <v>77200</v>
      </c>
      <c r="K410" s="809"/>
      <c r="L410" s="735">
        <v>52400</v>
      </c>
      <c r="M410" s="736">
        <f t="shared" si="32"/>
        <v>1.4732824427480915</v>
      </c>
      <c r="N410" s="379"/>
      <c r="O410" s="379"/>
      <c r="P410" s="379"/>
    </row>
    <row r="411" spans="1:16" customFormat="1">
      <c r="A411" s="153"/>
      <c r="B411" s="734" t="s">
        <v>1790</v>
      </c>
      <c r="C411" s="748" t="s">
        <v>321</v>
      </c>
      <c r="D411" s="809">
        <v>90050</v>
      </c>
      <c r="E411" s="809">
        <v>90080</v>
      </c>
      <c r="F411" s="809">
        <f>E411-D411</f>
        <v>30</v>
      </c>
      <c r="G411" s="747">
        <v>40</v>
      </c>
      <c r="H411" s="769">
        <f>F411*G411</f>
        <v>1200</v>
      </c>
      <c r="I411" s="769"/>
      <c r="J411" s="769">
        <f t="shared" si="33"/>
        <v>1200</v>
      </c>
      <c r="K411" s="809"/>
      <c r="L411" s="735">
        <v>2400</v>
      </c>
      <c r="M411" s="736">
        <f t="shared" si="32"/>
        <v>0.5</v>
      </c>
      <c r="N411" s="379"/>
      <c r="O411" s="379"/>
      <c r="P411" s="379"/>
    </row>
    <row r="412" spans="1:16" customFormat="1">
      <c r="A412" s="153"/>
      <c r="B412" s="238" t="s">
        <v>1791</v>
      </c>
      <c r="C412" s="14" t="s">
        <v>1792</v>
      </c>
      <c r="D412" s="247">
        <v>323431</v>
      </c>
      <c r="E412" s="247">
        <v>328455</v>
      </c>
      <c r="F412" s="247">
        <f>E412-D412</f>
        <v>5024</v>
      </c>
      <c r="G412" s="153">
        <v>80</v>
      </c>
      <c r="H412" s="244">
        <f>(F412*G412)</f>
        <v>401920</v>
      </c>
      <c r="I412" s="244"/>
      <c r="J412" s="244">
        <f t="shared" si="33"/>
        <v>401920</v>
      </c>
      <c r="K412" s="809"/>
      <c r="L412" s="735">
        <v>717200</v>
      </c>
      <c r="M412" s="736">
        <f t="shared" si="32"/>
        <v>0.56040156162855548</v>
      </c>
      <c r="N412" s="379"/>
      <c r="O412" s="379"/>
      <c r="P412" s="379"/>
    </row>
    <row r="413" spans="1:16" customFormat="1">
      <c r="A413" s="153"/>
      <c r="B413" s="238" t="s">
        <v>1791</v>
      </c>
      <c r="C413" s="14" t="s">
        <v>1792</v>
      </c>
      <c r="D413" s="247">
        <v>321268</v>
      </c>
      <c r="E413" s="247">
        <v>324824</v>
      </c>
      <c r="F413" s="247">
        <f>E413-D413</f>
        <v>3556</v>
      </c>
      <c r="G413" s="153">
        <v>80</v>
      </c>
      <c r="H413" s="244">
        <f>(F413*G413)</f>
        <v>284480</v>
      </c>
      <c r="I413" s="244"/>
      <c r="J413" s="244">
        <f t="shared" si="33"/>
        <v>284480</v>
      </c>
      <c r="K413" s="809"/>
      <c r="L413" s="735">
        <v>713040</v>
      </c>
      <c r="M413" s="736">
        <f t="shared" si="32"/>
        <v>0.39896779984292607</v>
      </c>
      <c r="N413" s="379"/>
      <c r="O413" s="379"/>
      <c r="P413" s="379"/>
    </row>
    <row r="414" spans="1:16" customFormat="1">
      <c r="A414" s="153"/>
      <c r="B414" s="734" t="s">
        <v>1736</v>
      </c>
      <c r="C414" s="748"/>
      <c r="D414" s="809"/>
      <c r="E414" s="809"/>
      <c r="F414" s="809"/>
      <c r="G414" s="747"/>
      <c r="H414" s="769"/>
      <c r="I414" s="769"/>
      <c r="J414" s="244">
        <f t="shared" si="33"/>
        <v>0</v>
      </c>
      <c r="K414" s="809"/>
      <c r="L414" s="735">
        <v>305000</v>
      </c>
      <c r="M414" s="736">
        <f t="shared" si="32"/>
        <v>0</v>
      </c>
      <c r="N414" s="379"/>
      <c r="O414" s="379"/>
      <c r="P414" s="379"/>
    </row>
    <row r="415" spans="1:16" customFormat="1">
      <c r="A415" s="153"/>
      <c r="B415" s="734" t="s">
        <v>1363</v>
      </c>
      <c r="C415" s="238"/>
      <c r="D415" s="153"/>
      <c r="E415" s="153"/>
      <c r="F415" s="153"/>
      <c r="G415" s="247"/>
      <c r="H415" s="153"/>
      <c r="I415" s="244"/>
      <c r="J415" s="244">
        <f>J409-J410-J411+J412-J413+J414</f>
        <v>2281440.0000000522</v>
      </c>
      <c r="K415" s="153"/>
      <c r="L415" s="735">
        <v>2173559.9999999912</v>
      </c>
      <c r="M415" s="736">
        <f t="shared" si="32"/>
        <v>1.0496328603765535</v>
      </c>
      <c r="N415" s="379"/>
      <c r="O415" s="379"/>
      <c r="P415" s="379"/>
    </row>
    <row r="416" spans="1:16" customFormat="1">
      <c r="A416" s="153"/>
      <c r="B416" s="734" t="s">
        <v>1793</v>
      </c>
      <c r="C416" s="238" t="s">
        <v>1794</v>
      </c>
      <c r="D416" s="247">
        <v>1774.48</v>
      </c>
      <c r="E416" s="247">
        <v>1774.48</v>
      </c>
      <c r="F416" s="247">
        <f>E416-D416</f>
        <v>0</v>
      </c>
      <c r="G416" s="153">
        <v>2000</v>
      </c>
      <c r="H416" s="244">
        <f>F416*G416</f>
        <v>0</v>
      </c>
      <c r="I416" s="244"/>
      <c r="J416" s="244" t="s">
        <v>1546</v>
      </c>
      <c r="K416" s="247"/>
      <c r="L416" s="735" t="s">
        <v>1546</v>
      </c>
      <c r="M416" s="736" t="e">
        <f t="shared" si="32"/>
        <v>#VALUE!</v>
      </c>
      <c r="N416" s="379"/>
      <c r="O416" s="379"/>
      <c r="P416" s="379"/>
    </row>
    <row r="417" spans="1:16" customFormat="1">
      <c r="A417" s="153" t="s">
        <v>1795</v>
      </c>
      <c r="B417" s="748" t="s">
        <v>1796</v>
      </c>
      <c r="C417" s="748" t="s">
        <v>337</v>
      </c>
      <c r="D417" s="809">
        <v>1489.1</v>
      </c>
      <c r="E417" s="809">
        <v>1489.1</v>
      </c>
      <c r="F417" s="809">
        <f>E417-D417</f>
        <v>0</v>
      </c>
      <c r="G417" s="747">
        <v>13333</v>
      </c>
      <c r="H417" s="769">
        <f>(F417*G417)</f>
        <v>0</v>
      </c>
      <c r="I417" s="769">
        <v>110933</v>
      </c>
      <c r="J417" s="769">
        <f>H417+I417</f>
        <v>110933</v>
      </c>
      <c r="K417" s="809" t="s">
        <v>5</v>
      </c>
      <c r="L417" s="735">
        <v>40933</v>
      </c>
      <c r="M417" s="736">
        <f t="shared" si="32"/>
        <v>2.7101116458603083</v>
      </c>
      <c r="N417" s="379"/>
      <c r="O417" s="379"/>
      <c r="P417" s="379"/>
    </row>
    <row r="418" spans="1:16" customFormat="1">
      <c r="A418" s="153"/>
      <c r="B418" s="748" t="s">
        <v>1797</v>
      </c>
      <c r="C418" s="748" t="s">
        <v>1798</v>
      </c>
      <c r="D418" s="809">
        <v>2320500</v>
      </c>
      <c r="E418" s="809">
        <v>2764670</v>
      </c>
      <c r="F418" s="769">
        <f>E418-D418</f>
        <v>444170</v>
      </c>
      <c r="G418" s="747">
        <v>1.333</v>
      </c>
      <c r="H418" s="769">
        <f>(F418*G418)</f>
        <v>592078.61</v>
      </c>
      <c r="I418" s="769"/>
      <c r="J418" s="769">
        <f>H418+I418</f>
        <v>592078.61</v>
      </c>
      <c r="K418" s="809"/>
      <c r="L418" s="735">
        <v>645625.22</v>
      </c>
      <c r="M418" s="736"/>
      <c r="N418" s="379"/>
      <c r="O418" s="379"/>
      <c r="P418" s="379"/>
    </row>
    <row r="419" spans="1:16" customFormat="1">
      <c r="A419" s="153">
        <v>59</v>
      </c>
      <c r="B419" s="734" t="s">
        <v>1799</v>
      </c>
      <c r="C419" s="238" t="s">
        <v>1800</v>
      </c>
      <c r="D419" s="247">
        <v>17648.689999999999</v>
      </c>
      <c r="E419" s="247">
        <v>17819.349999999999</v>
      </c>
      <c r="F419" s="247">
        <f>E419-D419</f>
        <v>170.65999999999985</v>
      </c>
      <c r="G419" s="153">
        <v>6666</v>
      </c>
      <c r="H419" s="244">
        <f>(F419*G419)</f>
        <v>1137619.5599999991</v>
      </c>
      <c r="I419" s="244"/>
      <c r="J419" s="244">
        <f>H419+I419</f>
        <v>1137619.5599999991</v>
      </c>
      <c r="K419" s="247"/>
      <c r="L419" s="735">
        <v>1047507.1769999835</v>
      </c>
      <c r="M419" s="736">
        <f t="shared" ref="M419:M450" si="34">J419/L419</f>
        <v>1.0860255518803161</v>
      </c>
      <c r="N419" s="379"/>
      <c r="O419" s="379"/>
      <c r="P419" s="379"/>
    </row>
    <row r="420" spans="1:16" customFormat="1">
      <c r="A420" s="153">
        <v>60</v>
      </c>
      <c r="B420" s="726" t="s">
        <v>1801</v>
      </c>
      <c r="C420" s="238" t="s">
        <v>1802</v>
      </c>
      <c r="D420" s="14">
        <v>178589</v>
      </c>
      <c r="E420" s="14">
        <v>184608.5</v>
      </c>
      <c r="F420" s="247">
        <f>E420-D420</f>
        <v>6019.5</v>
      </c>
      <c r="G420" s="153">
        <v>60</v>
      </c>
      <c r="H420" s="153">
        <f>F420*G420</f>
        <v>361170</v>
      </c>
      <c r="I420" s="242">
        <f>435480.4352-H420</f>
        <v>74310.435200000007</v>
      </c>
      <c r="J420" s="244">
        <f>H420+I420</f>
        <v>435480.43520000001</v>
      </c>
      <c r="K420" s="247"/>
      <c r="L420" s="735">
        <v>435480.43520000001</v>
      </c>
      <c r="M420" s="736">
        <f t="shared" si="34"/>
        <v>1</v>
      </c>
      <c r="N420" s="379"/>
      <c r="O420" s="379"/>
      <c r="P420" s="379"/>
    </row>
    <row r="421" spans="1:16" customFormat="1">
      <c r="A421" s="153"/>
      <c r="B421" s="734"/>
      <c r="C421" s="238"/>
      <c r="D421" s="247"/>
      <c r="E421" s="247"/>
      <c r="F421" s="247"/>
      <c r="G421" s="153"/>
      <c r="H421" s="244"/>
      <c r="I421" s="244"/>
      <c r="J421" s="244">
        <f>SUM(J417:J420)</f>
        <v>2276111.6051999992</v>
      </c>
      <c r="K421" s="743">
        <f>(J415-J421)/J415</f>
        <v>2.3355401851693912E-3</v>
      </c>
      <c r="L421" s="735">
        <v>2169545.8321999838</v>
      </c>
      <c r="M421" s="736">
        <f t="shared" si="34"/>
        <v>1.0491189314456448</v>
      </c>
      <c r="N421" s="379"/>
      <c r="O421" s="379"/>
      <c r="P421" s="379"/>
    </row>
    <row r="422" spans="1:16" customFormat="1">
      <c r="A422" s="95">
        <v>14</v>
      </c>
      <c r="B422" s="732" t="s">
        <v>1803</v>
      </c>
      <c r="C422" s="238"/>
      <c r="D422" s="247" t="s">
        <v>1804</v>
      </c>
      <c r="E422" s="247" t="s">
        <v>1804</v>
      </c>
      <c r="F422" s="247"/>
      <c r="G422" s="153"/>
      <c r="H422" s="244"/>
      <c r="I422" s="244"/>
      <c r="J422" s="244"/>
      <c r="K422" s="247"/>
      <c r="L422" s="735">
        <v>1228399.99999999</v>
      </c>
      <c r="M422" s="736">
        <f t="shared" si="34"/>
        <v>0</v>
      </c>
      <c r="N422" s="379"/>
      <c r="O422" s="379"/>
      <c r="P422" s="379"/>
    </row>
    <row r="423" spans="1:16" customFormat="1">
      <c r="A423" s="153">
        <v>1</v>
      </c>
      <c r="B423" s="734" t="s">
        <v>1631</v>
      </c>
      <c r="C423" s="238" t="s">
        <v>1805</v>
      </c>
      <c r="D423" s="247">
        <v>191166.5</v>
      </c>
      <c r="E423" s="247">
        <v>192861.5</v>
      </c>
      <c r="F423" s="247">
        <f>E423-D423</f>
        <v>1695</v>
      </c>
      <c r="G423" s="153">
        <v>1000</v>
      </c>
      <c r="H423" s="244">
        <f>(F423*G423)</f>
        <v>1695000</v>
      </c>
      <c r="I423" s="244"/>
      <c r="J423" s="244">
        <f>H423+I423</f>
        <v>1695000</v>
      </c>
      <c r="K423" s="247"/>
      <c r="L423" s="735">
        <v>1228399.99999999</v>
      </c>
      <c r="M423" s="736">
        <f t="shared" si="34"/>
        <v>1.3798436991208187</v>
      </c>
      <c r="N423" s="379"/>
      <c r="O423" s="379"/>
      <c r="P423" s="379"/>
    </row>
    <row r="424" spans="1:16" customFormat="1">
      <c r="A424" s="153"/>
      <c r="B424" s="734" t="s">
        <v>1363</v>
      </c>
      <c r="C424" s="238"/>
      <c r="D424" s="247"/>
      <c r="E424" s="247"/>
      <c r="F424" s="247"/>
      <c r="G424" s="153"/>
      <c r="H424" s="244"/>
      <c r="I424" s="244"/>
      <c r="J424" s="244">
        <f>SUM(J423)</f>
        <v>1695000</v>
      </c>
      <c r="K424" s="247"/>
      <c r="L424" s="735"/>
      <c r="M424" s="736" t="e">
        <f t="shared" si="34"/>
        <v>#DIV/0!</v>
      </c>
      <c r="N424" s="379"/>
      <c r="O424" s="379"/>
      <c r="P424" s="379"/>
    </row>
    <row r="425" spans="1:16" customFormat="1">
      <c r="A425" s="153"/>
      <c r="B425" s="733" t="s">
        <v>1364</v>
      </c>
      <c r="C425" s="238"/>
      <c r="D425" s="247"/>
      <c r="E425" s="247"/>
      <c r="F425" s="247"/>
      <c r="G425" s="153"/>
      <c r="H425" s="244"/>
      <c r="I425" s="244"/>
      <c r="J425" s="244"/>
      <c r="K425" s="247"/>
      <c r="L425" s="735">
        <v>217400.00000000099</v>
      </c>
      <c r="M425" s="736">
        <f t="shared" si="34"/>
        <v>0</v>
      </c>
      <c r="N425" s="379"/>
      <c r="O425" s="379"/>
      <c r="P425" s="379"/>
    </row>
    <row r="426" spans="1:16" customFormat="1">
      <c r="A426" s="153">
        <v>61</v>
      </c>
      <c r="B426" s="734" t="s">
        <v>1806</v>
      </c>
      <c r="C426" s="238" t="s">
        <v>1807</v>
      </c>
      <c r="D426" s="247">
        <v>21515.7</v>
      </c>
      <c r="E426" s="247">
        <v>21751.5</v>
      </c>
      <c r="F426" s="247">
        <f>E426-D426</f>
        <v>235.79999999999927</v>
      </c>
      <c r="G426" s="153">
        <v>2000</v>
      </c>
      <c r="H426" s="244">
        <f>(F426*G426)</f>
        <v>471599.99999999854</v>
      </c>
      <c r="I426" s="244"/>
      <c r="J426" s="244">
        <f>H426+I426</f>
        <v>471599.99999999854</v>
      </c>
      <c r="K426" s="247"/>
      <c r="L426" s="735">
        <v>623333.17749999999</v>
      </c>
      <c r="M426" s="736">
        <f t="shared" si="34"/>
        <v>0.75657772925138189</v>
      </c>
      <c r="N426" s="379" t="s">
        <v>1808</v>
      </c>
      <c r="O426" s="379"/>
      <c r="P426" s="379">
        <v>528320.31000000006</v>
      </c>
    </row>
    <row r="427" spans="1:16" customFormat="1">
      <c r="A427" s="153">
        <v>62</v>
      </c>
      <c r="B427" s="734" t="s">
        <v>1809</v>
      </c>
      <c r="C427" s="238" t="s">
        <v>1810</v>
      </c>
      <c r="D427" s="247">
        <v>38523.599999999999</v>
      </c>
      <c r="E427" s="247">
        <v>38984.300000000003</v>
      </c>
      <c r="F427" s="247">
        <f>E427-D427</f>
        <v>460.70000000000437</v>
      </c>
      <c r="G427" s="247">
        <v>1333.3330000000001</v>
      </c>
      <c r="H427" s="244">
        <f>(F427*G427)</f>
        <v>614266.5131000058</v>
      </c>
      <c r="I427" s="244"/>
      <c r="J427" s="244">
        <f>H427+I427</f>
        <v>614266.5131000058</v>
      </c>
      <c r="K427" s="247"/>
      <c r="L427" s="735">
        <v>363399.999999994</v>
      </c>
      <c r="M427" s="736">
        <f t="shared" si="34"/>
        <v>1.6903316265823223</v>
      </c>
      <c r="N427" s="379" t="s">
        <v>1811</v>
      </c>
      <c r="O427" s="379"/>
      <c r="P427" s="379">
        <v>349601.56</v>
      </c>
    </row>
    <row r="428" spans="1:16" customFormat="1">
      <c r="A428" s="153">
        <v>63</v>
      </c>
      <c r="B428" s="734" t="s">
        <v>1812</v>
      </c>
      <c r="C428" s="238" t="s">
        <v>1813</v>
      </c>
      <c r="D428" s="247">
        <v>31169.5</v>
      </c>
      <c r="E428" s="247">
        <v>31457.599999999999</v>
      </c>
      <c r="F428" s="247">
        <f>E428-D428</f>
        <v>288.09999999999854</v>
      </c>
      <c r="G428" s="153">
        <v>2000</v>
      </c>
      <c r="H428" s="244">
        <f>(F428*G428)</f>
        <v>576199.99999999709</v>
      </c>
      <c r="I428" s="244"/>
      <c r="J428" s="244">
        <f>H428+I428</f>
        <v>576199.99999999709</v>
      </c>
      <c r="K428" s="153"/>
      <c r="L428" s="735">
        <v>1204133.1775</v>
      </c>
      <c r="M428" s="736">
        <f t="shared" si="34"/>
        <v>0.47851849842414718</v>
      </c>
      <c r="N428" s="379" t="s">
        <v>1814</v>
      </c>
      <c r="O428" s="379"/>
      <c r="P428" s="379">
        <v>190500</v>
      </c>
    </row>
    <row r="429" spans="1:16" customFormat="1">
      <c r="A429" s="153"/>
      <c r="B429" s="734"/>
      <c r="C429" s="238"/>
      <c r="D429" s="247"/>
      <c r="E429" s="247"/>
      <c r="F429" s="247"/>
      <c r="G429" s="153"/>
      <c r="H429" s="244"/>
      <c r="I429" s="244"/>
      <c r="J429" s="244">
        <f>SUM(J426:J428)</f>
        <v>1662066.5131000015</v>
      </c>
      <c r="K429" s="743">
        <f>(J423-J429)/J423</f>
        <v>1.9429785781710032E-2</v>
      </c>
      <c r="L429" s="735"/>
      <c r="M429" s="736" t="e">
        <f t="shared" si="34"/>
        <v>#DIV/0!</v>
      </c>
      <c r="N429" s="379">
        <f>20/30</f>
        <v>0.66666666666666663</v>
      </c>
      <c r="O429" s="379"/>
      <c r="P429" s="379"/>
    </row>
    <row r="430" spans="1:16" customFormat="1">
      <c r="A430" s="95">
        <v>15</v>
      </c>
      <c r="B430" s="732" t="s">
        <v>1815</v>
      </c>
      <c r="C430" s="238"/>
      <c r="D430" s="247"/>
      <c r="E430" s="247"/>
      <c r="F430" s="247"/>
      <c r="G430" s="153"/>
      <c r="H430" s="244"/>
      <c r="I430" s="244"/>
      <c r="J430" s="244"/>
      <c r="K430" s="247"/>
      <c r="L430" s="785">
        <v>778150.00000000105</v>
      </c>
      <c r="M430" s="736">
        <f t="shared" si="34"/>
        <v>0</v>
      </c>
      <c r="N430" s="379">
        <f>N429*1000</f>
        <v>666.66666666666663</v>
      </c>
      <c r="O430" s="379"/>
      <c r="P430" s="379"/>
    </row>
    <row r="431" spans="1:16" customFormat="1">
      <c r="A431" s="153">
        <v>1</v>
      </c>
      <c r="B431" s="734" t="s">
        <v>1598</v>
      </c>
      <c r="C431" s="238" t="s">
        <v>1816</v>
      </c>
      <c r="D431" s="247">
        <v>85673.8</v>
      </c>
      <c r="E431" s="247">
        <v>87885.2</v>
      </c>
      <c r="F431" s="247">
        <f>E431-D431</f>
        <v>2211.3999999999942</v>
      </c>
      <c r="G431" s="153">
        <v>500</v>
      </c>
      <c r="H431" s="244">
        <f>(F431*G431)</f>
        <v>1105699.9999999972</v>
      </c>
      <c r="I431" s="244"/>
      <c r="J431" s="244">
        <f>H431+I431</f>
        <v>1105699.9999999972</v>
      </c>
      <c r="K431" s="247"/>
      <c r="L431" s="735">
        <v>1239150.0000000014</v>
      </c>
      <c r="M431" s="736">
        <f t="shared" si="34"/>
        <v>0.89230520921599155</v>
      </c>
      <c r="N431" s="379"/>
      <c r="O431" s="379"/>
      <c r="P431" s="379"/>
    </row>
    <row r="432" spans="1:16" customFormat="1">
      <c r="A432" s="153"/>
      <c r="B432" s="734" t="s">
        <v>1363</v>
      </c>
      <c r="C432" s="238"/>
      <c r="D432" s="247"/>
      <c r="E432" s="247"/>
      <c r="F432" s="247"/>
      <c r="G432" s="153"/>
      <c r="H432" s="244"/>
      <c r="I432" s="244"/>
      <c r="J432" s="244">
        <f>SUM(J431)</f>
        <v>1105699.9999999972</v>
      </c>
      <c r="K432" s="247"/>
      <c r="L432" s="735">
        <v>1239150.0000000014</v>
      </c>
      <c r="M432" s="736">
        <f t="shared" si="34"/>
        <v>0.89230520921599155</v>
      </c>
      <c r="N432" s="379"/>
      <c r="O432" s="379"/>
      <c r="P432" s="379"/>
    </row>
    <row r="433" spans="1:14" customFormat="1">
      <c r="A433" s="153"/>
      <c r="B433" s="733" t="s">
        <v>1364</v>
      </c>
      <c r="C433" s="238"/>
      <c r="D433" s="247"/>
      <c r="E433" s="247"/>
      <c r="F433" s="247"/>
      <c r="G433" s="153"/>
      <c r="H433" s="244"/>
      <c r="I433" s="244"/>
      <c r="J433" s="244"/>
      <c r="K433" s="247"/>
      <c r="L433" s="735"/>
      <c r="M433" s="736" t="e">
        <f t="shared" si="34"/>
        <v>#DIV/0!</v>
      </c>
      <c r="N433" s="379"/>
    </row>
    <row r="434" spans="1:14" customFormat="1">
      <c r="A434" s="153">
        <v>64</v>
      </c>
      <c r="B434" s="734" t="s">
        <v>1817</v>
      </c>
      <c r="C434" s="238" t="s">
        <v>1818</v>
      </c>
      <c r="D434" s="815">
        <v>40745.599999999999</v>
      </c>
      <c r="E434" s="815">
        <v>41044.9</v>
      </c>
      <c r="F434" s="247">
        <f>E434-D434</f>
        <v>299.30000000000291</v>
      </c>
      <c r="G434" s="153">
        <v>2000</v>
      </c>
      <c r="H434" s="244">
        <f>(F434*G434)</f>
        <v>598600.00000000582</v>
      </c>
      <c r="I434" s="244">
        <v>120000</v>
      </c>
      <c r="J434" s="244">
        <f>H434+I434</f>
        <v>718600.00000000582</v>
      </c>
      <c r="K434" s="247"/>
      <c r="L434" s="735">
        <v>797599.99999999127</v>
      </c>
      <c r="M434" s="736">
        <f t="shared" si="34"/>
        <v>0.90095285857574436</v>
      </c>
      <c r="N434" s="379"/>
    </row>
    <row r="435" spans="1:14" customFormat="1">
      <c r="A435" s="153">
        <v>65</v>
      </c>
      <c r="B435" s="734" t="s">
        <v>1819</v>
      </c>
      <c r="C435" s="238" t="s">
        <v>1820</v>
      </c>
      <c r="D435" s="815">
        <v>16930.900000000001</v>
      </c>
      <c r="E435" s="815">
        <v>17109.7</v>
      </c>
      <c r="F435" s="247">
        <f>E435-D435</f>
        <v>178.79999999999927</v>
      </c>
      <c r="G435" s="153">
        <v>2000</v>
      </c>
      <c r="H435" s="244">
        <f>(F435*G435)</f>
        <v>357599.99999999854</v>
      </c>
      <c r="I435" s="244"/>
      <c r="J435" s="244">
        <f>H435+I435</f>
        <v>357599.99999999854</v>
      </c>
      <c r="K435" s="247"/>
      <c r="L435" s="735">
        <v>399200.00000000437</v>
      </c>
      <c r="M435" s="736">
        <f t="shared" si="34"/>
        <v>0.89579158316631924</v>
      </c>
      <c r="N435" s="379"/>
    </row>
    <row r="436" spans="1:14" customFormat="1">
      <c r="A436" s="153">
        <v>66</v>
      </c>
      <c r="B436" s="751" t="s">
        <v>1821</v>
      </c>
      <c r="C436" s="752" t="s">
        <v>1822</v>
      </c>
      <c r="D436" s="815">
        <v>1441.1</v>
      </c>
      <c r="E436" s="815">
        <v>1453.9</v>
      </c>
      <c r="F436" s="247">
        <f>E436-D436</f>
        <v>12.800000000000182</v>
      </c>
      <c r="G436" s="153">
        <v>1000</v>
      </c>
      <c r="H436" s="244">
        <f>(F436*G436)</f>
        <v>12800.000000000182</v>
      </c>
      <c r="I436" s="244">
        <v>10279.9999999998</v>
      </c>
      <c r="J436" s="244">
        <f>H436+I436</f>
        <v>23079.999999999982</v>
      </c>
      <c r="K436" s="247"/>
      <c r="L436" s="735">
        <v>30080</v>
      </c>
      <c r="M436" s="736">
        <f t="shared" si="34"/>
        <v>0.76728723404255261</v>
      </c>
      <c r="N436" s="379"/>
    </row>
    <row r="437" spans="1:14" customFormat="1">
      <c r="A437" s="153"/>
      <c r="B437" s="755"/>
      <c r="C437" s="238"/>
      <c r="D437" s="247"/>
      <c r="E437" s="247"/>
      <c r="F437" s="247"/>
      <c r="G437" s="153"/>
      <c r="H437" s="244"/>
      <c r="I437" s="244"/>
      <c r="J437" s="244">
        <f>SUM(J434:J436)</f>
        <v>1099280.0000000044</v>
      </c>
      <c r="K437" s="743">
        <f>(J432-J437)/J432</f>
        <v>5.806276566874196E-3</v>
      </c>
      <c r="L437" s="735">
        <v>1226879.9999999956</v>
      </c>
      <c r="M437" s="736">
        <f t="shared" si="34"/>
        <v>0.89599634846114407</v>
      </c>
      <c r="N437" s="379"/>
    </row>
    <row r="438" spans="1:14" customFormat="1">
      <c r="A438" s="153">
        <v>16</v>
      </c>
      <c r="B438" s="732" t="s">
        <v>1823</v>
      </c>
      <c r="C438" s="238"/>
      <c r="D438" s="247"/>
      <c r="E438" s="247"/>
      <c r="F438" s="247"/>
      <c r="G438" s="153"/>
      <c r="H438" s="244"/>
      <c r="I438" s="244"/>
      <c r="J438" s="244"/>
      <c r="K438" s="247"/>
      <c r="L438" s="735">
        <v>247449.99999999901</v>
      </c>
      <c r="M438" s="736">
        <f t="shared" si="34"/>
        <v>0</v>
      </c>
      <c r="N438" s="379"/>
    </row>
    <row r="439" spans="1:14" customFormat="1">
      <c r="A439" s="153">
        <v>1</v>
      </c>
      <c r="B439" s="734" t="s">
        <v>1824</v>
      </c>
      <c r="C439" s="238" t="s">
        <v>1825</v>
      </c>
      <c r="D439" s="247">
        <v>23653.5</v>
      </c>
      <c r="E439" s="247">
        <v>24111.9</v>
      </c>
      <c r="F439" s="247">
        <f>E439-D439</f>
        <v>458.40000000000146</v>
      </c>
      <c r="G439" s="153">
        <v>1500</v>
      </c>
      <c r="H439" s="244">
        <f>(F439*G439)</f>
        <v>687600.00000000221</v>
      </c>
      <c r="I439" s="244">
        <v>320000</v>
      </c>
      <c r="J439" s="244">
        <f>H439+I439</f>
        <v>1007600.0000000022</v>
      </c>
      <c r="K439" s="247"/>
      <c r="L439" s="735">
        <v>247449.99999999901</v>
      </c>
      <c r="M439" s="736">
        <f t="shared" si="34"/>
        <v>4.0719337239846682</v>
      </c>
      <c r="N439" s="379"/>
    </row>
    <row r="440" spans="1:14" customFormat="1">
      <c r="A440" s="153"/>
      <c r="B440" s="734" t="s">
        <v>1363</v>
      </c>
      <c r="C440" s="238"/>
      <c r="D440" s="247"/>
      <c r="E440" s="247"/>
      <c r="F440" s="247"/>
      <c r="G440" s="153"/>
      <c r="H440" s="244"/>
      <c r="I440" s="244"/>
      <c r="J440" s="244">
        <f>SUM(J439)</f>
        <v>1007600.0000000022</v>
      </c>
      <c r="K440" s="247"/>
      <c r="L440" s="735"/>
      <c r="M440" s="736" t="e">
        <f t="shared" si="34"/>
        <v>#DIV/0!</v>
      </c>
      <c r="N440" s="379"/>
    </row>
    <row r="441" spans="1:14" customFormat="1">
      <c r="A441" s="153"/>
      <c r="B441" s="733" t="s">
        <v>1767</v>
      </c>
      <c r="C441" s="238"/>
      <c r="D441" s="247"/>
      <c r="E441" s="247"/>
      <c r="F441" s="247"/>
      <c r="G441" s="153"/>
      <c r="H441" s="244"/>
      <c r="I441" s="244"/>
      <c r="J441" s="244"/>
      <c r="K441" s="247"/>
      <c r="L441" s="735">
        <v>37999.9905</v>
      </c>
      <c r="M441" s="736">
        <f t="shared" si="34"/>
        <v>0</v>
      </c>
      <c r="N441" s="379"/>
    </row>
    <row r="442" spans="1:14" customFormat="1">
      <c r="A442" s="161">
        <v>67</v>
      </c>
      <c r="B442" s="734" t="s">
        <v>1826</v>
      </c>
      <c r="C442" s="238" t="s">
        <v>1827</v>
      </c>
      <c r="D442" s="247">
        <v>4468.2</v>
      </c>
      <c r="E442" s="247">
        <v>4506.5</v>
      </c>
      <c r="F442" s="247">
        <f>E442-D442</f>
        <v>38.300000000000182</v>
      </c>
      <c r="G442" s="244">
        <v>1333.3330000000001</v>
      </c>
      <c r="H442" s="244">
        <f>(F442*G442)</f>
        <v>51066.653900000245</v>
      </c>
      <c r="I442" s="244"/>
      <c r="J442" s="244">
        <f>H442+I442</f>
        <v>51066.653900000245</v>
      </c>
      <c r="K442" s="247"/>
      <c r="L442" s="735">
        <v>58133.275200000498</v>
      </c>
      <c r="M442" s="736">
        <f t="shared" si="34"/>
        <v>0.87844102580340777</v>
      </c>
      <c r="N442" s="379">
        <v>8818931660</v>
      </c>
    </row>
    <row r="443" spans="1:14" customFormat="1">
      <c r="A443" s="153">
        <v>68</v>
      </c>
      <c r="B443" s="734" t="s">
        <v>1828</v>
      </c>
      <c r="C443" s="238" t="s">
        <v>1829</v>
      </c>
      <c r="D443" s="247">
        <v>13269.2</v>
      </c>
      <c r="E443" s="247">
        <v>13535.3</v>
      </c>
      <c r="F443" s="247">
        <f>E443-D443</f>
        <v>266.09999999999854</v>
      </c>
      <c r="G443" s="247">
        <v>666.66600000000005</v>
      </c>
      <c r="H443" s="244">
        <f>(F443*G443)</f>
        <v>177399.82259999905</v>
      </c>
      <c r="I443" s="244"/>
      <c r="J443" s="244">
        <f>H443+I443</f>
        <v>177399.82259999905</v>
      </c>
      <c r="K443" s="247"/>
      <c r="L443" s="735">
        <v>41733.228999999599</v>
      </c>
      <c r="M443" s="736">
        <f t="shared" si="34"/>
        <v>4.2508050982587706</v>
      </c>
      <c r="N443" s="379"/>
    </row>
    <row r="444" spans="1:14" customFormat="1">
      <c r="A444" s="153">
        <v>69</v>
      </c>
      <c r="B444" s="734" t="s">
        <v>1830</v>
      </c>
      <c r="C444" s="238" t="s">
        <v>1831</v>
      </c>
      <c r="D444" s="247">
        <v>6377.5</v>
      </c>
      <c r="E444" s="247">
        <v>6848.7</v>
      </c>
      <c r="F444" s="247">
        <f>E444-D444</f>
        <v>471.19999999999982</v>
      </c>
      <c r="G444" s="247">
        <v>1333.33</v>
      </c>
      <c r="H444" s="244">
        <f>(F444*G444)</f>
        <v>628265.09599999967</v>
      </c>
      <c r="I444" s="244"/>
      <c r="J444" s="244">
        <f>H444+I444</f>
        <v>628265.09599999967</v>
      </c>
      <c r="K444" s="247"/>
      <c r="L444" s="735">
        <v>105750.6640229</v>
      </c>
      <c r="M444" s="736">
        <f t="shared" si="34"/>
        <v>5.9410037923161472</v>
      </c>
      <c r="N444" s="379"/>
    </row>
    <row r="445" spans="1:14" customFormat="1">
      <c r="A445" s="161">
        <v>70</v>
      </c>
      <c r="B445" s="734" t="s">
        <v>1832</v>
      </c>
      <c r="C445" s="238">
        <v>3300077</v>
      </c>
      <c r="D445" s="247">
        <v>359982.1</v>
      </c>
      <c r="E445" s="247">
        <v>371021</v>
      </c>
      <c r="F445" s="247">
        <f>E445-D445</f>
        <v>11038.900000000023</v>
      </c>
      <c r="G445" s="247">
        <v>13.333333</v>
      </c>
      <c r="H445" s="244">
        <f>(F445*G445)</f>
        <v>147185.32965370032</v>
      </c>
      <c r="I445" s="244"/>
      <c r="J445" s="244">
        <f>H445+I445</f>
        <v>147185.32965370032</v>
      </c>
      <c r="K445" s="247"/>
      <c r="L445" s="735">
        <v>243617.1587229</v>
      </c>
      <c r="M445" s="736">
        <f t="shared" si="34"/>
        <v>0.60416651448231884</v>
      </c>
      <c r="N445" s="379"/>
    </row>
    <row r="446" spans="1:14" customFormat="1">
      <c r="A446" s="153"/>
      <c r="B446" s="734"/>
      <c r="C446" s="238"/>
      <c r="D446" s="247"/>
      <c r="E446" s="247"/>
      <c r="F446" s="247"/>
      <c r="G446" s="153" t="s">
        <v>1546</v>
      </c>
      <c r="H446" s="244"/>
      <c r="I446" s="244"/>
      <c r="J446" s="244">
        <f>SUM(J442:J445)</f>
        <v>1003916.9021536993</v>
      </c>
      <c r="K446" s="743">
        <f>(J440-J446)/J440</f>
        <v>3.655317433805969E-3</v>
      </c>
      <c r="L446" s="735"/>
      <c r="M446" s="736" t="e">
        <f t="shared" si="34"/>
        <v>#DIV/0!</v>
      </c>
      <c r="N446" s="379"/>
    </row>
    <row r="447" spans="1:14" customFormat="1">
      <c r="A447" s="95">
        <v>17</v>
      </c>
      <c r="B447" s="732" t="s">
        <v>1833</v>
      </c>
      <c r="C447" s="238"/>
      <c r="D447" s="247"/>
      <c r="E447" s="247"/>
      <c r="F447" s="247"/>
      <c r="G447" s="153"/>
      <c r="H447" s="244"/>
      <c r="I447" s="244"/>
      <c r="J447" s="244"/>
      <c r="K447" s="247"/>
      <c r="L447" s="735">
        <v>2498599.99999998</v>
      </c>
      <c r="M447" s="736">
        <f t="shared" si="34"/>
        <v>0</v>
      </c>
      <c r="N447" s="379"/>
    </row>
    <row r="448" spans="1:14" customFormat="1">
      <c r="A448" s="153">
        <v>1</v>
      </c>
      <c r="B448" s="816" t="s">
        <v>1834</v>
      </c>
      <c r="C448" s="238" t="s">
        <v>1835</v>
      </c>
      <c r="D448" s="247">
        <v>150831.70000000001</v>
      </c>
      <c r="E448" s="247">
        <v>152621.29999999999</v>
      </c>
      <c r="F448" s="247">
        <f>E448-D448</f>
        <v>1789.5999999999767</v>
      </c>
      <c r="G448" s="153">
        <v>2000</v>
      </c>
      <c r="H448" s="244">
        <f>(F448*G448)</f>
        <v>3579199.9999999534</v>
      </c>
      <c r="I448" s="244"/>
      <c r="J448" s="244">
        <f>H448+I448</f>
        <v>3579199.9999999534</v>
      </c>
      <c r="K448" s="247"/>
      <c r="L448" s="735">
        <v>1565424.00000001</v>
      </c>
      <c r="M448" s="736">
        <f t="shared" si="34"/>
        <v>2.2864093050827958</v>
      </c>
      <c r="N448" s="379"/>
    </row>
    <row r="449" spans="1:14" customFormat="1">
      <c r="A449" s="153"/>
      <c r="B449" s="816" t="s">
        <v>1834</v>
      </c>
      <c r="C449" s="238">
        <v>9916387</v>
      </c>
      <c r="D449" s="247">
        <v>488253.3</v>
      </c>
      <c r="E449" s="247">
        <v>497593.4</v>
      </c>
      <c r="F449" s="247">
        <f>E449-D449</f>
        <v>9340.1000000000349</v>
      </c>
      <c r="G449" s="153">
        <v>240</v>
      </c>
      <c r="H449" s="244">
        <f>(F449*G449)</f>
        <v>2241624.0000000084</v>
      </c>
      <c r="I449" s="244"/>
      <c r="J449" s="244">
        <f>H449+I449</f>
        <v>2241624.0000000084</v>
      </c>
      <c r="K449" s="247"/>
      <c r="L449" s="735">
        <v>235000</v>
      </c>
      <c r="M449" s="736">
        <f t="shared" si="34"/>
        <v>9.5388255319149291</v>
      </c>
      <c r="N449" s="379"/>
    </row>
    <row r="450" spans="1:14" customFormat="1">
      <c r="A450" s="153"/>
      <c r="B450" s="816"/>
      <c r="C450" s="238"/>
      <c r="D450" s="247"/>
      <c r="E450" s="247"/>
      <c r="F450" s="247"/>
      <c r="G450" s="153"/>
      <c r="H450" s="244"/>
      <c r="I450" s="244"/>
      <c r="J450" s="244"/>
      <c r="K450" s="247"/>
      <c r="L450" s="735">
        <v>2733599.99999998</v>
      </c>
      <c r="M450" s="736">
        <f t="shared" si="34"/>
        <v>0</v>
      </c>
      <c r="N450" s="379"/>
    </row>
    <row r="451" spans="1:14" customFormat="1">
      <c r="A451" s="153"/>
      <c r="B451" s="734" t="s">
        <v>1363</v>
      </c>
      <c r="C451" s="238"/>
      <c r="D451" s="247"/>
      <c r="E451" s="247"/>
      <c r="F451" s="247"/>
      <c r="G451" s="153"/>
      <c r="H451" s="244"/>
      <c r="I451" s="244"/>
      <c r="J451" s="244">
        <f>SUM(J448+J450)</f>
        <v>3579199.9999999534</v>
      </c>
      <c r="K451" s="247"/>
      <c r="L451" s="735"/>
      <c r="M451" s="736" t="e">
        <f t="shared" ref="M451:M482" si="35">J451/L451</f>
        <v>#DIV/0!</v>
      </c>
      <c r="N451" s="379"/>
    </row>
    <row r="452" spans="1:14" customFormat="1">
      <c r="A452" s="153"/>
      <c r="B452" s="733" t="s">
        <v>1767</v>
      </c>
      <c r="C452" s="238"/>
      <c r="D452" s="247"/>
      <c r="E452" s="247"/>
      <c r="F452" s="247"/>
      <c r="G452" s="247"/>
      <c r="H452" s="244"/>
      <c r="I452" s="244"/>
      <c r="J452" s="244"/>
      <c r="K452" s="247"/>
      <c r="L452" s="735">
        <v>445812.00000000198</v>
      </c>
      <c r="M452" s="736">
        <f t="shared" si="35"/>
        <v>0</v>
      </c>
      <c r="N452" s="379"/>
    </row>
    <row r="453" spans="1:14" customFormat="1">
      <c r="A453" s="153">
        <v>71</v>
      </c>
      <c r="B453" s="734" t="s">
        <v>1836</v>
      </c>
      <c r="C453" s="238">
        <v>9916388</v>
      </c>
      <c r="D453" s="247">
        <v>1022207.8</v>
      </c>
      <c r="E453" s="247">
        <v>1037968.6</v>
      </c>
      <c r="F453" s="247">
        <f t="shared" ref="F453:F458" si="36">E453-D453</f>
        <v>15760.79999999993</v>
      </c>
      <c r="G453" s="244">
        <v>40</v>
      </c>
      <c r="H453" s="244">
        <f t="shared" ref="H453:H458" si="37">(F453*G453)</f>
        <v>630431.99999999721</v>
      </c>
      <c r="I453" s="244"/>
      <c r="J453" s="244">
        <f t="shared" ref="J453:J458" si="38">H453+I453</f>
        <v>630431.99999999721</v>
      </c>
      <c r="K453" s="247"/>
      <c r="L453" s="735">
        <v>798000</v>
      </c>
      <c r="M453" s="736">
        <f t="shared" si="35"/>
        <v>0.79001503759398151</v>
      </c>
      <c r="N453" s="379"/>
    </row>
    <row r="454" spans="1:14" customFormat="1">
      <c r="A454" s="153">
        <v>72</v>
      </c>
      <c r="B454" s="734" t="s">
        <v>1837</v>
      </c>
      <c r="C454" s="238" t="s">
        <v>1838</v>
      </c>
      <c r="D454" s="247">
        <v>6101.64</v>
      </c>
      <c r="E454" s="247">
        <v>6289</v>
      </c>
      <c r="F454" s="247">
        <f t="shared" si="36"/>
        <v>187.35999999999967</v>
      </c>
      <c r="G454" s="153">
        <v>6000</v>
      </c>
      <c r="H454" s="244">
        <f t="shared" si="37"/>
        <v>1124159.9999999981</v>
      </c>
      <c r="I454" s="244"/>
      <c r="J454" s="244">
        <f t="shared" si="38"/>
        <v>1124159.9999999981</v>
      </c>
      <c r="K454" s="247"/>
      <c r="L454" s="735">
        <v>441600</v>
      </c>
      <c r="M454" s="736">
        <f t="shared" si="35"/>
        <v>2.5456521739130391</v>
      </c>
      <c r="N454" s="379"/>
    </row>
    <row r="455" spans="1:14" customFormat="1">
      <c r="A455" s="153">
        <v>73</v>
      </c>
      <c r="B455" s="817" t="s">
        <v>1839</v>
      </c>
      <c r="C455" s="238">
        <v>9916393</v>
      </c>
      <c r="D455" s="247">
        <v>200988.2</v>
      </c>
      <c r="E455" s="247">
        <v>200988.2</v>
      </c>
      <c r="F455" s="247">
        <f t="shared" si="36"/>
        <v>0</v>
      </c>
      <c r="G455" s="153">
        <v>40</v>
      </c>
      <c r="H455" s="244">
        <f t="shared" si="37"/>
        <v>0</v>
      </c>
      <c r="I455" s="244">
        <f>H456</f>
        <v>538400.0000000014</v>
      </c>
      <c r="J455" s="244">
        <f t="shared" si="38"/>
        <v>538400.0000000014</v>
      </c>
      <c r="K455" s="247"/>
      <c r="L455" s="735">
        <v>441600</v>
      </c>
      <c r="M455" s="736">
        <f t="shared" si="35"/>
        <v>1.2192028985507277</v>
      </c>
      <c r="N455" s="379"/>
    </row>
    <row r="456" spans="1:14" customFormat="1">
      <c r="A456" s="153">
        <v>73</v>
      </c>
      <c r="B456" s="817" t="s">
        <v>1839</v>
      </c>
      <c r="C456" s="752" t="s">
        <v>1840</v>
      </c>
      <c r="D456" s="818">
        <v>9993.5</v>
      </c>
      <c r="E456" s="818">
        <v>10262.700000000001</v>
      </c>
      <c r="F456" s="818">
        <f t="shared" si="36"/>
        <v>269.20000000000073</v>
      </c>
      <c r="G456" s="155">
        <v>2000</v>
      </c>
      <c r="H456" s="158">
        <f t="shared" si="37"/>
        <v>538400.0000000014</v>
      </c>
      <c r="I456" s="244"/>
      <c r="J456" s="244">
        <f t="shared" si="38"/>
        <v>538400.0000000014</v>
      </c>
      <c r="K456" s="247"/>
      <c r="L456" s="735">
        <v>315896.00000000099</v>
      </c>
      <c r="M456" s="736">
        <f t="shared" si="35"/>
        <v>1.7043583964342686</v>
      </c>
      <c r="N456" s="379"/>
    </row>
    <row r="457" spans="1:14" customFormat="1">
      <c r="A457" s="153">
        <v>74</v>
      </c>
      <c r="B457" s="817" t="s">
        <v>1841</v>
      </c>
      <c r="C457" s="238">
        <v>9916390</v>
      </c>
      <c r="D457" s="247">
        <v>712256.4</v>
      </c>
      <c r="E457" s="247">
        <v>724276.1</v>
      </c>
      <c r="F457" s="247">
        <f t="shared" si="36"/>
        <v>12019.699999999953</v>
      </c>
      <c r="G457" s="153">
        <v>40</v>
      </c>
      <c r="H457" s="244">
        <f t="shared" si="37"/>
        <v>480787.99999999814</v>
      </c>
      <c r="I457" s="244"/>
      <c r="J457" s="244">
        <f t="shared" si="38"/>
        <v>480787.99999999814</v>
      </c>
      <c r="K457" s="247"/>
      <c r="L457" s="735">
        <v>727600.00000000605</v>
      </c>
      <c r="M457" s="736">
        <f t="shared" si="35"/>
        <v>0.66078614623418652</v>
      </c>
      <c r="N457" s="379">
        <v>7828496724</v>
      </c>
    </row>
    <row r="458" spans="1:14" customFormat="1">
      <c r="A458" s="153">
        <v>75</v>
      </c>
      <c r="B458" s="819" t="s">
        <v>1842</v>
      </c>
      <c r="C458" s="790" t="s">
        <v>1843</v>
      </c>
      <c r="D458" s="791">
        <v>48008.800000000003</v>
      </c>
      <c r="E458" s="791">
        <v>48602.1</v>
      </c>
      <c r="F458" s="791">
        <f t="shared" si="36"/>
        <v>593.29999999999563</v>
      </c>
      <c r="G458" s="788">
        <v>1333.3330000000001</v>
      </c>
      <c r="H458" s="244">
        <f t="shared" si="37"/>
        <v>791066.46889999427</v>
      </c>
      <c r="I458" s="792"/>
      <c r="J458" s="792">
        <f t="shared" si="38"/>
        <v>791066.46889999427</v>
      </c>
      <c r="K458" s="791"/>
      <c r="L458" s="735">
        <v>2728908.0000000098</v>
      </c>
      <c r="M458" s="736">
        <f t="shared" si="35"/>
        <v>0.28988389088235711</v>
      </c>
      <c r="N458" s="379"/>
    </row>
    <row r="459" spans="1:14" customFormat="1">
      <c r="A459" s="153"/>
      <c r="B459" s="734"/>
      <c r="C459" s="238"/>
      <c r="D459" s="247"/>
      <c r="E459" s="247"/>
      <c r="F459" s="247"/>
      <c r="G459" s="153"/>
      <c r="H459" s="244"/>
      <c r="I459" s="244"/>
      <c r="J459" s="244">
        <f>SUM(J453+J454+J455+J457+J458)</f>
        <v>3564846.468899989</v>
      </c>
      <c r="K459" s="743">
        <f>(J451-J459)/J451</f>
        <v>4.010262377057607E-3</v>
      </c>
      <c r="L459" s="735"/>
      <c r="M459" s="736" t="e">
        <f t="shared" si="35"/>
        <v>#DIV/0!</v>
      </c>
      <c r="N459" s="379"/>
    </row>
    <row r="460" spans="1:14" customFormat="1">
      <c r="A460" s="153">
        <v>18</v>
      </c>
      <c r="B460" s="732" t="s">
        <v>1844</v>
      </c>
      <c r="C460" s="238"/>
      <c r="D460" s="247"/>
      <c r="E460" s="247"/>
      <c r="F460" s="247"/>
      <c r="G460" s="153"/>
      <c r="H460" s="244"/>
      <c r="I460" s="244"/>
      <c r="J460" s="244"/>
      <c r="K460" s="247"/>
      <c r="L460" s="735">
        <v>783800.00000000303</v>
      </c>
      <c r="M460" s="736">
        <f t="shared" si="35"/>
        <v>0</v>
      </c>
      <c r="N460" s="379"/>
    </row>
    <row r="461" spans="1:14" customFormat="1">
      <c r="A461" s="153">
        <v>1</v>
      </c>
      <c r="B461" s="734" t="s">
        <v>1776</v>
      </c>
      <c r="C461" s="238" t="s">
        <v>1845</v>
      </c>
      <c r="D461" s="247">
        <v>51727.45</v>
      </c>
      <c r="E461" s="247">
        <v>52276.2</v>
      </c>
      <c r="F461" s="247">
        <f>E461-D461</f>
        <v>548.75</v>
      </c>
      <c r="G461" s="153">
        <v>2000</v>
      </c>
      <c r="H461" s="244">
        <f>(F461*G461)</f>
        <v>1097500</v>
      </c>
      <c r="I461" s="244"/>
      <c r="J461" s="244">
        <f>H461+I461</f>
        <v>1097500</v>
      </c>
      <c r="K461" s="247"/>
      <c r="L461" s="735">
        <v>783800.00000000303</v>
      </c>
      <c r="M461" s="736">
        <f t="shared" si="35"/>
        <v>1.4002296504210203</v>
      </c>
      <c r="N461" s="379"/>
    </row>
    <row r="462" spans="1:14" customFormat="1" ht="15.75" customHeight="1">
      <c r="A462" s="153"/>
      <c r="B462" s="820"/>
      <c r="C462" s="238"/>
      <c r="D462" s="153"/>
      <c r="E462" s="153"/>
      <c r="F462" s="153"/>
      <c r="G462" s="153"/>
      <c r="H462" s="244"/>
      <c r="I462" s="20"/>
      <c r="J462" s="20">
        <f>SUM(J461)+I462</f>
        <v>1097500</v>
      </c>
      <c r="K462" s="247"/>
      <c r="L462" s="735"/>
      <c r="M462" s="736" t="e">
        <f t="shared" si="35"/>
        <v>#DIV/0!</v>
      </c>
      <c r="N462" s="379"/>
    </row>
    <row r="463" spans="1:14" customFormat="1">
      <c r="A463" s="153"/>
      <c r="B463" s="733" t="s">
        <v>1767</v>
      </c>
      <c r="C463" s="238"/>
      <c r="D463" s="247"/>
      <c r="E463" s="247"/>
      <c r="F463" s="247"/>
      <c r="G463" s="153"/>
      <c r="H463" s="244"/>
      <c r="I463" s="244"/>
      <c r="J463" s="244"/>
      <c r="K463" s="247"/>
      <c r="L463" s="735">
        <v>242132.72799999799</v>
      </c>
      <c r="M463" s="736">
        <f t="shared" si="35"/>
        <v>0</v>
      </c>
      <c r="N463" s="379"/>
    </row>
    <row r="464" spans="1:14" customFormat="1">
      <c r="A464" s="153">
        <v>76</v>
      </c>
      <c r="B464" s="734" t="s">
        <v>1071</v>
      </c>
      <c r="C464" s="238" t="s">
        <v>1846</v>
      </c>
      <c r="D464" s="247">
        <v>32192.799999999999</v>
      </c>
      <c r="E464" s="247">
        <v>32492.400000000001</v>
      </c>
      <c r="F464" s="247">
        <f>E464-D464</f>
        <v>299.60000000000218</v>
      </c>
      <c r="G464" s="153">
        <v>1333.33</v>
      </c>
      <c r="H464" s="244">
        <f>(F464*G464)</f>
        <v>399465.66800000292</v>
      </c>
      <c r="I464" s="244"/>
      <c r="J464" s="244">
        <f>H464+I464</f>
        <v>399465.66800000292</v>
      </c>
      <c r="K464" s="786"/>
      <c r="L464" s="735">
        <v>526132.01799999794</v>
      </c>
      <c r="M464" s="736">
        <f t="shared" si="35"/>
        <v>0.75924987328941551</v>
      </c>
      <c r="N464" s="379"/>
    </row>
    <row r="465" spans="1:13" customFormat="1">
      <c r="A465" s="153">
        <v>77</v>
      </c>
      <c r="B465" s="734" t="s">
        <v>1070</v>
      </c>
      <c r="C465" s="238" t="s">
        <v>1847</v>
      </c>
      <c r="D465" s="247">
        <v>39510.199999999997</v>
      </c>
      <c r="E465" s="247">
        <v>40027.4</v>
      </c>
      <c r="F465" s="247">
        <f>E465-D465</f>
        <v>517.20000000000437</v>
      </c>
      <c r="G465" s="153">
        <v>1333.33</v>
      </c>
      <c r="H465" s="244">
        <f>(F465*G465)</f>
        <v>689598.27600000578</v>
      </c>
      <c r="I465" s="244"/>
      <c r="J465" s="244">
        <f>H465+I465</f>
        <v>689598.27600000578</v>
      </c>
      <c r="K465" s="247"/>
      <c r="L465" s="735">
        <v>768264.74599999597</v>
      </c>
      <c r="M465" s="736">
        <f t="shared" si="35"/>
        <v>0.89760499826450368</v>
      </c>
    </row>
    <row r="466" spans="1:13" customFormat="1">
      <c r="A466" s="153"/>
      <c r="B466" s="734"/>
      <c r="C466" s="238"/>
      <c r="D466" s="247"/>
      <c r="E466" s="247"/>
      <c r="F466" s="247"/>
      <c r="G466" s="153"/>
      <c r="H466" s="244"/>
      <c r="I466" s="244"/>
      <c r="J466" s="244">
        <f>SUM(J464:J465)</f>
        <v>1089063.9440000087</v>
      </c>
      <c r="K466" s="743">
        <f>(J462-J466)/J462</f>
        <v>7.6866113895136682E-3</v>
      </c>
      <c r="L466" s="735"/>
      <c r="M466" s="736" t="e">
        <f t="shared" si="35"/>
        <v>#DIV/0!</v>
      </c>
    </row>
    <row r="467" spans="1:13" customFormat="1">
      <c r="A467" s="153">
        <v>19</v>
      </c>
      <c r="B467" s="732" t="s">
        <v>1848</v>
      </c>
      <c r="C467" s="238"/>
      <c r="D467" s="247"/>
      <c r="E467" s="247"/>
      <c r="F467" s="247"/>
      <c r="G467" s="153"/>
      <c r="H467" s="244"/>
      <c r="I467" s="244"/>
      <c r="J467" s="244"/>
      <c r="K467" s="247"/>
      <c r="L467" s="735">
        <v>1169760.00000001</v>
      </c>
      <c r="M467" s="736">
        <f t="shared" si="35"/>
        <v>0</v>
      </c>
    </row>
    <row r="468" spans="1:13" customFormat="1">
      <c r="A468" s="153"/>
      <c r="B468" s="238" t="s">
        <v>1375</v>
      </c>
      <c r="C468" s="238" t="s">
        <v>1849</v>
      </c>
      <c r="D468" s="247">
        <v>4480.38</v>
      </c>
      <c r="E468" s="247">
        <v>4542.47</v>
      </c>
      <c r="F468" s="247">
        <f>E468-D468</f>
        <v>62.090000000000146</v>
      </c>
      <c r="G468" s="153">
        <v>24000</v>
      </c>
      <c r="H468" s="244">
        <f>(F468*G468)</f>
        <v>1490160.0000000035</v>
      </c>
      <c r="I468" s="244"/>
      <c r="J468" s="244">
        <f>H468+I468</f>
        <v>1490160.0000000035</v>
      </c>
      <c r="K468" s="247"/>
      <c r="L468" s="735">
        <v>1169760.00000001</v>
      </c>
      <c r="M468" s="736">
        <f t="shared" si="35"/>
        <v>1.2739023389413133</v>
      </c>
    </row>
    <row r="469" spans="1:13" customFormat="1">
      <c r="A469" s="153"/>
      <c r="B469" s="734"/>
      <c r="C469" s="238"/>
      <c r="D469" s="153"/>
      <c r="E469" s="153"/>
      <c r="F469" s="247"/>
      <c r="G469" s="153"/>
      <c r="H469" s="244"/>
      <c r="I469" s="244"/>
      <c r="J469" s="244">
        <f>SUM(J468)</f>
        <v>1490160.0000000035</v>
      </c>
      <c r="K469" s="247"/>
      <c r="L469" s="735"/>
      <c r="M469" s="736" t="e">
        <f t="shared" si="35"/>
        <v>#DIV/0!</v>
      </c>
    </row>
    <row r="470" spans="1:13" customFormat="1">
      <c r="A470" s="153"/>
      <c r="B470" s="734"/>
      <c r="C470" s="238"/>
      <c r="D470" s="153"/>
      <c r="E470" s="153"/>
      <c r="F470" s="247"/>
      <c r="G470" s="153"/>
      <c r="H470" s="244"/>
      <c r="I470" s="244"/>
      <c r="J470" s="244"/>
      <c r="K470" s="247"/>
      <c r="L470" s="735">
        <v>341760</v>
      </c>
      <c r="M470" s="736">
        <f t="shared" si="35"/>
        <v>0</v>
      </c>
    </row>
    <row r="471" spans="1:13" customFormat="1">
      <c r="A471" s="153">
        <v>78</v>
      </c>
      <c r="B471" s="734" t="s">
        <v>927</v>
      </c>
      <c r="C471" s="238" t="s">
        <v>1850</v>
      </c>
      <c r="D471" s="247">
        <v>5463.26</v>
      </c>
      <c r="E471" s="247">
        <v>5527.42</v>
      </c>
      <c r="F471" s="247">
        <f>E471-D471</f>
        <v>64.159999999999854</v>
      </c>
      <c r="G471" s="153">
        <v>6000</v>
      </c>
      <c r="H471" s="244">
        <f>(F471*G471)</f>
        <v>384959.99999999913</v>
      </c>
      <c r="I471" s="244"/>
      <c r="J471" s="244">
        <f>H471+I471</f>
        <v>384959.99999999913</v>
      </c>
      <c r="K471" s="247"/>
      <c r="L471" s="735">
        <v>541620.00000000303</v>
      </c>
      <c r="M471" s="736">
        <f t="shared" si="35"/>
        <v>0.71075661903178788</v>
      </c>
    </row>
    <row r="472" spans="1:13" customFormat="1">
      <c r="A472" s="153">
        <v>79</v>
      </c>
      <c r="B472" s="734" t="s">
        <v>1851</v>
      </c>
      <c r="C472" s="238" t="s">
        <v>1852</v>
      </c>
      <c r="D472" s="247">
        <v>8339.98</v>
      </c>
      <c r="E472" s="247">
        <v>8456.99</v>
      </c>
      <c r="F472" s="247">
        <f>E472-D472</f>
        <v>117.01000000000022</v>
      </c>
      <c r="G472" s="153">
        <v>6000</v>
      </c>
      <c r="H472" s="244">
        <f>(F472*G472)</f>
        <v>702060.00000000128</v>
      </c>
      <c r="I472" s="244"/>
      <c r="J472" s="244">
        <f>H472+I472</f>
        <v>702060.00000000128</v>
      </c>
      <c r="K472" s="247"/>
      <c r="L472" s="735">
        <v>0</v>
      </c>
      <c r="M472" s="736" t="e">
        <f t="shared" si="35"/>
        <v>#DIV/0!</v>
      </c>
    </row>
    <row r="473" spans="1:13" customFormat="1">
      <c r="A473" s="153">
        <v>80</v>
      </c>
      <c r="B473" s="734" t="s">
        <v>1853</v>
      </c>
      <c r="C473" s="238" t="s">
        <v>1854</v>
      </c>
      <c r="D473" s="247">
        <v>436.48</v>
      </c>
      <c r="E473" s="247">
        <v>436.48</v>
      </c>
      <c r="F473" s="247">
        <f>E473-D473</f>
        <v>0</v>
      </c>
      <c r="G473" s="153">
        <v>6000</v>
      </c>
      <c r="H473" s="244">
        <f>(F473*G473)</f>
        <v>0</v>
      </c>
      <c r="I473" s="244"/>
      <c r="J473" s="244">
        <f>H473+I473</f>
        <v>0</v>
      </c>
      <c r="K473" s="247"/>
      <c r="L473" s="735">
        <v>276000</v>
      </c>
      <c r="M473" s="736">
        <f t="shared" si="35"/>
        <v>0</v>
      </c>
    </row>
    <row r="474" spans="1:13" customFormat="1">
      <c r="A474" s="153">
        <v>80</v>
      </c>
      <c r="B474" s="734" t="s">
        <v>1855</v>
      </c>
      <c r="C474" s="238" t="s">
        <v>1854</v>
      </c>
      <c r="D474" s="247">
        <v>4184.8900000000003</v>
      </c>
      <c r="E474" s="247">
        <v>4249.66</v>
      </c>
      <c r="F474" s="247">
        <f>E474-D474</f>
        <v>64.769999999999527</v>
      </c>
      <c r="G474" s="153">
        <v>6000</v>
      </c>
      <c r="H474" s="244">
        <f>(F474*G474)</f>
        <v>388619.99999999715</v>
      </c>
      <c r="I474" s="244"/>
      <c r="J474" s="244">
        <f>H474+I474</f>
        <v>388619.99999999715</v>
      </c>
      <c r="K474" s="247"/>
      <c r="L474" s="735">
        <v>1159380</v>
      </c>
      <c r="M474" s="736">
        <f t="shared" si="35"/>
        <v>0.33519639807483065</v>
      </c>
    </row>
    <row r="475" spans="1:13" customFormat="1">
      <c r="A475" s="153"/>
      <c r="B475" s="755"/>
      <c r="C475" s="238"/>
      <c r="D475" s="247"/>
      <c r="E475" s="247"/>
      <c r="F475" s="247"/>
      <c r="G475" s="153"/>
      <c r="H475" s="244"/>
      <c r="I475" s="244"/>
      <c r="J475" s="244">
        <f>SUM(J471:J474)</f>
        <v>1475639.9999999977</v>
      </c>
      <c r="K475" s="743">
        <f>(J469-J475)/J469</f>
        <v>9.7439201159645848E-3</v>
      </c>
      <c r="L475" s="735"/>
      <c r="M475" s="736" t="e">
        <f t="shared" si="35"/>
        <v>#DIV/0!</v>
      </c>
    </row>
    <row r="476" spans="1:13" customFormat="1">
      <c r="A476" s="95">
        <v>20</v>
      </c>
      <c r="B476" s="732" t="s">
        <v>1856</v>
      </c>
      <c r="C476" s="238"/>
      <c r="D476" s="247"/>
      <c r="E476" s="247"/>
      <c r="F476" s="247"/>
      <c r="G476" s="153"/>
      <c r="H476" s="244"/>
      <c r="I476" s="244"/>
      <c r="J476" s="244"/>
      <c r="K476" s="247"/>
      <c r="L476" s="735">
        <v>1721120</v>
      </c>
      <c r="M476" s="736">
        <f t="shared" si="35"/>
        <v>0</v>
      </c>
    </row>
    <row r="477" spans="1:13" customFormat="1">
      <c r="A477" s="153">
        <v>1</v>
      </c>
      <c r="B477" s="238" t="s">
        <v>242</v>
      </c>
      <c r="C477" s="238" t="s">
        <v>1857</v>
      </c>
      <c r="D477" s="247">
        <v>5776.06</v>
      </c>
      <c r="E477" s="247">
        <v>5850.47</v>
      </c>
      <c r="F477" s="247">
        <f>E477-D477</f>
        <v>74.409999999999854</v>
      </c>
      <c r="G477" s="153">
        <v>24000</v>
      </c>
      <c r="H477" s="244">
        <f>(F477*G477)</f>
        <v>1785839.9999999965</v>
      </c>
      <c r="I477" s="244">
        <v>850000</v>
      </c>
      <c r="J477" s="244">
        <f>H477+I477</f>
        <v>2635839.9999999963</v>
      </c>
      <c r="K477" s="247"/>
      <c r="L477" s="735">
        <v>1721120</v>
      </c>
      <c r="M477" s="736">
        <f t="shared" si="35"/>
        <v>1.5314678813795646</v>
      </c>
    </row>
    <row r="478" spans="1:13" customFormat="1">
      <c r="A478" s="153"/>
      <c r="B478" s="238" t="s">
        <v>1363</v>
      </c>
      <c r="C478" s="238"/>
      <c r="D478" s="247"/>
      <c r="E478" s="247"/>
      <c r="F478" s="247"/>
      <c r="G478" s="153"/>
      <c r="H478" s="244"/>
      <c r="I478" s="244"/>
      <c r="J478" s="244">
        <f>J477</f>
        <v>2635839.9999999963</v>
      </c>
      <c r="K478" s="247"/>
      <c r="L478" s="735"/>
      <c r="M478" s="736" t="e">
        <f t="shared" si="35"/>
        <v>#DIV/0!</v>
      </c>
    </row>
    <row r="479" spans="1:13" customFormat="1">
      <c r="A479" s="153"/>
      <c r="B479" s="238"/>
      <c r="C479" s="238"/>
      <c r="D479" s="247"/>
      <c r="E479" s="247"/>
      <c r="F479" s="247"/>
      <c r="G479" s="153"/>
      <c r="H479" s="244"/>
      <c r="I479" s="244"/>
      <c r="J479" s="244"/>
      <c r="K479" s="247"/>
      <c r="L479" s="735">
        <v>889920.00000000896</v>
      </c>
      <c r="M479" s="736">
        <f t="shared" si="35"/>
        <v>0</v>
      </c>
    </row>
    <row r="480" spans="1:13" customFormat="1">
      <c r="A480" s="153">
        <v>81</v>
      </c>
      <c r="B480" s="238" t="s">
        <v>1336</v>
      </c>
      <c r="C480" s="238" t="s">
        <v>1858</v>
      </c>
      <c r="D480" s="247">
        <v>11286.38</v>
      </c>
      <c r="E480" s="247">
        <v>11518.05</v>
      </c>
      <c r="F480" s="247">
        <f>E480-D480</f>
        <v>231.67000000000007</v>
      </c>
      <c r="G480" s="153">
        <v>6000</v>
      </c>
      <c r="H480" s="244">
        <f>(F480*G480)</f>
        <v>1390020.0000000005</v>
      </c>
      <c r="I480" s="244"/>
      <c r="J480" s="244">
        <f>H480+I480</f>
        <v>1390020.0000000005</v>
      </c>
      <c r="K480" s="247"/>
      <c r="L480" s="735">
        <v>378000</v>
      </c>
      <c r="M480" s="736">
        <f t="shared" si="35"/>
        <v>3.6773015873015886</v>
      </c>
    </row>
    <row r="481" spans="1:15" customFormat="1">
      <c r="A481" s="153">
        <v>82</v>
      </c>
      <c r="B481" s="238" t="s">
        <v>1859</v>
      </c>
      <c r="C481" s="238" t="s">
        <v>1860</v>
      </c>
      <c r="D481" s="247">
        <v>7360.88</v>
      </c>
      <c r="E481" s="247">
        <v>7444.15</v>
      </c>
      <c r="F481" s="247">
        <f>E481-D481</f>
        <v>83.269999999999527</v>
      </c>
      <c r="G481" s="153">
        <v>6000</v>
      </c>
      <c r="H481" s="244">
        <f>(F481*G481)</f>
        <v>499619.99999999715</v>
      </c>
      <c r="I481" s="244"/>
      <c r="J481" s="244">
        <f>H481+I481</f>
        <v>499619.99999999715</v>
      </c>
      <c r="K481" s="247"/>
      <c r="L481" s="735">
        <v>452520</v>
      </c>
      <c r="M481" s="736">
        <f t="shared" si="35"/>
        <v>1.1040837974012134</v>
      </c>
    </row>
    <row r="482" spans="1:15" customFormat="1">
      <c r="A482" s="153">
        <v>83</v>
      </c>
      <c r="B482" s="238" t="s">
        <v>1861</v>
      </c>
      <c r="C482" s="238" t="s">
        <v>1862</v>
      </c>
      <c r="D482" s="247">
        <v>5529.45</v>
      </c>
      <c r="E482" s="247">
        <v>5648.52</v>
      </c>
      <c r="F482" s="247">
        <f>E482-D482</f>
        <v>119.07000000000062</v>
      </c>
      <c r="G482" s="153">
        <v>6000</v>
      </c>
      <c r="H482" s="244">
        <f>(F482*G482)</f>
        <v>714420.00000000373</v>
      </c>
      <c r="I482" s="244"/>
      <c r="J482" s="244">
        <f>H482+I482</f>
        <v>714420.00000000373</v>
      </c>
      <c r="K482" s="247"/>
      <c r="L482" s="735">
        <v>1720440.00000001</v>
      </c>
      <c r="M482" s="736">
        <f t="shared" si="35"/>
        <v>0.41525423728813532</v>
      </c>
    </row>
    <row r="483" spans="1:15" customFormat="1">
      <c r="A483" s="153"/>
      <c r="B483" s="755"/>
      <c r="C483" s="238"/>
      <c r="D483" s="247"/>
      <c r="E483" s="247"/>
      <c r="F483" s="247"/>
      <c r="G483" s="153"/>
      <c r="H483" s="244"/>
      <c r="I483" s="244"/>
      <c r="J483" s="244">
        <f>SUM(J480:J482)</f>
        <v>2604060.0000000014</v>
      </c>
      <c r="K483" s="743">
        <f>(J478-J483)/J478</f>
        <v>1.2056877503943684E-2</v>
      </c>
      <c r="L483" s="735"/>
      <c r="M483" s="736" t="e">
        <f t="shared" ref="M483:M499" si="39">J483/L483</f>
        <v>#DIV/0!</v>
      </c>
    </row>
    <row r="484" spans="1:15" customFormat="1">
      <c r="A484" s="95">
        <v>21</v>
      </c>
      <c r="B484" s="732" t="s">
        <v>1863</v>
      </c>
      <c r="C484" s="238"/>
      <c r="D484" s="247"/>
      <c r="E484" s="247"/>
      <c r="F484" s="247"/>
      <c r="G484" s="153"/>
      <c r="H484" s="244"/>
      <c r="I484" s="244"/>
      <c r="J484" s="244"/>
      <c r="K484" s="743"/>
      <c r="L484" s="735"/>
      <c r="M484" s="736" t="e">
        <f t="shared" si="39"/>
        <v>#DIV/0!</v>
      </c>
    </row>
    <row r="485" spans="1:15" customFormat="1">
      <c r="A485" s="153"/>
      <c r="B485" s="755"/>
      <c r="C485" s="238"/>
      <c r="D485" s="247"/>
      <c r="E485" s="247"/>
      <c r="F485" s="247"/>
      <c r="G485" s="153"/>
      <c r="H485" s="244"/>
      <c r="I485" s="244"/>
      <c r="J485" s="244"/>
      <c r="K485" s="743"/>
      <c r="L485" s="735">
        <v>68400.017399999997</v>
      </c>
      <c r="M485" s="736">
        <f t="shared" si="39"/>
        <v>0</v>
      </c>
    </row>
    <row r="486" spans="1:15" customFormat="1">
      <c r="A486" s="153">
        <v>1</v>
      </c>
      <c r="B486" s="238" t="s">
        <v>1631</v>
      </c>
      <c r="C486" s="238" t="s">
        <v>1864</v>
      </c>
      <c r="D486" s="247">
        <v>69530</v>
      </c>
      <c r="E486" s="247">
        <v>70794</v>
      </c>
      <c r="F486" s="247">
        <f>E486-D486</f>
        <v>1264</v>
      </c>
      <c r="G486" s="153">
        <v>30</v>
      </c>
      <c r="H486" s="244">
        <f>(F486*G486)</f>
        <v>37920</v>
      </c>
      <c r="I486" s="244">
        <v>43000</v>
      </c>
      <c r="J486" s="244">
        <f>H486+I486</f>
        <v>80920</v>
      </c>
      <c r="K486" s="247"/>
      <c r="L486" s="735">
        <v>68400.017399999997</v>
      </c>
      <c r="M486" s="736">
        <f t="shared" si="39"/>
        <v>1.1830406347235813</v>
      </c>
    </row>
    <row r="487" spans="1:15" customFormat="1">
      <c r="A487" s="153"/>
      <c r="B487" s="238" t="s">
        <v>1363</v>
      </c>
      <c r="C487" s="238"/>
      <c r="D487" s="247"/>
      <c r="E487" s="247"/>
      <c r="F487" s="247"/>
      <c r="G487" s="153"/>
      <c r="H487" s="244"/>
      <c r="I487" s="244"/>
      <c r="J487" s="244">
        <f>J486</f>
        <v>80920</v>
      </c>
      <c r="K487" s="247"/>
      <c r="L487" s="735"/>
      <c r="M487" s="736" t="e">
        <f t="shared" si="39"/>
        <v>#DIV/0!</v>
      </c>
    </row>
    <row r="488" spans="1:15" customFormat="1">
      <c r="A488" s="153"/>
      <c r="B488" s="238"/>
      <c r="C488" s="238"/>
      <c r="D488" s="247"/>
      <c r="E488" s="247"/>
      <c r="F488" s="247"/>
      <c r="G488" s="153"/>
      <c r="H488" s="244"/>
      <c r="I488" s="244"/>
      <c r="J488" s="244"/>
      <c r="K488" s="247"/>
      <c r="L488" s="785">
        <f>I489-H489</f>
        <v>5720</v>
      </c>
      <c r="M488" s="736">
        <f t="shared" si="39"/>
        <v>0</v>
      </c>
    </row>
    <row r="489" spans="1:15" customFormat="1">
      <c r="A489" s="153">
        <v>84</v>
      </c>
      <c r="B489" s="238" t="s">
        <v>1865</v>
      </c>
      <c r="C489" s="238" t="s">
        <v>1866</v>
      </c>
      <c r="D489" s="247">
        <v>7376.5</v>
      </c>
      <c r="E489" s="247">
        <v>7485</v>
      </c>
      <c r="F489" s="247">
        <f>E489-D489</f>
        <v>108.5</v>
      </c>
      <c r="G489" s="153">
        <v>40</v>
      </c>
      <c r="H489" s="244">
        <f>(F489*G489)</f>
        <v>4340</v>
      </c>
      <c r="I489" s="244">
        <v>10060</v>
      </c>
      <c r="J489" s="244">
        <f>H489+I489</f>
        <v>14400</v>
      </c>
      <c r="K489" s="247"/>
      <c r="L489" s="785">
        <f>I490-H490</f>
        <v>37119</v>
      </c>
      <c r="M489" s="736">
        <f t="shared" si="39"/>
        <v>0.38794148549260488</v>
      </c>
      <c r="O489" s="86">
        <f>I489-H489</f>
        <v>5720</v>
      </c>
    </row>
    <row r="490" spans="1:15" customFormat="1">
      <c r="A490" s="153">
        <v>85</v>
      </c>
      <c r="B490" s="238" t="s">
        <v>1867</v>
      </c>
      <c r="C490" s="238" t="s">
        <v>1868</v>
      </c>
      <c r="D490" s="247">
        <v>15893.5</v>
      </c>
      <c r="E490" s="247">
        <v>16022</v>
      </c>
      <c r="F490" s="247">
        <f>E490-D490</f>
        <v>128.5</v>
      </c>
      <c r="G490" s="153">
        <v>40</v>
      </c>
      <c r="H490" s="244">
        <f>(F490*G490)</f>
        <v>5140</v>
      </c>
      <c r="I490" s="244">
        <v>42259</v>
      </c>
      <c r="J490" s="244">
        <f>H490+I490</f>
        <v>47399</v>
      </c>
      <c r="K490" s="247"/>
      <c r="L490" s="785">
        <f>I491-H491</f>
        <v>10280</v>
      </c>
      <c r="M490" s="736">
        <f t="shared" si="39"/>
        <v>4.6107976653696499</v>
      </c>
      <c r="O490" s="86">
        <f t="shared" ref="O490:O491" si="40">I490-H490</f>
        <v>37119</v>
      </c>
    </row>
    <row r="491" spans="1:15" customFormat="1">
      <c r="A491" s="153">
        <v>86</v>
      </c>
      <c r="B491" s="238" t="s">
        <v>1869</v>
      </c>
      <c r="C491" s="238" t="s">
        <v>1870</v>
      </c>
      <c r="D491" s="247">
        <v>19320</v>
      </c>
      <c r="E491" s="247">
        <v>19421.5</v>
      </c>
      <c r="F491" s="247">
        <f>E491-D491</f>
        <v>101.5</v>
      </c>
      <c r="G491" s="153">
        <v>40</v>
      </c>
      <c r="H491" s="244">
        <f>(F491*G491)</f>
        <v>4060</v>
      </c>
      <c r="I491" s="244">
        <v>14340</v>
      </c>
      <c r="J491" s="244">
        <f>H491+I491</f>
        <v>18400</v>
      </c>
      <c r="K491" s="247"/>
      <c r="L491" s="735">
        <v>67659.993000000002</v>
      </c>
      <c r="M491" s="736">
        <f t="shared" si="39"/>
        <v>0.27194800330529151</v>
      </c>
      <c r="O491" s="86">
        <f t="shared" si="40"/>
        <v>10280</v>
      </c>
    </row>
    <row r="492" spans="1:15" customFormat="1">
      <c r="A492" s="153"/>
      <c r="B492" s="755"/>
      <c r="C492" s="238"/>
      <c r="D492" s="247"/>
      <c r="E492" s="247"/>
      <c r="F492" s="247"/>
      <c r="G492" s="153"/>
      <c r="H492" s="244"/>
      <c r="I492" s="244"/>
      <c r="J492" s="244">
        <f>SUM(J489:J491)</f>
        <v>80199</v>
      </c>
      <c r="K492" s="743">
        <f>(J487-J492)/J487</f>
        <v>8.910034602076124E-3</v>
      </c>
      <c r="L492" s="735"/>
      <c r="M492" s="736" t="e">
        <f t="shared" si="39"/>
        <v>#DIV/0!</v>
      </c>
    </row>
    <row r="493" spans="1:15" customFormat="1" ht="26.25">
      <c r="A493" s="153">
        <v>22</v>
      </c>
      <c r="B493" s="821" t="s">
        <v>1871</v>
      </c>
      <c r="C493" s="238"/>
      <c r="D493" s="247"/>
      <c r="E493" s="247"/>
      <c r="F493" s="247"/>
      <c r="G493" s="153"/>
      <c r="H493" s="244"/>
      <c r="I493" s="244"/>
      <c r="J493" s="244"/>
      <c r="K493" s="247"/>
      <c r="L493" s="735">
        <v>433360</v>
      </c>
      <c r="M493" s="736">
        <f t="shared" si="39"/>
        <v>0</v>
      </c>
    </row>
    <row r="494" spans="1:15" customFormat="1">
      <c r="A494" s="153">
        <v>1</v>
      </c>
      <c r="B494" s="238" t="s">
        <v>1791</v>
      </c>
      <c r="C494" s="14" t="s">
        <v>1792</v>
      </c>
      <c r="D494" s="247">
        <v>323421</v>
      </c>
      <c r="E494" s="247">
        <v>328455</v>
      </c>
      <c r="F494" s="247">
        <f>E494-D494</f>
        <v>5034</v>
      </c>
      <c r="G494" s="153">
        <v>80</v>
      </c>
      <c r="H494" s="244">
        <f>(F494*G494)</f>
        <v>402720</v>
      </c>
      <c r="I494" s="244"/>
      <c r="J494" s="244">
        <f>H494+I494</f>
        <v>402720</v>
      </c>
      <c r="K494" s="247"/>
      <c r="L494" s="735">
        <v>168080</v>
      </c>
      <c r="M494" s="736">
        <f t="shared" si="39"/>
        <v>2.3960019038553071</v>
      </c>
    </row>
    <row r="495" spans="1:15" customFormat="1">
      <c r="A495" s="153"/>
      <c r="B495" s="238" t="s">
        <v>1872</v>
      </c>
      <c r="C495" s="14" t="s">
        <v>1792</v>
      </c>
      <c r="D495" s="247">
        <v>321260</v>
      </c>
      <c r="E495" s="247">
        <v>324824</v>
      </c>
      <c r="F495" s="247">
        <f>E495-D495</f>
        <v>3564</v>
      </c>
      <c r="G495" s="153">
        <v>80</v>
      </c>
      <c r="H495" s="244">
        <f>(F495*G495)</f>
        <v>285120</v>
      </c>
      <c r="I495" s="244"/>
      <c r="J495" s="244">
        <f>H495+I495</f>
        <v>285120</v>
      </c>
      <c r="K495" s="247"/>
      <c r="L495" s="735">
        <v>919440</v>
      </c>
      <c r="M495" s="736">
        <f t="shared" si="39"/>
        <v>0.31010180109631952</v>
      </c>
    </row>
    <row r="496" spans="1:15" customFormat="1">
      <c r="A496" s="153">
        <v>2</v>
      </c>
      <c r="B496" s="238" t="s">
        <v>1873</v>
      </c>
      <c r="C496" s="14" t="s">
        <v>1874</v>
      </c>
      <c r="D496" s="247">
        <v>842876</v>
      </c>
      <c r="E496" s="247">
        <v>855931</v>
      </c>
      <c r="F496" s="247">
        <f>E496-D496</f>
        <v>13055</v>
      </c>
      <c r="G496" s="153">
        <v>80</v>
      </c>
      <c r="H496" s="244">
        <f>(F496*G496)</f>
        <v>1044400</v>
      </c>
      <c r="I496" s="244"/>
      <c r="J496" s="244">
        <f>H496+I496</f>
        <v>1044400</v>
      </c>
      <c r="K496" s="247"/>
      <c r="L496" s="735">
        <v>600000</v>
      </c>
      <c r="M496" s="736">
        <f t="shared" si="39"/>
        <v>1.7406666666666666</v>
      </c>
    </row>
    <row r="497" spans="1:14" customFormat="1">
      <c r="A497" s="153"/>
      <c r="B497" s="734" t="s">
        <v>1736</v>
      </c>
      <c r="C497" s="14"/>
      <c r="D497" s="247"/>
      <c r="E497" s="247"/>
      <c r="F497" s="247"/>
      <c r="G497" s="153"/>
      <c r="H497" s="244"/>
      <c r="I497" s="244"/>
      <c r="J497" s="244">
        <v>450000</v>
      </c>
      <c r="K497" s="247"/>
      <c r="L497" s="735">
        <v>1201440</v>
      </c>
      <c r="M497" s="736">
        <f t="shared" si="39"/>
        <v>0.37455053935277666</v>
      </c>
      <c r="N497" s="379"/>
    </row>
    <row r="498" spans="1:14" customFormat="1">
      <c r="A498" s="153"/>
      <c r="B498" s="734" t="s">
        <v>1363</v>
      </c>
      <c r="C498" s="14"/>
      <c r="D498" s="153"/>
      <c r="E498" s="153"/>
      <c r="F498" s="153"/>
      <c r="G498" s="247"/>
      <c r="H498" s="153"/>
      <c r="I498" s="244"/>
      <c r="J498" s="244">
        <f>(J494+J495+J497)</f>
        <v>1137840</v>
      </c>
      <c r="K498" s="153"/>
      <c r="L498" s="735"/>
      <c r="M498" s="736" t="e">
        <f t="shared" si="39"/>
        <v>#DIV/0!</v>
      </c>
      <c r="N498" s="379"/>
    </row>
    <row r="499" spans="1:14" customFormat="1">
      <c r="A499" s="153"/>
      <c r="B499" s="733" t="s">
        <v>1767</v>
      </c>
      <c r="C499" s="14"/>
      <c r="D499" s="153"/>
      <c r="E499" s="153"/>
      <c r="F499" s="153"/>
      <c r="G499" s="247"/>
      <c r="H499" s="153"/>
      <c r="I499" s="244"/>
      <c r="J499" s="244"/>
      <c r="K499" s="244"/>
      <c r="L499" s="735">
        <v>408000</v>
      </c>
      <c r="M499" s="736">
        <f t="shared" si="39"/>
        <v>0</v>
      </c>
      <c r="N499" s="379"/>
    </row>
    <row r="500" spans="1:14" customFormat="1">
      <c r="A500" s="153">
        <v>88</v>
      </c>
      <c r="B500" s="734" t="s">
        <v>1875</v>
      </c>
      <c r="C500" s="14" t="s">
        <v>1876</v>
      </c>
      <c r="D500" s="247">
        <v>179623</v>
      </c>
      <c r="E500" s="247">
        <v>182447</v>
      </c>
      <c r="F500" s="247">
        <f>E500-D500</f>
        <v>2824</v>
      </c>
      <c r="G500" s="153">
        <v>40</v>
      </c>
      <c r="H500" s="244">
        <f>(F500*G500)</f>
        <v>112960</v>
      </c>
      <c r="I500" s="244"/>
      <c r="J500" s="244">
        <f>H500+I500</f>
        <v>112960</v>
      </c>
      <c r="K500" s="247"/>
      <c r="L500" s="735">
        <v>87460</v>
      </c>
      <c r="M500" s="736" t="e">
        <f>#REF!/L500</f>
        <v>#REF!</v>
      </c>
      <c r="N500" s="379"/>
    </row>
    <row r="501" spans="1:14" customFormat="1">
      <c r="A501" s="153">
        <v>89</v>
      </c>
      <c r="B501" s="734" t="s">
        <v>1877</v>
      </c>
      <c r="C501" s="14" t="s">
        <v>1878</v>
      </c>
      <c r="D501" s="247">
        <v>615037.5</v>
      </c>
      <c r="E501" s="247">
        <v>640500.5</v>
      </c>
      <c r="F501" s="247">
        <f>E501-D501</f>
        <v>25463</v>
      </c>
      <c r="G501" s="153">
        <v>40</v>
      </c>
      <c r="H501" s="244">
        <f>(F501*G501)</f>
        <v>1018520</v>
      </c>
      <c r="I501" s="244"/>
      <c r="J501" s="244">
        <f>H501+I501</f>
        <v>1018520</v>
      </c>
      <c r="K501" s="809"/>
      <c r="L501" s="735">
        <v>682500</v>
      </c>
      <c r="M501" s="736">
        <f t="shared" ref="M501:M532" si="41">J500/L501</f>
        <v>0.16550915750915751</v>
      </c>
      <c r="N501" s="379">
        <v>9935301354</v>
      </c>
    </row>
    <row r="502" spans="1:14" customFormat="1">
      <c r="A502" s="153"/>
      <c r="B502" s="734" t="s">
        <v>1879</v>
      </c>
      <c r="C502" s="14" t="s">
        <v>1878</v>
      </c>
      <c r="D502" s="247">
        <v>1428.5</v>
      </c>
      <c r="E502" s="247">
        <v>1428.5</v>
      </c>
      <c r="F502" s="247">
        <f>E502-D502</f>
        <v>0</v>
      </c>
      <c r="G502" s="153">
        <v>40</v>
      </c>
      <c r="H502" s="244">
        <f>(F502*G502)</f>
        <v>0</v>
      </c>
      <c r="I502" s="244"/>
      <c r="J502" s="244">
        <f>H502+I502</f>
        <v>0</v>
      </c>
      <c r="K502" s="247"/>
      <c r="L502" s="735">
        <v>0</v>
      </c>
      <c r="M502" s="736" t="e">
        <f t="shared" si="41"/>
        <v>#DIV/0!</v>
      </c>
      <c r="N502" s="379"/>
    </row>
    <row r="503" spans="1:14" customFormat="1">
      <c r="A503" s="153"/>
      <c r="B503" s="734"/>
      <c r="C503" s="238"/>
      <c r="D503" s="247"/>
      <c r="E503" s="247"/>
      <c r="F503" s="247"/>
      <c r="G503" s="153"/>
      <c r="H503" s="244"/>
      <c r="I503" s="244"/>
      <c r="J503" s="244">
        <f>SUM(J500:J502)</f>
        <v>1131480</v>
      </c>
      <c r="K503" s="247"/>
      <c r="L503" s="735">
        <v>1177960</v>
      </c>
      <c r="M503" s="736">
        <f t="shared" si="41"/>
        <v>0</v>
      </c>
      <c r="N503" s="379"/>
    </row>
    <row r="504" spans="1:14" customFormat="1">
      <c r="A504" s="153"/>
      <c r="B504" s="734"/>
      <c r="C504" s="238"/>
      <c r="D504" s="247"/>
      <c r="E504" s="247"/>
      <c r="F504" s="247"/>
      <c r="G504" s="153"/>
      <c r="H504" s="244"/>
      <c r="I504" s="244"/>
      <c r="J504" s="244"/>
      <c r="K504" s="743">
        <f>(J498-J503)/J498</f>
        <v>5.5895380721366801E-3</v>
      </c>
      <c r="L504" s="735"/>
      <c r="M504" s="736" t="e">
        <f t="shared" si="41"/>
        <v>#DIV/0!</v>
      </c>
      <c r="N504" s="379"/>
    </row>
    <row r="505" spans="1:14" customFormat="1">
      <c r="A505" s="153">
        <v>23</v>
      </c>
      <c r="B505" s="821" t="s">
        <v>1880</v>
      </c>
      <c r="C505" s="238"/>
      <c r="D505" s="247"/>
      <c r="E505" s="247"/>
      <c r="F505" s="247"/>
      <c r="G505" s="153"/>
      <c r="H505" s="244"/>
      <c r="I505" s="244"/>
      <c r="J505" s="244"/>
      <c r="K505" s="743"/>
      <c r="L505" s="735"/>
      <c r="M505" s="736" t="e">
        <f t="shared" si="41"/>
        <v>#DIV/0!</v>
      </c>
      <c r="N505" s="379"/>
    </row>
    <row r="506" spans="1:14" customFormat="1">
      <c r="A506" s="153">
        <v>1</v>
      </c>
      <c r="B506" s="238" t="s">
        <v>1881</v>
      </c>
      <c r="C506" s="14">
        <v>9916389</v>
      </c>
      <c r="D506" s="247">
        <v>314.86599999999999</v>
      </c>
      <c r="E506" s="247">
        <v>314.86599999999999</v>
      </c>
      <c r="F506" s="247">
        <v>0</v>
      </c>
      <c r="G506" s="153">
        <v>120</v>
      </c>
      <c r="H506" s="244">
        <f>(F506*G506)</f>
        <v>0</v>
      </c>
      <c r="I506" s="244">
        <f>H507+I507</f>
        <v>616439.99999999942</v>
      </c>
      <c r="J506" s="244">
        <f>H506+I506</f>
        <v>616439.99999999942</v>
      </c>
      <c r="K506" s="247"/>
      <c r="L506" s="735">
        <v>389800</v>
      </c>
      <c r="M506" s="736">
        <f t="shared" si="41"/>
        <v>0</v>
      </c>
      <c r="N506" s="379"/>
    </row>
    <row r="507" spans="1:14" customFormat="1">
      <c r="A507" s="153"/>
      <c r="B507" s="238"/>
      <c r="C507" s="14" t="s">
        <v>1882</v>
      </c>
      <c r="D507" s="247">
        <v>29502.9</v>
      </c>
      <c r="E507" s="247">
        <v>31044</v>
      </c>
      <c r="F507" s="247">
        <f>E507-D507</f>
        <v>1541.0999999999985</v>
      </c>
      <c r="G507" s="153">
        <v>400</v>
      </c>
      <c r="H507" s="244">
        <f>(F507*G507)</f>
        <v>616439.99999999942</v>
      </c>
      <c r="I507" s="244"/>
      <c r="J507" s="244"/>
      <c r="K507" s="247"/>
      <c r="L507" s="735"/>
      <c r="M507" s="736" t="e">
        <f t="shared" si="41"/>
        <v>#DIV/0!</v>
      </c>
      <c r="N507" s="379"/>
    </row>
    <row r="508" spans="1:14" customFormat="1">
      <c r="A508" s="153"/>
      <c r="B508" s="734" t="s">
        <v>1363</v>
      </c>
      <c r="C508" s="14"/>
      <c r="D508" s="247"/>
      <c r="E508" s="247"/>
      <c r="F508" s="153"/>
      <c r="G508" s="247"/>
      <c r="H508" s="153"/>
      <c r="I508" s="244"/>
      <c r="J508" s="244">
        <f>SUM(J506)</f>
        <v>616439.99999999942</v>
      </c>
      <c r="K508" s="247"/>
      <c r="L508" s="735">
        <v>389800</v>
      </c>
      <c r="M508" s="736">
        <f t="shared" si="41"/>
        <v>0</v>
      </c>
      <c r="N508" s="379"/>
    </row>
    <row r="509" spans="1:14" customFormat="1">
      <c r="A509" s="153"/>
      <c r="B509" s="733" t="s">
        <v>1767</v>
      </c>
      <c r="C509" s="14"/>
      <c r="D509" s="247"/>
      <c r="E509" s="247"/>
      <c r="F509" s="153"/>
      <c r="G509" s="247"/>
      <c r="H509" s="153"/>
      <c r="I509" s="244"/>
      <c r="J509" s="244"/>
      <c r="K509" s="153"/>
      <c r="L509" s="735"/>
      <c r="M509" s="736" t="e">
        <f t="shared" si="41"/>
        <v>#DIV/0!</v>
      </c>
      <c r="N509" s="379"/>
    </row>
    <row r="510" spans="1:14" customFormat="1">
      <c r="A510" s="153">
        <v>90</v>
      </c>
      <c r="B510" s="734" t="s">
        <v>1883</v>
      </c>
      <c r="C510" s="14">
        <v>9916392</v>
      </c>
      <c r="D510" s="153">
        <v>9438.6659999999993</v>
      </c>
      <c r="E510" s="153">
        <v>9438.6659999999993</v>
      </c>
      <c r="F510" s="247">
        <f>E510-D510</f>
        <v>0</v>
      </c>
      <c r="G510" s="153">
        <v>40</v>
      </c>
      <c r="H510" s="244">
        <f>(F510*G510)</f>
        <v>0</v>
      </c>
      <c r="I510" s="244">
        <f>H511+I511</f>
        <v>558425.28309999965</v>
      </c>
      <c r="J510" s="244">
        <f>H510+I510</f>
        <v>558425.28309999965</v>
      </c>
      <c r="K510" s="153"/>
      <c r="L510" s="735">
        <v>349185.79369999899</v>
      </c>
      <c r="M510" s="736">
        <f t="shared" si="41"/>
        <v>0</v>
      </c>
      <c r="N510" s="379"/>
    </row>
    <row r="511" spans="1:14" customFormat="1">
      <c r="A511" s="153"/>
      <c r="B511" s="734" t="s">
        <v>1883</v>
      </c>
      <c r="C511" s="14" t="s">
        <v>1884</v>
      </c>
      <c r="D511" s="153">
        <v>93955</v>
      </c>
      <c r="E511" s="241">
        <v>98105.7</v>
      </c>
      <c r="F511" s="247">
        <f>E511-D511</f>
        <v>4150.6999999999971</v>
      </c>
      <c r="G511" s="153">
        <v>133.333</v>
      </c>
      <c r="H511" s="244">
        <f>(F511*G511)</f>
        <v>553425.28309999965</v>
      </c>
      <c r="I511" s="244">
        <v>5000</v>
      </c>
      <c r="J511" s="244"/>
      <c r="K511" s="247"/>
      <c r="L511" s="735"/>
      <c r="M511" s="736" t="e">
        <f t="shared" si="41"/>
        <v>#DIV/0!</v>
      </c>
      <c r="N511" s="379"/>
    </row>
    <row r="512" spans="1:14" customFormat="1">
      <c r="A512" s="153">
        <v>91</v>
      </c>
      <c r="B512" s="734" t="s">
        <v>1885</v>
      </c>
      <c r="C512" s="14">
        <v>9916391</v>
      </c>
      <c r="D512" s="153">
        <v>1051.7</v>
      </c>
      <c r="E512" s="153">
        <v>1051.7</v>
      </c>
      <c r="F512" s="247">
        <f>E512-D512</f>
        <v>0</v>
      </c>
      <c r="G512" s="153">
        <v>40</v>
      </c>
      <c r="H512" s="244">
        <f>(F512*G512)</f>
        <v>0</v>
      </c>
      <c r="I512" s="244">
        <f>H513</f>
        <v>47973.213400000146</v>
      </c>
      <c r="J512" s="244">
        <f>H512+I512</f>
        <v>47973.213400000146</v>
      </c>
      <c r="K512" s="247"/>
      <c r="L512" s="735">
        <v>34533.247000000003</v>
      </c>
      <c r="M512" s="736">
        <f t="shared" si="41"/>
        <v>0</v>
      </c>
      <c r="N512" s="379"/>
    </row>
    <row r="513" spans="1:17" customFormat="1">
      <c r="A513" s="153"/>
      <c r="B513" s="734" t="s">
        <v>1885</v>
      </c>
      <c r="C513" s="14" t="s">
        <v>1886</v>
      </c>
      <c r="D513" s="153">
        <v>8936.4</v>
      </c>
      <c r="E513" s="153">
        <v>9296.2000000000007</v>
      </c>
      <c r="F513" s="247">
        <f>E513-D513</f>
        <v>359.80000000000109</v>
      </c>
      <c r="G513" s="153">
        <v>133.333</v>
      </c>
      <c r="H513" s="244">
        <f>(F513*G513)</f>
        <v>47973.213400000146</v>
      </c>
      <c r="I513" s="244"/>
      <c r="J513" s="244"/>
      <c r="K513" s="809"/>
      <c r="L513" s="735"/>
      <c r="M513" s="736" t="e">
        <f t="shared" si="41"/>
        <v>#DIV/0!</v>
      </c>
      <c r="N513" s="379"/>
      <c r="O513" s="379"/>
      <c r="P513" s="379"/>
      <c r="Q513" s="379"/>
    </row>
    <row r="514" spans="1:17" customFormat="1">
      <c r="A514" s="153"/>
      <c r="B514" s="734"/>
      <c r="C514" s="238"/>
      <c r="D514" s="247"/>
      <c r="E514" s="247"/>
      <c r="F514" s="247"/>
      <c r="G514" s="153"/>
      <c r="H514" s="244"/>
      <c r="I514" s="244"/>
      <c r="J514" s="244">
        <f>SUM(J510+J512)</f>
        <v>606398.49649999978</v>
      </c>
      <c r="K514" s="809"/>
      <c r="L514" s="735">
        <v>383719.04069999902</v>
      </c>
      <c r="M514" s="736">
        <f t="shared" si="41"/>
        <v>0</v>
      </c>
      <c r="N514" s="379"/>
      <c r="O514" s="379"/>
      <c r="P514" s="379"/>
      <c r="Q514" s="379"/>
    </row>
    <row r="515" spans="1:17" customFormat="1">
      <c r="A515" s="95">
        <v>11</v>
      </c>
      <c r="B515" s="732" t="s">
        <v>1887</v>
      </c>
      <c r="C515" s="822"/>
      <c r="D515" s="261"/>
      <c r="E515" s="261"/>
      <c r="F515" s="153"/>
      <c r="G515" s="153"/>
      <c r="H515" s="153"/>
      <c r="I515" s="14"/>
      <c r="J515" s="244"/>
      <c r="K515" s="743">
        <f>(J508-J514)/J508</f>
        <v>1.6289506683537167E-2</v>
      </c>
      <c r="L515" s="735"/>
      <c r="M515" s="736" t="e">
        <f t="shared" si="41"/>
        <v>#DIV/0!</v>
      </c>
      <c r="N515" s="379"/>
      <c r="O515" s="379"/>
      <c r="P515" s="379"/>
      <c r="Q515" s="379"/>
    </row>
    <row r="516" spans="1:17" customFormat="1">
      <c r="A516" s="153">
        <v>1</v>
      </c>
      <c r="B516" s="734" t="s">
        <v>1888</v>
      </c>
      <c r="C516" s="14" t="s">
        <v>1889</v>
      </c>
      <c r="D516" s="247">
        <v>167295</v>
      </c>
      <c r="E516" s="247">
        <v>171226</v>
      </c>
      <c r="F516" s="261">
        <f>E516-D516</f>
        <v>3931</v>
      </c>
      <c r="G516" s="153">
        <v>80</v>
      </c>
      <c r="H516" s="153">
        <f>F516*G516</f>
        <v>314480</v>
      </c>
      <c r="I516" s="14"/>
      <c r="J516" s="244">
        <f>SUM(H516:I516)</f>
        <v>314480</v>
      </c>
      <c r="K516" s="244"/>
      <c r="L516" s="735">
        <v>243040</v>
      </c>
      <c r="M516" s="736">
        <f t="shared" si="41"/>
        <v>0</v>
      </c>
      <c r="N516" s="379"/>
      <c r="O516" s="379"/>
      <c r="P516" s="379"/>
      <c r="Q516" s="379"/>
    </row>
    <row r="517" spans="1:17" customFormat="1">
      <c r="A517" s="153"/>
      <c r="B517" s="734"/>
      <c r="C517" s="14"/>
      <c r="D517" s="153"/>
      <c r="E517" s="153"/>
      <c r="F517" s="261"/>
      <c r="G517" s="153"/>
      <c r="H517" s="153"/>
      <c r="I517" s="14"/>
      <c r="J517" s="244">
        <f>SUM(J516:J516)</f>
        <v>314480</v>
      </c>
      <c r="K517" s="153"/>
      <c r="L517" s="735">
        <v>243040</v>
      </c>
      <c r="M517" s="736">
        <f t="shared" si="41"/>
        <v>1.2939433838051349</v>
      </c>
      <c r="N517" s="379"/>
      <c r="O517" s="379"/>
      <c r="P517" s="379"/>
      <c r="Q517" s="379"/>
    </row>
    <row r="518" spans="1:17" customFormat="1">
      <c r="A518" s="153"/>
      <c r="B518" s="733" t="s">
        <v>1767</v>
      </c>
      <c r="C518" s="14"/>
      <c r="D518" s="331"/>
      <c r="E518" s="331"/>
      <c r="F518" s="153"/>
      <c r="G518" s="153"/>
      <c r="H518" s="153"/>
      <c r="I518" s="14"/>
      <c r="J518" s="244"/>
      <c r="K518" s="153"/>
      <c r="L518" s="735"/>
      <c r="M518" s="736" t="e">
        <f t="shared" si="41"/>
        <v>#DIV/0!</v>
      </c>
      <c r="N518" s="379"/>
      <c r="O518" s="379"/>
      <c r="P518" s="379"/>
      <c r="Q518" s="379"/>
    </row>
    <row r="519" spans="1:17" customFormat="1">
      <c r="A519" s="153">
        <v>92</v>
      </c>
      <c r="B519" s="734" t="s">
        <v>23</v>
      </c>
      <c r="C519" s="14" t="s">
        <v>1890</v>
      </c>
      <c r="D519" s="247">
        <v>101130.5</v>
      </c>
      <c r="E519" s="247">
        <v>106634.5</v>
      </c>
      <c r="F519" s="261">
        <f>E519-D519</f>
        <v>5504</v>
      </c>
      <c r="G519" s="153">
        <v>40</v>
      </c>
      <c r="H519" s="153">
        <f>F519*G519</f>
        <v>220160</v>
      </c>
      <c r="I519" s="14"/>
      <c r="J519" s="244">
        <f>SUM(H519:I519)</f>
        <v>220160</v>
      </c>
      <c r="K519" s="244"/>
      <c r="L519" s="735">
        <v>153180</v>
      </c>
      <c r="M519" s="736">
        <f t="shared" si="41"/>
        <v>0</v>
      </c>
      <c r="N519" s="379"/>
      <c r="O519" s="379"/>
      <c r="P519" s="379"/>
      <c r="Q519" s="379"/>
    </row>
    <row r="520" spans="1:17" customFormat="1">
      <c r="A520" s="153">
        <v>93</v>
      </c>
      <c r="B520" s="734" t="s">
        <v>1891</v>
      </c>
      <c r="C520" s="14" t="s">
        <v>1892</v>
      </c>
      <c r="D520" s="247">
        <v>32673</v>
      </c>
      <c r="E520" s="247">
        <v>33461.5</v>
      </c>
      <c r="F520" s="261">
        <f>E520-D520</f>
        <v>788.5</v>
      </c>
      <c r="G520" s="153">
        <v>40</v>
      </c>
      <c r="H520" s="153">
        <f>F520*G520</f>
        <v>31540</v>
      </c>
      <c r="I520" s="14"/>
      <c r="J520" s="244">
        <f>SUM(H520:I520)</f>
        <v>31540</v>
      </c>
      <c r="K520" s="244"/>
      <c r="L520" s="735">
        <v>27520</v>
      </c>
      <c r="M520" s="736">
        <f t="shared" si="41"/>
        <v>8</v>
      </c>
      <c r="N520" s="379"/>
      <c r="O520" s="379"/>
      <c r="P520" s="379"/>
      <c r="Q520" s="379"/>
    </row>
    <row r="521" spans="1:17" customFormat="1">
      <c r="A521" s="153">
        <v>94</v>
      </c>
      <c r="B521" s="734" t="s">
        <v>1893</v>
      </c>
      <c r="C521" s="14" t="s">
        <v>1894</v>
      </c>
      <c r="D521" s="247">
        <v>196020</v>
      </c>
      <c r="E521" s="247">
        <v>197516.5</v>
      </c>
      <c r="F521" s="261">
        <f>E521-D521</f>
        <v>1496.5</v>
      </c>
      <c r="G521" s="153">
        <v>40</v>
      </c>
      <c r="H521" s="153">
        <f>F521*G521</f>
        <v>59860</v>
      </c>
      <c r="I521" s="14"/>
      <c r="J521" s="244">
        <f>SUM(H521:I521)</f>
        <v>59860</v>
      </c>
      <c r="K521" s="244"/>
      <c r="L521" s="735">
        <v>62000</v>
      </c>
      <c r="M521" s="736">
        <f t="shared" si="41"/>
        <v>0.5087096774193548</v>
      </c>
      <c r="N521" s="379"/>
      <c r="O521" s="379"/>
      <c r="P521" s="379"/>
      <c r="Q521" s="379">
        <v>286</v>
      </c>
    </row>
    <row r="522" spans="1:17" customFormat="1">
      <c r="A522" s="153"/>
      <c r="B522" s="734"/>
      <c r="C522" s="734"/>
      <c r="D522" s="331"/>
      <c r="E522" s="331"/>
      <c r="F522" s="261"/>
      <c r="G522" s="153"/>
      <c r="H522" s="153"/>
      <c r="I522" s="14"/>
      <c r="J522" s="244">
        <f>J519+J520+J521</f>
        <v>311560</v>
      </c>
      <c r="K522" s="153"/>
      <c r="L522" s="735">
        <v>242700</v>
      </c>
      <c r="M522" s="736">
        <f t="shared" si="41"/>
        <v>0.24664194478780388</v>
      </c>
      <c r="N522" s="379"/>
      <c r="O522" s="379"/>
      <c r="P522" s="379"/>
      <c r="Q522" s="379">
        <v>241.3</v>
      </c>
    </row>
    <row r="523" spans="1:17" customFormat="1">
      <c r="A523" s="153" t="s">
        <v>1795</v>
      </c>
      <c r="B523" s="238" t="s">
        <v>1895</v>
      </c>
      <c r="C523" s="238" t="str">
        <f>C439</f>
        <v>MPC52681</v>
      </c>
      <c r="D523" s="247">
        <f t="shared" ref="D523:J523" si="42">D417</f>
        <v>1489.1</v>
      </c>
      <c r="E523" s="247">
        <f t="shared" si="42"/>
        <v>1489.1</v>
      </c>
      <c r="F523" s="247">
        <f t="shared" si="42"/>
        <v>0</v>
      </c>
      <c r="G523" s="247">
        <f t="shared" si="42"/>
        <v>13333</v>
      </c>
      <c r="H523" s="247">
        <f t="shared" si="42"/>
        <v>0</v>
      </c>
      <c r="I523" s="247">
        <f t="shared" si="42"/>
        <v>110933</v>
      </c>
      <c r="J523" s="20">
        <f t="shared" si="42"/>
        <v>110933</v>
      </c>
      <c r="K523" s="743">
        <f>(J517-J522)/J517</f>
        <v>9.285169168150597E-3</v>
      </c>
      <c r="L523" s="735">
        <v>32799.180000000502</v>
      </c>
      <c r="M523" s="736">
        <f t="shared" si="41"/>
        <v>9.4990179632538148</v>
      </c>
      <c r="N523" s="379"/>
      <c r="O523" s="379"/>
      <c r="P523" s="379"/>
      <c r="Q523" s="379">
        <v>147.26</v>
      </c>
    </row>
    <row r="524" spans="1:17" customFormat="1">
      <c r="A524" s="153"/>
      <c r="B524" s="734"/>
      <c r="C524" s="238"/>
      <c r="D524" s="247"/>
      <c r="E524" s="247"/>
      <c r="F524" s="247"/>
      <c r="G524" s="153"/>
      <c r="H524" s="244"/>
      <c r="I524" s="244"/>
      <c r="J524" s="244"/>
      <c r="K524" s="247"/>
      <c r="L524" s="735"/>
      <c r="M524" s="736" t="e">
        <f t="shared" si="41"/>
        <v>#DIV/0!</v>
      </c>
      <c r="N524" s="379"/>
      <c r="O524" s="379"/>
      <c r="P524" s="379"/>
      <c r="Q524" s="379">
        <v>105.1</v>
      </c>
    </row>
    <row r="525" spans="1:17" customFormat="1">
      <c r="A525" s="153"/>
      <c r="B525" s="239" t="s">
        <v>1492</v>
      </c>
      <c r="C525" s="238"/>
      <c r="D525" s="778"/>
      <c r="E525" s="778"/>
      <c r="F525" s="247"/>
      <c r="G525" s="153"/>
      <c r="H525" s="153"/>
      <c r="I525" s="153"/>
      <c r="J525" s="349">
        <f>'SS INPUT'!J262+'SS INPUT'!J273+'SS INPUT'!J285+'SS INPUT'!J296+'SS INPUT'!J305+'SS INPUT'!J322+'SS INPUT'!J332+'SS INPUT'!J350+'SS INPUT'!J365+'SS INPUT'!J379+'SS INPUT'!J391+'SS INPUT'!J401+'SS INPUT'!J415+'SS INPUT'!J424+'SS INPUT'!J432+'SS INPUT'!J440+'SS INPUT'!J451+'SS INPUT'!J462+'SS INPUT'!J469+'SS INPUT'!J478+'SS INPUT'!J487+'SS INPUT'!J498+'SS INPUT'!J508+'SS INPUT'!J517</f>
        <v>52374211.00000006</v>
      </c>
      <c r="K525" s="743"/>
      <c r="L525" s="735">
        <v>37201672.0173999</v>
      </c>
      <c r="M525" s="736">
        <f t="shared" si="41"/>
        <v>0</v>
      </c>
      <c r="N525" s="379"/>
      <c r="O525" s="379"/>
      <c r="P525" s="379"/>
      <c r="Q525" s="379"/>
    </row>
    <row r="526" spans="1:17" customFormat="1">
      <c r="A526" s="153"/>
      <c r="B526" s="239" t="s">
        <v>1493</v>
      </c>
      <c r="C526" s="239"/>
      <c r="D526" s="690"/>
      <c r="E526" s="690"/>
      <c r="F526" s="779"/>
      <c r="G526" s="95"/>
      <c r="H526" s="95"/>
      <c r="I526" s="349"/>
      <c r="J526" s="349">
        <f>J268+J279+J293+J302+J313+J329+J338+J360+J373+J387+J397+J407+J421+J429+J437+J446+J459+J466+J475+J483+J492+J503+J514+J522-J417</f>
        <v>51801947.298246093</v>
      </c>
      <c r="K526" s="738"/>
      <c r="L526" s="735">
        <v>36687902.500623003</v>
      </c>
      <c r="M526" s="736">
        <f t="shared" si="41"/>
        <v>1.4275607878948839</v>
      </c>
      <c r="N526" s="379"/>
      <c r="O526" s="379"/>
      <c r="P526" s="379"/>
      <c r="Q526" s="379"/>
    </row>
    <row r="527" spans="1:17" customFormat="1">
      <c r="A527" s="153"/>
      <c r="B527" s="239"/>
      <c r="C527" s="239"/>
      <c r="D527" s="690"/>
      <c r="E527" s="690"/>
      <c r="F527" s="779"/>
      <c r="G527" s="95"/>
      <c r="H527" s="95"/>
      <c r="I527" s="349"/>
      <c r="J527" s="349"/>
      <c r="K527" s="780">
        <f>(J525-J526)/J525</f>
        <v>1.0926440529175052E-2</v>
      </c>
      <c r="L527" s="735"/>
      <c r="M527" s="736" t="e">
        <f t="shared" si="41"/>
        <v>#DIV/0!</v>
      </c>
      <c r="N527" s="379"/>
      <c r="O527" s="379"/>
      <c r="P527" s="379"/>
      <c r="Q527" s="379"/>
    </row>
    <row r="528" spans="1:17" customFormat="1" ht="18">
      <c r="A528" s="823" t="s">
        <v>1896</v>
      </c>
      <c r="B528" s="824"/>
      <c r="C528" s="824"/>
      <c r="D528" s="824"/>
      <c r="E528" s="824"/>
      <c r="F528" s="824"/>
      <c r="G528" s="824"/>
      <c r="H528" s="824"/>
      <c r="I528" s="824"/>
      <c r="J528" s="824"/>
      <c r="K528" s="780"/>
      <c r="L528" s="735"/>
      <c r="M528" s="736" t="e">
        <f t="shared" si="41"/>
        <v>#DIV/0!</v>
      </c>
      <c r="N528" s="379"/>
      <c r="O528" s="379"/>
      <c r="P528" s="379"/>
      <c r="Q528" s="379"/>
    </row>
    <row r="529" spans="1:13" customFormat="1" ht="18">
      <c r="A529" s="161"/>
      <c r="B529" s="1337" t="s">
        <v>1350</v>
      </c>
      <c r="C529" s="1337"/>
      <c r="D529" s="1337"/>
      <c r="E529" s="1338" t="str">
        <f>D2</f>
        <v>OCT.2024</v>
      </c>
      <c r="F529" s="1338"/>
      <c r="G529" s="1338"/>
      <c r="H529" s="153"/>
      <c r="I529" s="153"/>
      <c r="J529" s="153" t="s">
        <v>1546</v>
      </c>
      <c r="K529" s="825"/>
      <c r="L529" s="735" t="s">
        <v>1546</v>
      </c>
      <c r="M529" s="736" t="e">
        <f t="shared" si="41"/>
        <v>#VALUE!</v>
      </c>
    </row>
    <row r="530" spans="1:13" customFormat="1" ht="25.5">
      <c r="A530" s="14" t="s">
        <v>345</v>
      </c>
      <c r="B530" s="725" t="s">
        <v>898</v>
      </c>
      <c r="C530" s="782" t="s">
        <v>1351</v>
      </c>
      <c r="D530" s="727"/>
      <c r="E530" s="727"/>
      <c r="F530" s="727" t="s">
        <v>1353</v>
      </c>
      <c r="G530" s="14" t="s">
        <v>135</v>
      </c>
      <c r="H530" s="14" t="s">
        <v>13</v>
      </c>
      <c r="I530" s="826" t="s">
        <v>1897</v>
      </c>
      <c r="J530" s="727" t="s">
        <v>1495</v>
      </c>
      <c r="K530" s="153"/>
      <c r="L530" s="735" t="s">
        <v>1495</v>
      </c>
      <c r="M530" s="736" t="e">
        <f t="shared" si="41"/>
        <v>#VALUE!</v>
      </c>
    </row>
    <row r="531" spans="1:13" customFormat="1">
      <c r="A531" s="153"/>
      <c r="B531" s="238"/>
      <c r="C531" s="238"/>
      <c r="D531" s="331">
        <f>D255</f>
        <v>45565</v>
      </c>
      <c r="E531" s="331">
        <f>E255</f>
        <v>45596</v>
      </c>
      <c r="F531" s="153"/>
      <c r="G531" s="153"/>
      <c r="H531" s="153"/>
      <c r="I531" s="14"/>
      <c r="J531" s="731"/>
      <c r="K531" s="153" t="s">
        <v>1592</v>
      </c>
      <c r="L531" s="379"/>
      <c r="M531" s="736" t="e">
        <f t="shared" si="41"/>
        <v>#VALUE!</v>
      </c>
    </row>
    <row r="532" spans="1:13" customFormat="1">
      <c r="A532" s="95">
        <v>1</v>
      </c>
      <c r="B532" s="741" t="s">
        <v>1898</v>
      </c>
      <c r="C532" s="238"/>
      <c r="D532" s="153"/>
      <c r="E532" s="153"/>
      <c r="F532" s="153"/>
      <c r="G532" s="153"/>
      <c r="H532" s="153"/>
      <c r="I532" s="14"/>
      <c r="J532" s="153"/>
      <c r="K532" s="153"/>
      <c r="L532" s="379"/>
      <c r="M532" s="736" t="e">
        <f t="shared" si="41"/>
        <v>#DIV/0!</v>
      </c>
    </row>
    <row r="533" spans="1:13" customFormat="1">
      <c r="A533" s="153">
        <v>1</v>
      </c>
      <c r="B533" s="238" t="s">
        <v>1899</v>
      </c>
      <c r="C533" s="238" t="s">
        <v>1900</v>
      </c>
      <c r="D533" s="247">
        <v>2774.14</v>
      </c>
      <c r="E533" s="247">
        <v>2774.14</v>
      </c>
      <c r="F533" s="153">
        <f>E533-D533</f>
        <v>0</v>
      </c>
      <c r="G533" s="153">
        <v>80000</v>
      </c>
      <c r="H533" s="153">
        <f>F533*G533</f>
        <v>0</v>
      </c>
      <c r="I533" s="14"/>
      <c r="J533" s="244">
        <f>SUM(H533:I533)</f>
        <v>0</v>
      </c>
      <c r="K533" s="153"/>
      <c r="L533" s="379">
        <v>0</v>
      </c>
      <c r="M533" s="736" t="e">
        <f>J533/L533</f>
        <v>#DIV/0!</v>
      </c>
    </row>
    <row r="534" spans="1:13" customFormat="1">
      <c r="A534" s="153">
        <v>2</v>
      </c>
      <c r="B534" s="748" t="s">
        <v>1407</v>
      </c>
      <c r="C534" s="238" t="s">
        <v>1901</v>
      </c>
      <c r="D534" s="261">
        <v>72414.100000000006</v>
      </c>
      <c r="E534" s="261">
        <v>72425.3</v>
      </c>
      <c r="F534" s="153">
        <f>E534-D534</f>
        <v>11.19999999999709</v>
      </c>
      <c r="G534" s="153">
        <v>4000</v>
      </c>
      <c r="H534" s="153">
        <f>F534*G534</f>
        <v>44799.999999988358</v>
      </c>
      <c r="I534" s="14"/>
      <c r="J534" s="244">
        <f>SUM(H534:I534)</f>
        <v>44799.999999988358</v>
      </c>
      <c r="K534" s="153"/>
      <c r="L534" s="379">
        <v>156000</v>
      </c>
      <c r="M534" s="736">
        <f t="shared" ref="M534:M597" si="43">J534/L534</f>
        <v>0.28717948717941255</v>
      </c>
    </row>
    <row r="535" spans="1:13" customFormat="1">
      <c r="A535" s="153">
        <v>3</v>
      </c>
      <c r="B535" s="827" t="s">
        <v>1902</v>
      </c>
      <c r="C535" s="238"/>
      <c r="D535" s="247"/>
      <c r="E535" s="247"/>
      <c r="F535" s="153">
        <f>E535-D535</f>
        <v>0</v>
      </c>
      <c r="G535" s="153"/>
      <c r="H535" s="153"/>
      <c r="I535" s="14">
        <v>2008000</v>
      </c>
      <c r="J535" s="244">
        <f>SUM(H535:I535)</f>
        <v>2008000</v>
      </c>
      <c r="K535" s="244"/>
      <c r="L535" s="379">
        <v>680000</v>
      </c>
      <c r="M535" s="736">
        <f t="shared" si="43"/>
        <v>2.9529411764705884</v>
      </c>
    </row>
    <row r="536" spans="1:13" customFormat="1">
      <c r="A536" s="153"/>
      <c r="B536" s="827" t="s">
        <v>1903</v>
      </c>
      <c r="C536" s="238" t="s">
        <v>1900</v>
      </c>
      <c r="D536" s="247">
        <v>586.24</v>
      </c>
      <c r="E536" s="247">
        <v>602.66999999999996</v>
      </c>
      <c r="F536" s="153">
        <f>E536-D536</f>
        <v>16.42999999999995</v>
      </c>
      <c r="G536" s="153">
        <v>80000</v>
      </c>
      <c r="H536" s="153">
        <f>F536*G536</f>
        <v>1314399.999999996</v>
      </c>
      <c r="I536" s="14"/>
      <c r="J536" s="244">
        <f>SUM(H536:I536)</f>
        <v>1314399.999999996</v>
      </c>
      <c r="K536" s="153"/>
      <c r="L536" s="379">
        <v>2934400.0000000051</v>
      </c>
      <c r="M536" s="736">
        <f t="shared" si="43"/>
        <v>0.44792802617229888</v>
      </c>
    </row>
    <row r="537" spans="1:13" customFormat="1">
      <c r="A537" s="153"/>
      <c r="B537" s="748" t="s">
        <v>1407</v>
      </c>
      <c r="C537" s="238" t="s">
        <v>1901</v>
      </c>
      <c r="D537" s="261">
        <v>5309.9</v>
      </c>
      <c r="E537" s="261">
        <v>5309.9</v>
      </c>
      <c r="F537" s="153">
        <f>E537-D537</f>
        <v>0</v>
      </c>
      <c r="G537" s="153">
        <v>4000</v>
      </c>
      <c r="H537" s="153">
        <f>F537*G537</f>
        <v>0</v>
      </c>
      <c r="I537" s="14"/>
      <c r="J537" s="244">
        <f>SUM(H537:I537)</f>
        <v>0</v>
      </c>
      <c r="K537" s="153"/>
      <c r="L537" s="735">
        <v>1841199.9999999972</v>
      </c>
      <c r="M537" s="736">
        <f t="shared" si="43"/>
        <v>0</v>
      </c>
    </row>
    <row r="538" spans="1:13" customFormat="1">
      <c r="A538" s="153"/>
      <c r="B538" s="238" t="s">
        <v>1363</v>
      </c>
      <c r="C538" s="238"/>
      <c r="D538" s="261"/>
      <c r="E538" s="261"/>
      <c r="F538" s="153"/>
      <c r="G538" s="153"/>
      <c r="H538" s="153"/>
      <c r="I538" s="14"/>
      <c r="J538" s="244">
        <f>(J536+J534+J535)</f>
        <v>3367199.9999999842</v>
      </c>
      <c r="K538" s="153"/>
      <c r="L538" s="735">
        <v>3770400.0000000051</v>
      </c>
      <c r="M538" s="736">
        <f t="shared" si="43"/>
        <v>0.8930617441120251</v>
      </c>
    </row>
    <row r="539" spans="1:13" customFormat="1">
      <c r="A539" s="153"/>
      <c r="B539" s="733" t="s">
        <v>1767</v>
      </c>
      <c r="C539" s="238"/>
      <c r="D539" s="261"/>
      <c r="E539" s="261"/>
      <c r="F539" s="261"/>
      <c r="G539" s="153"/>
      <c r="H539" s="153"/>
      <c r="I539" s="14"/>
      <c r="J539" s="244"/>
      <c r="K539" s="153"/>
      <c r="L539" s="735"/>
      <c r="M539" s="736" t="e">
        <f t="shared" si="43"/>
        <v>#DIV/0!</v>
      </c>
    </row>
    <row r="540" spans="1:13" customFormat="1">
      <c r="A540" s="153">
        <v>1</v>
      </c>
      <c r="B540" s="238" t="s">
        <v>1221</v>
      </c>
      <c r="C540" s="238" t="s">
        <v>1904</v>
      </c>
      <c r="D540" s="247">
        <v>10572.93</v>
      </c>
      <c r="E540" s="247">
        <v>10738.64</v>
      </c>
      <c r="F540" s="153">
        <f>E540-D540</f>
        <v>165.70999999999913</v>
      </c>
      <c r="G540" s="153">
        <v>6000</v>
      </c>
      <c r="H540" s="244">
        <f>F540*G540</f>
        <v>994259.99999999476</v>
      </c>
      <c r="I540" s="14"/>
      <c r="J540" s="244">
        <f>SUM(H540:I540)</f>
        <v>994259.99999999476</v>
      </c>
      <c r="K540" s="153"/>
      <c r="L540" s="735">
        <v>1102260.0000000056</v>
      </c>
      <c r="M540" s="736">
        <f t="shared" si="43"/>
        <v>0.90201948723530723</v>
      </c>
    </row>
    <row r="541" spans="1:13" customFormat="1">
      <c r="A541" s="153">
        <v>2</v>
      </c>
      <c r="B541" s="748" t="s">
        <v>1215</v>
      </c>
      <c r="C541" s="238" t="s">
        <v>1905</v>
      </c>
      <c r="D541" s="261">
        <v>1260909.5</v>
      </c>
      <c r="E541" s="261">
        <v>1281130.5</v>
      </c>
      <c r="F541" s="153">
        <f>E541-D541</f>
        <v>20221</v>
      </c>
      <c r="G541" s="153">
        <v>60</v>
      </c>
      <c r="H541" s="153">
        <f>F541*G541</f>
        <v>1213260</v>
      </c>
      <c r="I541" s="14"/>
      <c r="J541" s="244">
        <f>SUM(H541:I541)</f>
        <v>1213260</v>
      </c>
      <c r="K541" s="244"/>
      <c r="L541" s="735">
        <v>1323630</v>
      </c>
      <c r="M541" s="736">
        <f t="shared" si="43"/>
        <v>0.91661567054237214</v>
      </c>
    </row>
    <row r="542" spans="1:13" customFormat="1">
      <c r="A542" s="153">
        <v>3</v>
      </c>
      <c r="B542" s="748" t="s">
        <v>1906</v>
      </c>
      <c r="C542" s="238" t="s">
        <v>1907</v>
      </c>
      <c r="D542" s="261">
        <v>73409</v>
      </c>
      <c r="E542" s="261">
        <v>73572.399999999994</v>
      </c>
      <c r="F542" s="153">
        <f>E542-D542</f>
        <v>163.39999999999418</v>
      </c>
      <c r="G542" s="153">
        <v>2000</v>
      </c>
      <c r="H542" s="153">
        <f>F542*G542</f>
        <v>326799.99999998836</v>
      </c>
      <c r="I542" s="14"/>
      <c r="J542" s="244">
        <f>SUM(H542:I542)</f>
        <v>326799.99999998836</v>
      </c>
      <c r="K542" s="244"/>
      <c r="L542" s="379">
        <v>358799.99999998836</v>
      </c>
      <c r="M542" s="736">
        <f t="shared" si="43"/>
        <v>0.91081382385729925</v>
      </c>
    </row>
    <row r="543" spans="1:13" customFormat="1">
      <c r="A543" s="153">
        <v>5</v>
      </c>
      <c r="B543" s="238" t="s">
        <v>1908</v>
      </c>
      <c r="C543" s="238" t="s">
        <v>1909</v>
      </c>
      <c r="D543" s="247">
        <v>1280.23</v>
      </c>
      <c r="E543" s="247">
        <v>1301.9000000000001</v>
      </c>
      <c r="F543" s="261">
        <f>E543-D543</f>
        <v>21.670000000000073</v>
      </c>
      <c r="G543" s="153">
        <v>6000</v>
      </c>
      <c r="H543" s="153">
        <f>F543*G543</f>
        <v>130020.00000000044</v>
      </c>
      <c r="I543" s="14"/>
      <c r="J543" s="244">
        <f>SUM(H543:I543)</f>
        <v>130020.00000000044</v>
      </c>
      <c r="K543" s="743"/>
      <c r="L543" s="735">
        <v>133799.99999999974</v>
      </c>
      <c r="M543" s="736">
        <f t="shared" si="43"/>
        <v>0.97174887892377193</v>
      </c>
    </row>
    <row r="544" spans="1:13" customFormat="1">
      <c r="A544" s="153">
        <v>6</v>
      </c>
      <c r="B544" s="238" t="s">
        <v>1225</v>
      </c>
      <c r="C544" s="238" t="s">
        <v>1910</v>
      </c>
      <c r="D544" s="261">
        <v>519877</v>
      </c>
      <c r="E544" s="261">
        <v>531529.5</v>
      </c>
      <c r="F544" s="261">
        <f>E544-D544</f>
        <v>11652.5</v>
      </c>
      <c r="G544" s="153">
        <v>60</v>
      </c>
      <c r="H544" s="153">
        <f>F544*G544</f>
        <v>699150</v>
      </c>
      <c r="I544" s="20"/>
      <c r="J544" s="244">
        <f>SUM(H544:I544)</f>
        <v>699150</v>
      </c>
      <c r="K544" s="743"/>
      <c r="L544" s="735">
        <v>783060</v>
      </c>
      <c r="M544" s="736">
        <f t="shared" si="43"/>
        <v>0.89284346027124362</v>
      </c>
    </row>
    <row r="545" spans="1:14" customFormat="1">
      <c r="A545" s="153"/>
      <c r="B545" s="755"/>
      <c r="C545" s="238"/>
      <c r="D545" s="261"/>
      <c r="E545" s="261"/>
      <c r="F545" s="261"/>
      <c r="G545" s="153"/>
      <c r="H545" s="153"/>
      <c r="I545" s="244"/>
      <c r="J545" s="244">
        <f>SUM(J540:J544)</f>
        <v>3363489.9999999837</v>
      </c>
      <c r="K545" s="244"/>
      <c r="L545" s="735">
        <v>3701549.9999999935</v>
      </c>
      <c r="M545" s="736">
        <f t="shared" si="43"/>
        <v>0.90867069200739947</v>
      </c>
      <c r="N545" s="379"/>
    </row>
    <row r="546" spans="1:14" customFormat="1">
      <c r="A546" s="95">
        <v>2</v>
      </c>
      <c r="B546" s="828" t="s">
        <v>1911</v>
      </c>
      <c r="C546" s="829"/>
      <c r="D546" s="261"/>
      <c r="E546" s="261"/>
      <c r="F546" s="261"/>
      <c r="G546" s="153"/>
      <c r="H546" s="153"/>
      <c r="I546" s="14"/>
      <c r="J546" s="244"/>
      <c r="K546" s="743">
        <f>(J538-J545)/J538</f>
        <v>1.1018056545499177E-3</v>
      </c>
      <c r="L546" s="735"/>
      <c r="M546" s="736" t="e">
        <f t="shared" si="43"/>
        <v>#DIV/0!</v>
      </c>
      <c r="N546" s="379"/>
    </row>
    <row r="547" spans="1:14" customFormat="1">
      <c r="A547" s="153">
        <v>1</v>
      </c>
      <c r="B547" s="748" t="s">
        <v>1912</v>
      </c>
      <c r="C547" s="238" t="s">
        <v>1913</v>
      </c>
      <c r="D547" s="261">
        <v>456256.8</v>
      </c>
      <c r="E547" s="261">
        <v>456256.8</v>
      </c>
      <c r="F547" s="261">
        <f>(E547-D547)</f>
        <v>0</v>
      </c>
      <c r="G547" s="153">
        <v>2000</v>
      </c>
      <c r="H547" s="153">
        <f>F547*G547</f>
        <v>0</v>
      </c>
      <c r="I547" s="14">
        <v>1586000</v>
      </c>
      <c r="J547" s="244">
        <f>SUM(H547:I547)</f>
        <v>1586000</v>
      </c>
      <c r="K547" s="153"/>
      <c r="L547" s="735">
        <v>1706000</v>
      </c>
      <c r="M547" s="736">
        <f>J547/L547</f>
        <v>0.92966002344665888</v>
      </c>
      <c r="N547" s="379"/>
    </row>
    <row r="548" spans="1:14" customFormat="1">
      <c r="A548" s="153">
        <v>2</v>
      </c>
      <c r="B548" s="734" t="s">
        <v>1914</v>
      </c>
      <c r="C548" s="238" t="s">
        <v>1915</v>
      </c>
      <c r="D548" s="261">
        <v>305694.40000000002</v>
      </c>
      <c r="E548" s="261">
        <v>308213.3</v>
      </c>
      <c r="F548" s="261">
        <f>(E548-D548)</f>
        <v>2518.8999999999651</v>
      </c>
      <c r="G548" s="153">
        <v>2000</v>
      </c>
      <c r="H548" s="153">
        <f>F548*G548</f>
        <v>5037799.9999999302</v>
      </c>
      <c r="I548" s="14"/>
      <c r="J548" s="244">
        <f>SUM(H548:I548)</f>
        <v>5037799.9999999302</v>
      </c>
      <c r="K548" s="153"/>
      <c r="L548" s="735">
        <v>5305800.0000000466</v>
      </c>
      <c r="M548" s="736">
        <f t="shared" si="43"/>
        <v>0.94948923819214559</v>
      </c>
      <c r="N548" s="379"/>
    </row>
    <row r="549" spans="1:14" customFormat="1">
      <c r="A549" s="153">
        <v>2</v>
      </c>
      <c r="B549" s="734" t="s">
        <v>1914</v>
      </c>
      <c r="C549" s="238" t="s">
        <v>1915</v>
      </c>
      <c r="D549" s="261">
        <v>129</v>
      </c>
      <c r="E549" s="261">
        <v>129</v>
      </c>
      <c r="F549" s="261">
        <f>(E549-D549)</f>
        <v>0</v>
      </c>
      <c r="G549" s="153">
        <v>2000</v>
      </c>
      <c r="H549" s="153">
        <f>F549*G549</f>
        <v>0</v>
      </c>
      <c r="I549" s="14"/>
      <c r="J549" s="244">
        <f>SUM(H549:I549)</f>
        <v>0</v>
      </c>
      <c r="K549" s="244"/>
      <c r="L549" s="735">
        <v>0</v>
      </c>
      <c r="M549" s="736" t="e">
        <f t="shared" si="43"/>
        <v>#DIV/0!</v>
      </c>
      <c r="N549" s="379"/>
    </row>
    <row r="550" spans="1:14" customFormat="1">
      <c r="A550" s="153">
        <v>3</v>
      </c>
      <c r="B550" s="734" t="s">
        <v>1916</v>
      </c>
      <c r="C550" s="238">
        <v>3300084</v>
      </c>
      <c r="D550" s="261">
        <v>139538.4</v>
      </c>
      <c r="E550" s="261">
        <v>139538.4</v>
      </c>
      <c r="F550" s="261">
        <f>(E550-D550)</f>
        <v>0</v>
      </c>
      <c r="G550" s="153">
        <v>80</v>
      </c>
      <c r="H550" s="153">
        <f>F550*G550</f>
        <v>0</v>
      </c>
      <c r="I550" s="14"/>
      <c r="J550" s="244">
        <f>SUM(H550:I550)</f>
        <v>0</v>
      </c>
      <c r="K550" s="244"/>
      <c r="L550" s="735">
        <v>0</v>
      </c>
      <c r="M550" s="736" t="e">
        <f t="shared" si="43"/>
        <v>#DIV/0!</v>
      </c>
      <c r="N550" s="379"/>
    </row>
    <row r="551" spans="1:14" customFormat="1">
      <c r="A551" s="153">
        <v>4</v>
      </c>
      <c r="B551" s="734" t="s">
        <v>1917</v>
      </c>
      <c r="C551" s="238">
        <v>3300084</v>
      </c>
      <c r="D551" s="261"/>
      <c r="E551" s="261"/>
      <c r="F551" s="261"/>
      <c r="G551" s="153"/>
      <c r="H551" s="153"/>
      <c r="I551" s="14"/>
      <c r="J551" s="244">
        <f>J550</f>
        <v>0</v>
      </c>
      <c r="K551" s="244" t="s">
        <v>15</v>
      </c>
      <c r="L551" s="735">
        <v>0</v>
      </c>
      <c r="M551" s="736" t="e">
        <f t="shared" si="43"/>
        <v>#DIV/0!</v>
      </c>
      <c r="N551" s="379"/>
    </row>
    <row r="552" spans="1:14" customFormat="1">
      <c r="A552" s="153"/>
      <c r="B552" s="238"/>
      <c r="C552" s="238"/>
      <c r="D552" s="261"/>
      <c r="E552" s="261"/>
      <c r="F552" s="153"/>
      <c r="G552" s="153"/>
      <c r="H552" s="153"/>
      <c r="I552" s="14"/>
      <c r="J552" s="244">
        <f>SUM(J547+J548+J550-J551)</f>
        <v>6623799.9999999302</v>
      </c>
      <c r="K552" s="244"/>
      <c r="L552" s="735">
        <v>7011800.0000000466</v>
      </c>
      <c r="M552" s="736">
        <f t="shared" si="43"/>
        <v>0.94466470806353375</v>
      </c>
      <c r="N552" s="379"/>
    </row>
    <row r="553" spans="1:14" customFormat="1">
      <c r="A553" s="153"/>
      <c r="B553" s="238" t="s">
        <v>1522</v>
      </c>
      <c r="C553" s="238"/>
      <c r="D553" s="261"/>
      <c r="E553" s="261"/>
      <c r="F553" s="153"/>
      <c r="G553" s="153"/>
      <c r="H553" s="153"/>
      <c r="I553" s="14"/>
      <c r="J553" s="244"/>
      <c r="K553" s="153"/>
      <c r="L553" s="735"/>
      <c r="M553" s="736" t="e">
        <f t="shared" si="43"/>
        <v>#DIV/0!</v>
      </c>
      <c r="N553" s="379"/>
    </row>
    <row r="554" spans="1:14" customFormat="1">
      <c r="A554" s="153">
        <v>7</v>
      </c>
      <c r="B554" s="748" t="s">
        <v>1918</v>
      </c>
      <c r="C554" s="238" t="s">
        <v>1919</v>
      </c>
      <c r="D554" s="261">
        <v>126398.7</v>
      </c>
      <c r="E554" s="261">
        <v>126738.5</v>
      </c>
      <c r="F554" s="261">
        <f t="shared" ref="F554:F560" si="44">(E554-D554)</f>
        <v>339.80000000000291</v>
      </c>
      <c r="G554" s="153">
        <v>2000</v>
      </c>
      <c r="H554" s="153">
        <f t="shared" ref="H554:H560" si="45">F554*G554</f>
        <v>679600.00000000582</v>
      </c>
      <c r="I554" s="14"/>
      <c r="J554" s="244">
        <f t="shared" ref="J554:J561" si="46">SUM(H554:I554)</f>
        <v>679600.00000000582</v>
      </c>
      <c r="K554" s="153"/>
      <c r="L554" s="735">
        <v>729799.99999998836</v>
      </c>
      <c r="M554" s="736">
        <f t="shared" si="43"/>
        <v>0.93121403124145885</v>
      </c>
      <c r="N554" s="379"/>
    </row>
    <row r="555" spans="1:14" customFormat="1">
      <c r="A555" s="153">
        <v>8</v>
      </c>
      <c r="B555" s="748" t="s">
        <v>1920</v>
      </c>
      <c r="C555" s="238" t="s">
        <v>1921</v>
      </c>
      <c r="D555" s="261">
        <v>138847.6</v>
      </c>
      <c r="E555" s="261">
        <v>139560.29999999999</v>
      </c>
      <c r="F555" s="153">
        <f t="shared" si="44"/>
        <v>712.69999999998254</v>
      </c>
      <c r="G555" s="153">
        <v>2000</v>
      </c>
      <c r="H555" s="153">
        <f t="shared" si="45"/>
        <v>1425399.9999999651</v>
      </c>
      <c r="I555" s="14"/>
      <c r="J555" s="244">
        <f t="shared" si="46"/>
        <v>1425399.9999999651</v>
      </c>
      <c r="K555" s="244"/>
      <c r="L555" s="735">
        <v>1498799.9999999884</v>
      </c>
      <c r="M555" s="736">
        <f t="shared" si="43"/>
        <v>0.9510274886575768</v>
      </c>
      <c r="N555" s="379"/>
    </row>
    <row r="556" spans="1:14" customFormat="1">
      <c r="A556" s="153">
        <v>9</v>
      </c>
      <c r="B556" s="748" t="s">
        <v>1922</v>
      </c>
      <c r="C556" s="238" t="s">
        <v>1923</v>
      </c>
      <c r="D556" s="261">
        <v>3121.8</v>
      </c>
      <c r="E556" s="261">
        <v>3121.8</v>
      </c>
      <c r="F556" s="153">
        <f t="shared" si="44"/>
        <v>0</v>
      </c>
      <c r="G556" s="153">
        <v>2000</v>
      </c>
      <c r="H556" s="153">
        <f t="shared" si="45"/>
        <v>0</v>
      </c>
      <c r="I556" s="14"/>
      <c r="J556" s="244">
        <f t="shared" si="46"/>
        <v>0</v>
      </c>
      <c r="K556" s="244"/>
      <c r="L556" s="735">
        <v>0</v>
      </c>
      <c r="M556" s="736" t="e">
        <f t="shared" si="43"/>
        <v>#DIV/0!</v>
      </c>
      <c r="N556" s="379"/>
    </row>
    <row r="557" spans="1:14" customFormat="1">
      <c r="A557" s="153">
        <v>9</v>
      </c>
      <c r="B557" s="748" t="s">
        <v>1924</v>
      </c>
      <c r="C557" s="238" t="s">
        <v>1923</v>
      </c>
      <c r="D557" s="261">
        <v>31524.9</v>
      </c>
      <c r="E557" s="261">
        <v>32169.200000000001</v>
      </c>
      <c r="F557" s="153">
        <f t="shared" si="44"/>
        <v>644.29999999999927</v>
      </c>
      <c r="G557" s="153">
        <v>2000</v>
      </c>
      <c r="H557" s="153">
        <f t="shared" si="45"/>
        <v>1288599.9999999986</v>
      </c>
      <c r="I557" s="14"/>
      <c r="J557" s="244">
        <f t="shared" si="46"/>
        <v>1288599.9999999986</v>
      </c>
      <c r="K557" s="743"/>
      <c r="L557" s="735">
        <v>1351000</v>
      </c>
      <c r="M557" s="736">
        <f t="shared" si="43"/>
        <v>0.95381199111768955</v>
      </c>
      <c r="N557" s="379">
        <f>L564*0.98</f>
        <v>1380036.0000000114</v>
      </c>
    </row>
    <row r="558" spans="1:14" customFormat="1">
      <c r="A558" s="153">
        <v>10</v>
      </c>
      <c r="B558" s="238" t="s">
        <v>1925</v>
      </c>
      <c r="C558" s="238" t="s">
        <v>1926</v>
      </c>
      <c r="D558" s="247">
        <v>3037.48</v>
      </c>
      <c r="E558" s="247">
        <v>3123.65</v>
      </c>
      <c r="F558" s="153">
        <f t="shared" si="44"/>
        <v>86.170000000000073</v>
      </c>
      <c r="G558" s="153">
        <v>6000</v>
      </c>
      <c r="H558" s="153">
        <f t="shared" si="45"/>
        <v>517020.00000000047</v>
      </c>
      <c r="I558" s="20"/>
      <c r="J558" s="244">
        <f t="shared" si="46"/>
        <v>517020.00000000047</v>
      </c>
      <c r="K558" s="743"/>
      <c r="L558" s="735">
        <v>556440.0000000014</v>
      </c>
      <c r="M558" s="736">
        <f t="shared" si="43"/>
        <v>0.92915678240241384</v>
      </c>
      <c r="N558" s="379"/>
    </row>
    <row r="559" spans="1:14" customFormat="1">
      <c r="A559" s="153">
        <v>11</v>
      </c>
      <c r="B559" s="830" t="s">
        <v>1927</v>
      </c>
      <c r="C559" s="238" t="s">
        <v>1928</v>
      </c>
      <c r="D559" s="261">
        <v>407558.5</v>
      </c>
      <c r="E559" s="261">
        <v>423869</v>
      </c>
      <c r="F559" s="153">
        <f t="shared" si="44"/>
        <v>16310.5</v>
      </c>
      <c r="G559" s="153">
        <v>60</v>
      </c>
      <c r="H559" s="244">
        <f t="shared" si="45"/>
        <v>978630</v>
      </c>
      <c r="I559" s="20">
        <v>80000</v>
      </c>
      <c r="J559" s="244">
        <f t="shared" si="46"/>
        <v>1058630</v>
      </c>
      <c r="K559" s="153"/>
      <c r="L559" s="735">
        <v>1158770</v>
      </c>
      <c r="M559" s="736">
        <f t="shared" si="43"/>
        <v>0.91358077961976925</v>
      </c>
      <c r="N559" s="379">
        <f>L565*0.98</f>
        <v>0</v>
      </c>
    </row>
    <row r="560" spans="1:14" customFormat="1">
      <c r="A560" s="153">
        <v>12</v>
      </c>
      <c r="B560" s="238" t="s">
        <v>1929</v>
      </c>
      <c r="C560" s="238" t="s">
        <v>1930</v>
      </c>
      <c r="D560" s="261">
        <v>132457.70000000001</v>
      </c>
      <c r="E560" s="261">
        <v>134250.9</v>
      </c>
      <c r="F560" s="261">
        <f t="shared" si="44"/>
        <v>1793.1999999999825</v>
      </c>
      <c r="G560" s="153">
        <v>200</v>
      </c>
      <c r="H560" s="153">
        <f t="shared" si="45"/>
        <v>358639.99999999651</v>
      </c>
      <c r="I560" s="20">
        <v>500000</v>
      </c>
      <c r="J560" s="244">
        <f t="shared" si="46"/>
        <v>858639.99999999651</v>
      </c>
      <c r="K560" s="750"/>
      <c r="L560" s="735">
        <v>920400</v>
      </c>
      <c r="M560" s="736">
        <f t="shared" si="43"/>
        <v>0.93289873967839687</v>
      </c>
      <c r="N560" s="379">
        <f>L566*0.98</f>
        <v>1380036.0000000114</v>
      </c>
    </row>
    <row r="561" spans="1:13" customFormat="1">
      <c r="A561" s="153">
        <v>13</v>
      </c>
      <c r="B561" s="238" t="s">
        <v>1931</v>
      </c>
      <c r="C561" s="238"/>
      <c r="D561" s="261"/>
      <c r="E561" s="261"/>
      <c r="F561" s="261"/>
      <c r="G561" s="153"/>
      <c r="H561" s="244">
        <v>788799</v>
      </c>
      <c r="I561" s="20"/>
      <c r="J561" s="244">
        <f t="shared" si="46"/>
        <v>788799</v>
      </c>
      <c r="K561" s="831"/>
      <c r="L561" s="735">
        <v>678880.00560000003</v>
      </c>
      <c r="M561" s="736">
        <f t="shared" si="43"/>
        <v>1.1619122576792531</v>
      </c>
    </row>
    <row r="562" spans="1:13" customFormat="1">
      <c r="A562" s="153"/>
      <c r="B562" s="238"/>
      <c r="C562" s="238"/>
      <c r="D562" s="261"/>
      <c r="E562" s="261"/>
      <c r="F562" s="153"/>
      <c r="G562" s="153"/>
      <c r="H562" s="244"/>
      <c r="I562" s="14"/>
      <c r="J562" s="244">
        <f>SUM(J554:J561)</f>
        <v>6616688.9999999665</v>
      </c>
      <c r="K562" s="831"/>
      <c r="L562" s="735">
        <v>6894090.0055999774</v>
      </c>
      <c r="M562" s="736">
        <f t="shared" si="43"/>
        <v>0.95976249144199133</v>
      </c>
    </row>
    <row r="563" spans="1:13" customFormat="1">
      <c r="A563" s="95">
        <v>3</v>
      </c>
      <c r="B563" s="741" t="s">
        <v>1932</v>
      </c>
      <c r="C563" s="238"/>
      <c r="D563" s="261"/>
      <c r="E563" s="261"/>
      <c r="F563" s="153"/>
      <c r="G563" s="153"/>
      <c r="H563" s="153"/>
      <c r="I563" s="14"/>
      <c r="J563" s="244"/>
      <c r="K563" s="743">
        <f>(J552-J562)/J552</f>
        <v>1.0735529454337018E-3</v>
      </c>
      <c r="L563" s="735"/>
      <c r="M563" s="736" t="e">
        <f t="shared" si="43"/>
        <v>#DIV/0!</v>
      </c>
    </row>
    <row r="564" spans="1:13" customFormat="1">
      <c r="A564" s="153">
        <v>1</v>
      </c>
      <c r="B564" s="238" t="s">
        <v>1914</v>
      </c>
      <c r="C564" s="238" t="s">
        <v>1933</v>
      </c>
      <c r="D564" s="261">
        <v>159215</v>
      </c>
      <c r="E564" s="261">
        <v>159873.60000000001</v>
      </c>
      <c r="F564" s="261">
        <f>E564-D564</f>
        <v>658.60000000000582</v>
      </c>
      <c r="G564" s="153">
        <v>2000</v>
      </c>
      <c r="H564" s="153">
        <f>F564*G564</f>
        <v>1317200.0000000116</v>
      </c>
      <c r="I564" s="14"/>
      <c r="J564" s="244">
        <f>SUM(H564:I564)</f>
        <v>1317200.0000000116</v>
      </c>
      <c r="K564" s="153"/>
      <c r="L564" s="735">
        <v>1408200.0000000116</v>
      </c>
      <c r="M564" s="736">
        <f t="shared" si="43"/>
        <v>0.93537849737253287</v>
      </c>
    </row>
    <row r="565" spans="1:13" customFormat="1">
      <c r="A565" s="153">
        <v>2</v>
      </c>
      <c r="B565" s="238" t="s">
        <v>1912</v>
      </c>
      <c r="C565" s="238" t="s">
        <v>1934</v>
      </c>
      <c r="D565" s="261"/>
      <c r="E565" s="261"/>
      <c r="F565" s="261"/>
      <c r="G565" s="153">
        <v>2000</v>
      </c>
      <c r="H565" s="153">
        <f>F565*G565</f>
        <v>0</v>
      </c>
      <c r="I565" s="14"/>
      <c r="J565" s="244">
        <f>SUM(H565:I565)</f>
        <v>0</v>
      </c>
      <c r="K565" s="153"/>
      <c r="L565" s="735">
        <v>0</v>
      </c>
      <c r="M565" s="736" t="e">
        <f t="shared" si="43"/>
        <v>#DIV/0!</v>
      </c>
    </row>
    <row r="566" spans="1:13" customFormat="1">
      <c r="A566" s="153"/>
      <c r="B566" s="238"/>
      <c r="C566" s="238"/>
      <c r="D566" s="261"/>
      <c r="E566" s="261"/>
      <c r="F566" s="153"/>
      <c r="G566" s="153"/>
      <c r="H566" s="153"/>
      <c r="I566" s="14"/>
      <c r="J566" s="244">
        <f>SUM(J564:J565)</f>
        <v>1317200.0000000116</v>
      </c>
      <c r="K566" s="153"/>
      <c r="L566" s="735">
        <v>1408200.0000000116</v>
      </c>
      <c r="M566" s="736">
        <f t="shared" si="43"/>
        <v>0.93537849737253287</v>
      </c>
    </row>
    <row r="567" spans="1:13" customFormat="1">
      <c r="A567" s="153"/>
      <c r="B567" s="733" t="s">
        <v>1767</v>
      </c>
      <c r="C567" s="238"/>
      <c r="D567" s="261"/>
      <c r="E567" s="261"/>
      <c r="F567" s="153"/>
      <c r="G567" s="153"/>
      <c r="H567" s="153"/>
      <c r="I567" s="14"/>
      <c r="J567" s="244"/>
      <c r="K567" s="153"/>
      <c r="L567" s="735"/>
      <c r="M567" s="736" t="e">
        <f t="shared" si="43"/>
        <v>#DIV/0!</v>
      </c>
    </row>
    <row r="568" spans="1:13" customFormat="1">
      <c r="A568" s="153">
        <v>13</v>
      </c>
      <c r="B568" s="734" t="s">
        <v>1935</v>
      </c>
      <c r="C568" s="238" t="s">
        <v>1936</v>
      </c>
      <c r="D568" s="261">
        <v>48260.800000000003</v>
      </c>
      <c r="E568" s="261">
        <v>48427.3</v>
      </c>
      <c r="F568" s="261">
        <f>E568-D568</f>
        <v>166.5</v>
      </c>
      <c r="G568" s="153">
        <v>2000</v>
      </c>
      <c r="H568" s="153">
        <f>F568*G568</f>
        <v>333000</v>
      </c>
      <c r="I568" s="14"/>
      <c r="J568" s="244">
        <f>SUM(H568:I568)</f>
        <v>333000</v>
      </c>
      <c r="K568" s="153"/>
      <c r="L568" s="735">
        <v>371400.00000000873</v>
      </c>
      <c r="M568" s="736">
        <f t="shared" si="43"/>
        <v>0.8966074313408513</v>
      </c>
    </row>
    <row r="569" spans="1:13" customFormat="1">
      <c r="A569" s="153">
        <v>14</v>
      </c>
      <c r="B569" s="734" t="s">
        <v>1937</v>
      </c>
      <c r="C569" s="238" t="s">
        <v>1938</v>
      </c>
      <c r="D569" s="261">
        <v>61177</v>
      </c>
      <c r="E569" s="261">
        <v>61422.3</v>
      </c>
      <c r="F569" s="261">
        <f>E569-D569</f>
        <v>245.30000000000291</v>
      </c>
      <c r="G569" s="153">
        <v>2000</v>
      </c>
      <c r="H569" s="153">
        <f>F569*G569</f>
        <v>490600.00000000582</v>
      </c>
      <c r="I569" s="14"/>
      <c r="J569" s="244">
        <f>SUM(H569:I569)</f>
        <v>490600.00000000582</v>
      </c>
      <c r="K569" s="153"/>
      <c r="L569" s="735">
        <v>525399.99999999418</v>
      </c>
      <c r="M569" s="736">
        <f t="shared" si="43"/>
        <v>0.93376475066618059</v>
      </c>
    </row>
    <row r="570" spans="1:13" customFormat="1">
      <c r="A570" s="153">
        <v>15</v>
      </c>
      <c r="B570" s="734" t="s">
        <v>1939</v>
      </c>
      <c r="C570" s="238" t="s">
        <v>1940</v>
      </c>
      <c r="D570" s="261">
        <v>83749.2</v>
      </c>
      <c r="E570" s="261">
        <v>83990.399999999994</v>
      </c>
      <c r="F570" s="261">
        <f>E570-D570</f>
        <v>241.19999999999709</v>
      </c>
      <c r="G570" s="153">
        <v>2000</v>
      </c>
      <c r="H570" s="153">
        <f>F570*G570</f>
        <v>482399.99999999418</v>
      </c>
      <c r="I570" s="14"/>
      <c r="J570" s="244">
        <f>SUM(H570:I570)</f>
        <v>482399.99999999418</v>
      </c>
      <c r="K570" s="153"/>
      <c r="L570" s="735">
        <v>505000</v>
      </c>
      <c r="M570" s="736">
        <f t="shared" si="43"/>
        <v>0.95524752475246377</v>
      </c>
    </row>
    <row r="571" spans="1:13" customFormat="1">
      <c r="A571" s="153"/>
      <c r="B571" s="238"/>
      <c r="C571" s="238"/>
      <c r="D571" s="261"/>
      <c r="E571" s="261"/>
      <c r="F571" s="261"/>
      <c r="G571" s="153"/>
      <c r="H571" s="153"/>
      <c r="I571" s="14"/>
      <c r="J571" s="244">
        <f>J568+J569+J570</f>
        <v>1306000</v>
      </c>
      <c r="K571" s="153"/>
      <c r="L571" s="735">
        <v>1401800.0000000028</v>
      </c>
      <c r="M571" s="736">
        <f t="shared" si="43"/>
        <v>0.93165929519189428</v>
      </c>
    </row>
    <row r="572" spans="1:13" customFormat="1">
      <c r="A572" s="95">
        <v>4</v>
      </c>
      <c r="B572" s="741" t="s">
        <v>1941</v>
      </c>
      <c r="C572" s="238"/>
      <c r="D572" s="261"/>
      <c r="E572" s="261"/>
      <c r="F572" s="261"/>
      <c r="G572" s="153"/>
      <c r="H572" s="153"/>
      <c r="I572" s="14"/>
      <c r="J572" s="244"/>
      <c r="K572" s="743">
        <f>(J566-J571)/J566</f>
        <v>8.5028849073880523E-3</v>
      </c>
      <c r="L572" s="735"/>
      <c r="M572" s="736" t="e">
        <f t="shared" si="43"/>
        <v>#DIV/0!</v>
      </c>
    </row>
    <row r="573" spans="1:13" customFormat="1">
      <c r="A573" s="153">
        <v>1</v>
      </c>
      <c r="B573" s="832" t="s">
        <v>1942</v>
      </c>
      <c r="C573" s="238" t="s">
        <v>1943</v>
      </c>
      <c r="D573" s="261">
        <v>461298.3</v>
      </c>
      <c r="E573" s="261">
        <v>461298.3</v>
      </c>
      <c r="F573" s="261">
        <f>E573-D573</f>
        <v>0</v>
      </c>
      <c r="G573" s="153">
        <v>2000</v>
      </c>
      <c r="H573" s="153">
        <f>F573*G573</f>
        <v>0</v>
      </c>
      <c r="I573" s="20">
        <v>1898200</v>
      </c>
      <c r="J573" s="769">
        <f>SUM(H573:I573)</f>
        <v>1898200</v>
      </c>
      <c r="K573" s="153"/>
      <c r="L573" s="735">
        <v>1808200</v>
      </c>
      <c r="M573" s="736">
        <f t="shared" si="43"/>
        <v>1.0497732551708883</v>
      </c>
    </row>
    <row r="574" spans="1:13" customFormat="1">
      <c r="A574" s="153">
        <v>2</v>
      </c>
      <c r="B574" s="238" t="s">
        <v>1944</v>
      </c>
      <c r="C574" s="238">
        <v>3743640</v>
      </c>
      <c r="D574" s="261">
        <v>889950.3</v>
      </c>
      <c r="E574" s="261">
        <v>948123.6</v>
      </c>
      <c r="F574" s="261">
        <f>E574-D574</f>
        <v>58173.29999999993</v>
      </c>
      <c r="G574" s="153">
        <v>80</v>
      </c>
      <c r="H574" s="153">
        <f>F574*G574</f>
        <v>4653863.9999999944</v>
      </c>
      <c r="I574" s="14"/>
      <c r="J574" s="244">
        <f>SUM(H574:I574)</f>
        <v>4653863.9999999944</v>
      </c>
      <c r="K574" s="153"/>
      <c r="L574" s="735">
        <v>5228216.0000000056</v>
      </c>
      <c r="M574" s="736">
        <f t="shared" si="43"/>
        <v>0.89014378900948032</v>
      </c>
    </row>
    <row r="575" spans="1:13" customFormat="1">
      <c r="A575" s="153">
        <v>1</v>
      </c>
      <c r="B575" s="814" t="s">
        <v>1942</v>
      </c>
      <c r="C575" s="238" t="s">
        <v>1943</v>
      </c>
      <c r="D575" s="261">
        <v>196</v>
      </c>
      <c r="E575" s="261">
        <v>196</v>
      </c>
      <c r="F575" s="261">
        <f>E575-D575</f>
        <v>0</v>
      </c>
      <c r="G575" s="153">
        <v>2000</v>
      </c>
      <c r="H575" s="153">
        <f>F575*G575</f>
        <v>0</v>
      </c>
      <c r="I575" s="20"/>
      <c r="J575" s="244">
        <f>SUM(H575:I575)</f>
        <v>0</v>
      </c>
      <c r="K575" s="153"/>
      <c r="L575" s="735">
        <v>0</v>
      </c>
      <c r="M575" s="736" t="e">
        <f t="shared" si="43"/>
        <v>#DIV/0!</v>
      </c>
    </row>
    <row r="576" spans="1:13" customFormat="1">
      <c r="A576" s="153"/>
      <c r="B576" s="238"/>
      <c r="C576" s="238"/>
      <c r="D576" s="261"/>
      <c r="E576" s="261"/>
      <c r="F576" s="261"/>
      <c r="G576" s="153"/>
      <c r="H576" s="153"/>
      <c r="I576" s="14"/>
      <c r="J576" s="244">
        <f>SUM(J573+J574)-J575</f>
        <v>6552063.9999999944</v>
      </c>
      <c r="K576" s="153"/>
      <c r="L576" s="735">
        <v>7036416.0000000056</v>
      </c>
      <c r="M576" s="736">
        <f t="shared" si="43"/>
        <v>0.93116495670523025</v>
      </c>
    </row>
    <row r="577" spans="1:16" customFormat="1">
      <c r="A577" s="153"/>
      <c r="B577" s="733" t="s">
        <v>1767</v>
      </c>
      <c r="C577" s="238"/>
      <c r="D577" s="261"/>
      <c r="E577" s="261"/>
      <c r="F577" s="153"/>
      <c r="G577" s="153"/>
      <c r="H577" s="153"/>
      <c r="I577" s="14"/>
      <c r="J577" s="244"/>
      <c r="K577" s="153"/>
      <c r="L577" s="735"/>
      <c r="M577" s="736" t="e">
        <f t="shared" si="43"/>
        <v>#DIV/0!</v>
      </c>
      <c r="N577" s="379"/>
      <c r="O577" s="379"/>
      <c r="P577" s="379"/>
    </row>
    <row r="578" spans="1:16" customFormat="1">
      <c r="A578" s="153">
        <v>16</v>
      </c>
      <c r="B578" s="748" t="s">
        <v>1945</v>
      </c>
      <c r="C578" s="238" t="s">
        <v>1946</v>
      </c>
      <c r="D578" s="261">
        <v>195590.8</v>
      </c>
      <c r="E578" s="261">
        <v>195919</v>
      </c>
      <c r="F578" s="261">
        <f t="shared" ref="F578:F587" si="47">E578-D578</f>
        <v>328.20000000001164</v>
      </c>
      <c r="G578" s="153">
        <v>2000</v>
      </c>
      <c r="H578" s="153">
        <f t="shared" ref="H578:H587" si="48">F578*G578</f>
        <v>656400.00000002328</v>
      </c>
      <c r="I578" s="14"/>
      <c r="J578" s="769">
        <f t="shared" ref="J578:J587" si="49">SUM(H578:I578)</f>
        <v>656400.00000002328</v>
      </c>
      <c r="K578" s="153"/>
      <c r="L578" s="735">
        <v>714399.99999996508</v>
      </c>
      <c r="M578" s="736">
        <f t="shared" si="43"/>
        <v>0.91881298992169003</v>
      </c>
      <c r="N578" s="379">
        <v>735840</v>
      </c>
      <c r="O578" s="379"/>
      <c r="P578" s="379"/>
    </row>
    <row r="579" spans="1:16" customFormat="1">
      <c r="A579" s="153">
        <v>17</v>
      </c>
      <c r="B579" s="752" t="s">
        <v>1947</v>
      </c>
      <c r="C579" s="238" t="s">
        <v>1948</v>
      </c>
      <c r="D579" s="261">
        <v>30525.360000000001</v>
      </c>
      <c r="E579" s="261">
        <v>30534.42</v>
      </c>
      <c r="F579" s="261">
        <f t="shared" si="47"/>
        <v>9.0599999999976717</v>
      </c>
      <c r="G579" s="153">
        <v>6000</v>
      </c>
      <c r="H579" s="244">
        <f t="shared" si="48"/>
        <v>54359.99999998603</v>
      </c>
      <c r="I579" s="20">
        <v>1309420</v>
      </c>
      <c r="J579" s="244">
        <f t="shared" si="49"/>
        <v>1363779.999999986</v>
      </c>
      <c r="K579" s="153"/>
      <c r="L579" s="785">
        <v>1479420</v>
      </c>
      <c r="M579" s="736">
        <f t="shared" si="43"/>
        <v>0.92183423233428374</v>
      </c>
      <c r="N579" s="379">
        <v>338720</v>
      </c>
      <c r="O579" s="379">
        <f>N579*5</f>
        <v>1693600</v>
      </c>
      <c r="P579" s="379"/>
    </row>
    <row r="580" spans="1:16" customFormat="1">
      <c r="A580" s="153">
        <v>18</v>
      </c>
      <c r="B580" s="238" t="s">
        <v>220</v>
      </c>
      <c r="C580" s="238" t="s">
        <v>1949</v>
      </c>
      <c r="D580" s="247">
        <v>3702.96</v>
      </c>
      <c r="E580" s="247">
        <v>3735.17</v>
      </c>
      <c r="F580" s="261">
        <f t="shared" si="47"/>
        <v>32.210000000000036</v>
      </c>
      <c r="G580" s="153">
        <v>20000</v>
      </c>
      <c r="H580" s="244">
        <f t="shared" si="48"/>
        <v>644200.0000000007</v>
      </c>
      <c r="I580" s="20"/>
      <c r="J580" s="244">
        <f t="shared" si="49"/>
        <v>644200.0000000007</v>
      </c>
      <c r="K580" s="153"/>
      <c r="L580" s="735">
        <v>709800.00000000477</v>
      </c>
      <c r="M580" s="736">
        <f t="shared" si="43"/>
        <v>0.90757959988728709</v>
      </c>
      <c r="N580" s="379">
        <v>239238.99999999997</v>
      </c>
      <c r="O580" s="379"/>
      <c r="P580" s="379"/>
    </row>
    <row r="581" spans="1:16" customFormat="1">
      <c r="A581" s="153">
        <v>19</v>
      </c>
      <c r="B581" s="238" t="s">
        <v>1950</v>
      </c>
      <c r="C581" s="238" t="s">
        <v>1951</v>
      </c>
      <c r="D581" s="261">
        <v>83748</v>
      </c>
      <c r="E581" s="261">
        <v>84033.600000000006</v>
      </c>
      <c r="F581" s="261">
        <f t="shared" si="47"/>
        <v>285.60000000000582</v>
      </c>
      <c r="G581" s="153">
        <v>2000</v>
      </c>
      <c r="H581" s="153">
        <f t="shared" si="48"/>
        <v>571200.00000001164</v>
      </c>
      <c r="I581" s="1248"/>
      <c r="J581" s="244">
        <f t="shared" si="49"/>
        <v>571200.00000001164</v>
      </c>
      <c r="K581" s="153"/>
      <c r="L581" s="785">
        <v>623600.00000000582</v>
      </c>
      <c r="M581" s="736">
        <f t="shared" si="43"/>
        <v>0.9159717767799973</v>
      </c>
      <c r="N581" s="379">
        <v>1759918</v>
      </c>
      <c r="O581" s="379"/>
      <c r="P581" s="379"/>
    </row>
    <row r="582" spans="1:16" customFormat="1">
      <c r="A582" s="153">
        <v>20</v>
      </c>
      <c r="B582" s="238" t="s">
        <v>1230</v>
      </c>
      <c r="C582" s="238" t="s">
        <v>1952</v>
      </c>
      <c r="D582" s="261">
        <v>29904.3</v>
      </c>
      <c r="E582" s="261">
        <v>30028.3</v>
      </c>
      <c r="F582" s="261">
        <f t="shared" si="47"/>
        <v>124</v>
      </c>
      <c r="G582" s="153">
        <v>2000</v>
      </c>
      <c r="H582" s="153">
        <f t="shared" si="48"/>
        <v>248000</v>
      </c>
      <c r="I582" s="1248"/>
      <c r="J582" s="244">
        <f t="shared" si="49"/>
        <v>248000</v>
      </c>
      <c r="K582" s="153"/>
      <c r="L582" s="785">
        <v>263799.99999999563</v>
      </c>
      <c r="M582" s="736">
        <f t="shared" si="43"/>
        <v>0.9401061410159367</v>
      </c>
      <c r="N582" s="379">
        <v>847857</v>
      </c>
      <c r="O582" s="379"/>
      <c r="P582" s="379"/>
    </row>
    <row r="583" spans="1:16" customFormat="1">
      <c r="A583" s="153">
        <v>21</v>
      </c>
      <c r="B583" s="238" t="s">
        <v>1953</v>
      </c>
      <c r="C583" s="238" t="s">
        <v>1954</v>
      </c>
      <c r="D583" s="247">
        <v>3351.57</v>
      </c>
      <c r="E583" s="247">
        <v>3364.04</v>
      </c>
      <c r="F583" s="261">
        <f t="shared" si="47"/>
        <v>12.4699999999998</v>
      </c>
      <c r="G583" s="153">
        <v>4000</v>
      </c>
      <c r="H583" s="153">
        <f t="shared" si="48"/>
        <v>49879.9999999992</v>
      </c>
      <c r="I583" s="20"/>
      <c r="J583" s="244">
        <f t="shared" si="49"/>
        <v>49879.9999999992</v>
      </c>
      <c r="K583" s="244"/>
      <c r="L583" s="785">
        <v>0</v>
      </c>
      <c r="M583" s="736" t="e">
        <f t="shared" si="43"/>
        <v>#DIV/0!</v>
      </c>
      <c r="N583" s="379">
        <v>1094636</v>
      </c>
      <c r="O583" s="379"/>
      <c r="P583" s="379"/>
    </row>
    <row r="584" spans="1:16" customFormat="1">
      <c r="A584" s="153">
        <v>22</v>
      </c>
      <c r="B584" s="238" t="s">
        <v>1955</v>
      </c>
      <c r="C584" s="238" t="s">
        <v>1956</v>
      </c>
      <c r="D584" s="247">
        <v>1640.07</v>
      </c>
      <c r="E584" s="247">
        <v>1787.75</v>
      </c>
      <c r="F584" s="261">
        <f t="shared" si="47"/>
        <v>147.68000000000006</v>
      </c>
      <c r="G584" s="153">
        <v>4000</v>
      </c>
      <c r="H584" s="153">
        <f t="shared" si="48"/>
        <v>590720.00000000023</v>
      </c>
      <c r="I584" s="20">
        <v>300000</v>
      </c>
      <c r="J584" s="244">
        <f t="shared" si="49"/>
        <v>890720.00000000023</v>
      </c>
      <c r="K584" s="153"/>
      <c r="L584" s="785">
        <v>968419.92059999984</v>
      </c>
      <c r="M584" s="736">
        <f t="shared" si="43"/>
        <v>0.91976629254811348</v>
      </c>
      <c r="N584" s="379">
        <v>1039559</v>
      </c>
      <c r="O584" s="379"/>
      <c r="P584" s="379"/>
    </row>
    <row r="585" spans="1:16" customFormat="1">
      <c r="A585" s="153">
        <v>23</v>
      </c>
      <c r="B585" s="238" t="s">
        <v>1957</v>
      </c>
      <c r="C585" s="238" t="s">
        <v>1958</v>
      </c>
      <c r="D585" s="833">
        <v>1939.865</v>
      </c>
      <c r="E585" s="833">
        <v>1952.855</v>
      </c>
      <c r="F585" s="833">
        <f t="shared" si="47"/>
        <v>12.990000000000009</v>
      </c>
      <c r="G585" s="153">
        <v>60000</v>
      </c>
      <c r="H585" s="153">
        <f t="shared" si="48"/>
        <v>779400.00000000058</v>
      </c>
      <c r="I585" s="20"/>
      <c r="J585" s="244">
        <f t="shared" si="49"/>
        <v>779400.00000000058</v>
      </c>
      <c r="K585" s="153"/>
      <c r="L585" s="735">
        <v>812880.00000000012</v>
      </c>
      <c r="M585" s="736">
        <f t="shared" si="43"/>
        <v>0.95881310894597049</v>
      </c>
      <c r="N585" s="379">
        <v>887583</v>
      </c>
      <c r="O585" s="379"/>
      <c r="P585" s="379"/>
    </row>
    <row r="586" spans="1:16" customFormat="1">
      <c r="A586" s="153">
        <v>24</v>
      </c>
      <c r="B586" s="734" t="s">
        <v>1959</v>
      </c>
      <c r="C586" s="238" t="s">
        <v>1960</v>
      </c>
      <c r="D586" s="247">
        <v>660.82</v>
      </c>
      <c r="E586" s="247">
        <v>673.75</v>
      </c>
      <c r="F586" s="261">
        <f t="shared" si="47"/>
        <v>12.92999999999995</v>
      </c>
      <c r="G586" s="153">
        <v>4000</v>
      </c>
      <c r="H586" s="153">
        <f t="shared" si="48"/>
        <v>51719.999999999796</v>
      </c>
      <c r="I586" s="20">
        <v>450000</v>
      </c>
      <c r="J586" s="244">
        <f t="shared" si="49"/>
        <v>501719.99999999977</v>
      </c>
      <c r="K586" s="153"/>
      <c r="L586" s="785">
        <v>534700.11910000013</v>
      </c>
      <c r="M586" s="736">
        <f t="shared" si="43"/>
        <v>0.93832034457835534</v>
      </c>
      <c r="N586" s="386">
        <f>J585/10</f>
        <v>77940.000000000058</v>
      </c>
      <c r="O586" s="386">
        <v>1094820</v>
      </c>
      <c r="P586" s="765">
        <f>O586-J585</f>
        <v>315419.99999999942</v>
      </c>
    </row>
    <row r="587" spans="1:16" customFormat="1">
      <c r="A587" s="153"/>
      <c r="B587" s="734" t="s">
        <v>1961</v>
      </c>
      <c r="C587" s="238" t="s">
        <v>1962</v>
      </c>
      <c r="D587" s="247">
        <v>150911.9</v>
      </c>
      <c r="E587" s="247">
        <v>151332.70000000001</v>
      </c>
      <c r="F587" s="261">
        <f t="shared" si="47"/>
        <v>420.80000000001746</v>
      </c>
      <c r="G587" s="153">
        <v>2000</v>
      </c>
      <c r="H587" s="153">
        <f t="shared" si="48"/>
        <v>841600.00000003492</v>
      </c>
      <c r="I587" s="14"/>
      <c r="J587" s="244">
        <f t="shared" si="49"/>
        <v>841600.00000003492</v>
      </c>
      <c r="K587" s="153"/>
      <c r="L587" s="785">
        <v>905399.99999996508</v>
      </c>
      <c r="M587" s="736">
        <f t="shared" si="43"/>
        <v>0.92953390766519484</v>
      </c>
      <c r="N587" s="386">
        <f>N586*4</f>
        <v>311760.00000000023</v>
      </c>
      <c r="O587" s="386"/>
      <c r="P587" s="379"/>
    </row>
    <row r="588" spans="1:16" customFormat="1">
      <c r="A588" s="153"/>
      <c r="B588" s="733"/>
      <c r="C588" s="238"/>
      <c r="D588" s="261"/>
      <c r="E588" s="261"/>
      <c r="F588" s="153"/>
      <c r="G588" s="247"/>
      <c r="H588" s="244"/>
      <c r="I588" s="20"/>
      <c r="J588" s="244">
        <f>SUM(J578:J587)</f>
        <v>6546900.0000000577</v>
      </c>
      <c r="K588" s="153"/>
      <c r="L588" s="735">
        <v>7012420.0396999363</v>
      </c>
      <c r="M588" s="736">
        <f t="shared" si="43"/>
        <v>0.93361492365483023</v>
      </c>
      <c r="N588" s="379"/>
      <c r="O588" s="379"/>
      <c r="P588" s="379"/>
    </row>
    <row r="589" spans="1:16" customFormat="1">
      <c r="A589" s="95">
        <v>5</v>
      </c>
      <c r="B589" s="741" t="s">
        <v>1963</v>
      </c>
      <c r="C589" s="238"/>
      <c r="D589" s="261"/>
      <c r="E589" s="261"/>
      <c r="F589" s="153"/>
      <c r="G589" s="153"/>
      <c r="H589" s="153"/>
      <c r="I589" s="20"/>
      <c r="J589" s="153"/>
      <c r="K589" s="743">
        <f>(J576-J588)/J576</f>
        <v>7.8814858950350213E-4</v>
      </c>
      <c r="L589" s="735"/>
      <c r="M589" s="736" t="e">
        <f t="shared" si="43"/>
        <v>#DIV/0!</v>
      </c>
      <c r="N589" s="379"/>
      <c r="O589" s="379"/>
      <c r="P589" s="379"/>
    </row>
    <row r="590" spans="1:16" customFormat="1">
      <c r="A590" s="153">
        <v>1</v>
      </c>
      <c r="B590" s="734" t="s">
        <v>1964</v>
      </c>
      <c r="C590" s="238" t="s">
        <v>1965</v>
      </c>
      <c r="D590" s="261">
        <v>148220.70000000001</v>
      </c>
      <c r="E590" s="261">
        <v>149908.9</v>
      </c>
      <c r="F590" s="261">
        <f>E590-D590</f>
        <v>1688.1999999999825</v>
      </c>
      <c r="G590" s="153">
        <v>2000</v>
      </c>
      <c r="H590" s="244">
        <f>F590*G590</f>
        <v>3376399.9999999651</v>
      </c>
      <c r="I590" s="14"/>
      <c r="J590" s="244">
        <f>SUM(H590:I590)</f>
        <v>3376399.9999999651</v>
      </c>
      <c r="K590" s="247"/>
      <c r="L590" s="735">
        <v>4305000</v>
      </c>
      <c r="M590" s="736">
        <f t="shared" si="43"/>
        <v>0.78429732868756452</v>
      </c>
      <c r="N590" s="379"/>
      <c r="O590" s="379"/>
      <c r="P590" s="379"/>
    </row>
    <row r="591" spans="1:16" customFormat="1">
      <c r="A591" s="153">
        <v>2</v>
      </c>
      <c r="B591" s="734" t="s">
        <v>1776</v>
      </c>
      <c r="C591" s="238" t="s">
        <v>1966</v>
      </c>
      <c r="D591" s="261">
        <v>151873.5</v>
      </c>
      <c r="E591" s="261">
        <v>151874.6</v>
      </c>
      <c r="F591" s="261">
        <f>E591-D591</f>
        <v>1.1000000000058208</v>
      </c>
      <c r="G591" s="153">
        <v>1500</v>
      </c>
      <c r="H591" s="153">
        <f>F591*G591</f>
        <v>1650.0000000087311</v>
      </c>
      <c r="I591" s="20"/>
      <c r="J591" s="244">
        <f>SUM(H591:I591)</f>
        <v>1650.0000000087311</v>
      </c>
      <c r="K591" s="247"/>
      <c r="L591" s="735">
        <v>2400.0000000087311</v>
      </c>
      <c r="M591" s="736">
        <f t="shared" si="43"/>
        <v>0.68750000000113687</v>
      </c>
      <c r="N591" s="379"/>
      <c r="O591" s="379"/>
      <c r="P591" s="379"/>
    </row>
    <row r="592" spans="1:16" customFormat="1">
      <c r="A592" s="153">
        <v>2</v>
      </c>
      <c r="B592" s="734" t="s">
        <v>1776</v>
      </c>
      <c r="C592" s="238" t="s">
        <v>1966</v>
      </c>
      <c r="D592" s="261">
        <v>51</v>
      </c>
      <c r="E592" s="261">
        <v>51</v>
      </c>
      <c r="F592" s="261">
        <f>E592-D592</f>
        <v>0</v>
      </c>
      <c r="G592" s="153">
        <v>2000</v>
      </c>
      <c r="H592" s="153">
        <f>F592*G592</f>
        <v>0</v>
      </c>
      <c r="I592" s="14"/>
      <c r="J592" s="244">
        <f>SUM(H592:I592)</f>
        <v>0</v>
      </c>
      <c r="K592" s="247"/>
      <c r="L592" s="735">
        <v>0</v>
      </c>
      <c r="M592" s="736" t="e">
        <f t="shared" si="43"/>
        <v>#DIV/0!</v>
      </c>
      <c r="N592" s="379"/>
      <c r="O592" s="379"/>
      <c r="P592" s="379"/>
    </row>
    <row r="593" spans="1:15" customFormat="1">
      <c r="A593" s="153"/>
      <c r="B593" s="734" t="s">
        <v>1363</v>
      </c>
      <c r="C593" s="238"/>
      <c r="D593" s="261"/>
      <c r="E593" s="261"/>
      <c r="F593" s="261"/>
      <c r="G593" s="153"/>
      <c r="H593" s="153"/>
      <c r="I593" s="14"/>
      <c r="J593" s="244">
        <f>J590+J591-J592</f>
        <v>3378049.9999999739</v>
      </c>
      <c r="K593" s="247"/>
      <c r="L593" s="735">
        <v>4307400.0000000084</v>
      </c>
      <c r="M593" s="736">
        <f t="shared" si="43"/>
        <v>0.78424339508751617</v>
      </c>
      <c r="N593" s="379"/>
    </row>
    <row r="594" spans="1:15" customFormat="1">
      <c r="A594" s="153"/>
      <c r="B594" s="733" t="s">
        <v>1767</v>
      </c>
      <c r="C594" s="238"/>
      <c r="D594" s="261"/>
      <c r="E594" s="261"/>
      <c r="F594" s="261"/>
      <c r="G594" s="153"/>
      <c r="H594" s="261"/>
      <c r="I594" s="20"/>
      <c r="J594" s="244"/>
      <c r="K594" s="247"/>
      <c r="L594" s="735"/>
      <c r="M594" s="736" t="e">
        <f t="shared" si="43"/>
        <v>#DIV/0!</v>
      </c>
      <c r="N594" s="379"/>
    </row>
    <row r="595" spans="1:15" customFormat="1">
      <c r="A595" s="153">
        <v>25</v>
      </c>
      <c r="B595" s="238" t="s">
        <v>1967</v>
      </c>
      <c r="C595" s="153" t="s">
        <v>1968</v>
      </c>
      <c r="D595" s="247">
        <v>5418.87</v>
      </c>
      <c r="E595" s="247">
        <v>5424.3</v>
      </c>
      <c r="F595" s="261">
        <f>E595-D595</f>
        <v>5.430000000000291</v>
      </c>
      <c r="G595" s="153">
        <v>6000</v>
      </c>
      <c r="H595" s="153">
        <f>F595*G595</f>
        <v>32580.000000001746</v>
      </c>
      <c r="I595" s="20">
        <v>30020.4739999987</v>
      </c>
      <c r="J595" s="244">
        <f>SUM(H595:I595)</f>
        <v>62600.474000000446</v>
      </c>
      <c r="K595" s="153"/>
      <c r="L595" s="735">
        <v>67580.474000000017</v>
      </c>
      <c r="M595" s="736">
        <f t="shared" si="43"/>
        <v>0.92631007589559711</v>
      </c>
      <c r="N595" s="379">
        <v>51480.474000000002</v>
      </c>
      <c r="O595">
        <f>N595-H595</f>
        <v>18900.473999998256</v>
      </c>
    </row>
    <row r="596" spans="1:15" customFormat="1">
      <c r="A596" s="153">
        <v>26</v>
      </c>
      <c r="B596" s="238" t="s">
        <v>1969</v>
      </c>
      <c r="C596" s="14" t="s">
        <v>1970</v>
      </c>
      <c r="D596" s="261">
        <v>746884</v>
      </c>
      <c r="E596" s="261">
        <v>756870.5</v>
      </c>
      <c r="F596" s="261">
        <f>E596-D596</f>
        <v>9986.5</v>
      </c>
      <c r="G596" s="153">
        <v>60</v>
      </c>
      <c r="H596" s="153">
        <f>F596*G596</f>
        <v>599190</v>
      </c>
      <c r="I596" s="20">
        <v>325844.37540000002</v>
      </c>
      <c r="J596" s="244">
        <f>SUM(H596:I596)</f>
        <v>925034.37540000002</v>
      </c>
      <c r="K596" s="247"/>
      <c r="L596" s="735">
        <v>989234.37540000002</v>
      </c>
      <c r="M596" s="736">
        <f t="shared" si="43"/>
        <v>0.93510132523039291</v>
      </c>
      <c r="N596" s="379">
        <v>969234.37540000002</v>
      </c>
      <c r="O596">
        <f t="shared" ref="O596:O598" si="50">N596-H596</f>
        <v>370044.37540000002</v>
      </c>
    </row>
    <row r="597" spans="1:15" customFormat="1">
      <c r="A597" s="153">
        <v>27</v>
      </c>
      <c r="B597" s="238" t="s">
        <v>1971</v>
      </c>
      <c r="C597" s="153" t="s">
        <v>1972</v>
      </c>
      <c r="D597" s="261">
        <v>103387.2</v>
      </c>
      <c r="E597" s="261">
        <v>103894.1</v>
      </c>
      <c r="F597" s="261">
        <f>E597-D597</f>
        <v>506.90000000000873</v>
      </c>
      <c r="G597" s="153">
        <v>2000</v>
      </c>
      <c r="H597" s="153">
        <f>F597*G597</f>
        <v>1013800.0000000175</v>
      </c>
      <c r="I597" s="20"/>
      <c r="J597" s="244">
        <f>SUM(H597:I597)</f>
        <v>1013800.0000000175</v>
      </c>
      <c r="K597" s="153"/>
      <c r="L597" s="735">
        <v>1808199.9999999825</v>
      </c>
      <c r="M597" s="736">
        <f t="shared" si="43"/>
        <v>0.56066806769164212</v>
      </c>
      <c r="N597" s="379">
        <v>1788843.7504</v>
      </c>
      <c r="O597">
        <f t="shared" si="50"/>
        <v>775043.75039998256</v>
      </c>
    </row>
    <row r="598" spans="1:15" customFormat="1">
      <c r="A598" s="153"/>
      <c r="B598" s="238" t="s">
        <v>1973</v>
      </c>
      <c r="C598" s="153" t="s">
        <v>1974</v>
      </c>
      <c r="D598" s="247">
        <v>1732085.5</v>
      </c>
      <c r="E598" s="247">
        <v>1755220</v>
      </c>
      <c r="F598" s="261">
        <f>E598-D598</f>
        <v>23134.5</v>
      </c>
      <c r="G598" s="153">
        <v>40</v>
      </c>
      <c r="H598" s="244">
        <f>F598*G598</f>
        <v>925380</v>
      </c>
      <c r="I598" s="20">
        <v>409719.98619999998</v>
      </c>
      <c r="J598" s="244">
        <f>SUM(H598:I598)</f>
        <v>1335099.9861999999</v>
      </c>
      <c r="K598" s="153"/>
      <c r="L598" s="735">
        <v>1441359.9862000002</v>
      </c>
      <c r="M598" s="736">
        <f t="shared" ref="M598:M661" si="51">J598/L598</f>
        <v>0.92627795899888687</v>
      </c>
      <c r="N598" s="379">
        <v>1251359.9861999999</v>
      </c>
      <c r="O598">
        <f t="shared" si="50"/>
        <v>325979.98619999993</v>
      </c>
    </row>
    <row r="599" spans="1:15" customFormat="1">
      <c r="A599" s="153"/>
      <c r="B599" s="238"/>
      <c r="C599" s="238"/>
      <c r="D599" s="247"/>
      <c r="E599" s="247"/>
      <c r="F599" s="261"/>
      <c r="G599" s="153"/>
      <c r="H599" s="153"/>
      <c r="I599" s="20"/>
      <c r="J599" s="244">
        <f>SUM(J595:J598)</f>
        <v>3336534.8356000176</v>
      </c>
      <c r="K599" s="153"/>
      <c r="L599" s="735">
        <v>4306374.8355999831</v>
      </c>
      <c r="M599" s="736">
        <f t="shared" si="51"/>
        <v>0.77478969271729847</v>
      </c>
      <c r="N599" s="379"/>
    </row>
    <row r="600" spans="1:15" customFormat="1">
      <c r="A600" s="95">
        <v>6</v>
      </c>
      <c r="B600" s="239" t="s">
        <v>1975</v>
      </c>
      <c r="C600" s="238"/>
      <c r="D600" s="153"/>
      <c r="E600" s="153"/>
      <c r="F600" s="153"/>
      <c r="G600" s="153"/>
      <c r="H600" s="153"/>
      <c r="I600" s="20"/>
      <c r="J600" s="244"/>
      <c r="K600" s="743">
        <f>(J593-J599)/J593</f>
        <v>1.228968321959612E-2</v>
      </c>
      <c r="L600" s="735"/>
      <c r="M600" s="736" t="e">
        <f t="shared" si="51"/>
        <v>#DIV/0!</v>
      </c>
      <c r="N600" s="379"/>
    </row>
    <row r="601" spans="1:15" customFormat="1">
      <c r="A601" s="153">
        <v>1</v>
      </c>
      <c r="B601" s="734" t="s">
        <v>1776</v>
      </c>
      <c r="C601" s="238" t="s">
        <v>1976</v>
      </c>
      <c r="D601" s="153">
        <v>239815.2</v>
      </c>
      <c r="E601" s="153">
        <v>240924.4</v>
      </c>
      <c r="F601" s="261">
        <f>E601-D601</f>
        <v>1109.1999999999825</v>
      </c>
      <c r="G601" s="153">
        <v>2000</v>
      </c>
      <c r="H601" s="153">
        <f>F601*G601</f>
        <v>2218399.9999999651</v>
      </c>
      <c r="I601" s="14"/>
      <c r="J601" s="244">
        <f>H601+I601</f>
        <v>2218399.9999999651</v>
      </c>
      <c r="K601" s="247"/>
      <c r="L601" s="735">
        <v>2299000</v>
      </c>
      <c r="M601" s="736">
        <f t="shared" si="51"/>
        <v>0.96494127881686176</v>
      </c>
      <c r="N601" s="379"/>
    </row>
    <row r="602" spans="1:15" customFormat="1">
      <c r="A602" s="153"/>
      <c r="B602" s="734" t="s">
        <v>1977</v>
      </c>
      <c r="C602" s="238" t="s">
        <v>1976</v>
      </c>
      <c r="D602" s="153">
        <v>767.9</v>
      </c>
      <c r="E602" s="153">
        <v>767.9</v>
      </c>
      <c r="F602" s="261">
        <f>E602-D602</f>
        <v>0</v>
      </c>
      <c r="G602" s="153">
        <v>2000</v>
      </c>
      <c r="H602" s="153">
        <f>F602*G602</f>
        <v>0</v>
      </c>
      <c r="I602" s="14"/>
      <c r="J602" s="244">
        <f>H602+I602</f>
        <v>0</v>
      </c>
      <c r="K602" s="247"/>
      <c r="L602" s="735">
        <v>0</v>
      </c>
      <c r="M602" s="736" t="e">
        <f t="shared" si="51"/>
        <v>#DIV/0!</v>
      </c>
      <c r="N602" s="379"/>
    </row>
    <row r="603" spans="1:15" customFormat="1">
      <c r="A603" s="153"/>
      <c r="B603" s="238" t="s">
        <v>1363</v>
      </c>
      <c r="C603" s="238"/>
      <c r="D603" s="153"/>
      <c r="E603" s="153"/>
      <c r="F603" s="261"/>
      <c r="G603" s="153"/>
      <c r="H603" s="153"/>
      <c r="I603" s="20"/>
      <c r="J603" s="244">
        <f>SUM(J601+J602)</f>
        <v>2218399.9999999651</v>
      </c>
      <c r="K603" s="247"/>
      <c r="L603" s="735">
        <v>2299000</v>
      </c>
      <c r="M603" s="736">
        <f t="shared" si="51"/>
        <v>0.96494127881686176</v>
      </c>
      <c r="N603" s="379"/>
    </row>
    <row r="604" spans="1:15" customFormat="1">
      <c r="A604" s="153"/>
      <c r="B604" s="733" t="s">
        <v>1767</v>
      </c>
      <c r="C604" s="238"/>
      <c r="D604" s="153"/>
      <c r="E604" s="153"/>
      <c r="F604" s="261"/>
      <c r="G604" s="153"/>
      <c r="H604" s="153"/>
      <c r="I604" s="14"/>
      <c r="J604" s="244"/>
      <c r="K604" s="247"/>
      <c r="L604" s="735"/>
      <c r="M604" s="736" t="e">
        <f t="shared" si="51"/>
        <v>#DIV/0!</v>
      </c>
      <c r="N604" s="379"/>
    </row>
    <row r="605" spans="1:15" customFormat="1">
      <c r="A605" s="153">
        <v>29</v>
      </c>
      <c r="B605" s="238" t="s">
        <v>1978</v>
      </c>
      <c r="C605" s="238" t="s">
        <v>1979</v>
      </c>
      <c r="D605" s="153">
        <v>41104.300000000003</v>
      </c>
      <c r="E605" s="153">
        <v>41394.6</v>
      </c>
      <c r="F605" s="261">
        <f>E605-D605</f>
        <v>290.29999999999563</v>
      </c>
      <c r="G605" s="153">
        <v>2000</v>
      </c>
      <c r="H605" s="153">
        <f>F605*G605</f>
        <v>580599.99999999127</v>
      </c>
      <c r="I605" s="14"/>
      <c r="J605" s="244">
        <f>SUM(H605:I605)</f>
        <v>580599.99999999127</v>
      </c>
      <c r="K605" s="247"/>
      <c r="L605" s="735">
        <v>577600.00000000582</v>
      </c>
      <c r="M605" s="736">
        <f t="shared" si="51"/>
        <v>1.0051939058171493</v>
      </c>
      <c r="N605" s="379"/>
    </row>
    <row r="606" spans="1:15" customFormat="1">
      <c r="A606" s="153">
        <v>30</v>
      </c>
      <c r="B606" s="238" t="s">
        <v>1980</v>
      </c>
      <c r="C606" s="238" t="s">
        <v>1981</v>
      </c>
      <c r="D606" s="153">
        <v>5568.05</v>
      </c>
      <c r="E606" s="153">
        <v>5682.79</v>
      </c>
      <c r="F606" s="261">
        <f>E606-D606</f>
        <v>114.73999999999978</v>
      </c>
      <c r="G606" s="153">
        <v>6000</v>
      </c>
      <c r="H606" s="153">
        <f>F606*G606</f>
        <v>688439.99999999872</v>
      </c>
      <c r="I606" s="20"/>
      <c r="J606" s="244">
        <f>SUM(H606:I606)</f>
        <v>688439.99999999872</v>
      </c>
      <c r="K606" s="247"/>
      <c r="L606" s="735">
        <v>669300.00000000105</v>
      </c>
      <c r="M606" s="736">
        <f t="shared" si="51"/>
        <v>1.0285970416853394</v>
      </c>
      <c r="N606" s="379"/>
    </row>
    <row r="607" spans="1:15" customFormat="1">
      <c r="A607" s="153">
        <v>31</v>
      </c>
      <c r="B607" s="238" t="s">
        <v>1982</v>
      </c>
      <c r="C607" s="238" t="s">
        <v>1983</v>
      </c>
      <c r="D607" s="153">
        <v>69551.3</v>
      </c>
      <c r="E607" s="153">
        <v>69559.199999999997</v>
      </c>
      <c r="F607" s="261">
        <f>E607-D607</f>
        <v>7.8999999999941792</v>
      </c>
      <c r="G607" s="153">
        <v>2000</v>
      </c>
      <c r="H607" s="153">
        <f>F607*G607</f>
        <v>15799.999999988358</v>
      </c>
      <c r="I607" s="20">
        <v>930605.86020000605</v>
      </c>
      <c r="J607" s="244">
        <f>SUM(H607:I607)</f>
        <v>946405.86019999441</v>
      </c>
      <c r="K607" s="247"/>
      <c r="L607" s="735">
        <v>1035005.8602000002</v>
      </c>
      <c r="M607" s="736">
        <f t="shared" si="51"/>
        <v>0.91439661995451393</v>
      </c>
      <c r="N607" s="379"/>
    </row>
    <row r="608" spans="1:15" customFormat="1">
      <c r="A608" s="153"/>
      <c r="B608" s="238"/>
      <c r="C608" s="238"/>
      <c r="D608" s="153"/>
      <c r="E608" s="153"/>
      <c r="F608" s="153"/>
      <c r="G608" s="153"/>
      <c r="H608" s="153"/>
      <c r="I608" s="14"/>
      <c r="J608" s="244">
        <f>SUM(J605+J606+J607)</f>
        <v>2215445.8601999842</v>
      </c>
      <c r="K608" s="153"/>
      <c r="L608" s="735">
        <v>2281905.8602000074</v>
      </c>
      <c r="M608" s="736">
        <f t="shared" si="51"/>
        <v>0.97087522269906523</v>
      </c>
      <c r="N608" s="379"/>
    </row>
    <row r="609" spans="1:18" customFormat="1">
      <c r="A609" s="95">
        <v>7</v>
      </c>
      <c r="B609" s="741" t="s">
        <v>1984</v>
      </c>
      <c r="C609" s="238"/>
      <c r="D609" s="153"/>
      <c r="E609" s="153"/>
      <c r="F609" s="153"/>
      <c r="G609" s="153"/>
      <c r="H609" s="153"/>
      <c r="I609" s="14"/>
      <c r="J609" s="244"/>
      <c r="K609" s="743">
        <f>(J603-J608)/J603</f>
        <v>1.3316533537598985E-3</v>
      </c>
      <c r="L609" s="735"/>
      <c r="M609" s="736" t="e">
        <f t="shared" si="51"/>
        <v>#DIV/0!</v>
      </c>
      <c r="N609" s="379"/>
      <c r="O609" s="379"/>
      <c r="P609" s="379"/>
      <c r="Q609" s="379"/>
      <c r="R609" s="379"/>
    </row>
    <row r="610" spans="1:18" customFormat="1">
      <c r="A610" s="153">
        <v>1</v>
      </c>
      <c r="B610" s="238" t="s">
        <v>1985</v>
      </c>
      <c r="C610" s="238" t="s">
        <v>1986</v>
      </c>
      <c r="D610" s="153">
        <v>1463.85</v>
      </c>
      <c r="E610" s="241">
        <v>1468.42</v>
      </c>
      <c r="F610" s="247">
        <f>E610-D610</f>
        <v>4.5700000000001637</v>
      </c>
      <c r="G610" s="153">
        <v>80000</v>
      </c>
      <c r="H610" s="153">
        <f>F610*G610</f>
        <v>365600.0000000131</v>
      </c>
      <c r="I610" s="14"/>
      <c r="J610" s="244">
        <f>SUM(H610:I610)</f>
        <v>365600.0000000131</v>
      </c>
      <c r="K610" s="247"/>
      <c r="L610" s="735">
        <v>0</v>
      </c>
      <c r="M610" s="736" t="e">
        <f t="shared" si="51"/>
        <v>#DIV/0!</v>
      </c>
      <c r="N610" s="379"/>
      <c r="O610" s="379"/>
      <c r="P610" s="379"/>
      <c r="Q610" s="379"/>
      <c r="R610" s="379"/>
    </row>
    <row r="611" spans="1:18" customFormat="1">
      <c r="A611" s="153">
        <v>2</v>
      </c>
      <c r="B611" s="238" t="s">
        <v>1987</v>
      </c>
      <c r="C611" s="238" t="s">
        <v>1988</v>
      </c>
      <c r="D611" s="153">
        <v>139940.79999999999</v>
      </c>
      <c r="E611" s="153">
        <v>139940.79999999999</v>
      </c>
      <c r="F611" s="261">
        <f>E611-D611</f>
        <v>0</v>
      </c>
      <c r="G611" s="153">
        <v>2000</v>
      </c>
      <c r="H611" s="153">
        <f>F611*G611</f>
        <v>0</v>
      </c>
      <c r="I611" s="14">
        <v>2659000</v>
      </c>
      <c r="J611" s="244">
        <f>SUM(H611:I611)</f>
        <v>2659000</v>
      </c>
      <c r="K611" s="247"/>
      <c r="L611" s="735">
        <v>2759000</v>
      </c>
      <c r="M611" s="736">
        <f t="shared" si="51"/>
        <v>0.96375498368974266</v>
      </c>
      <c r="N611" s="379">
        <v>0</v>
      </c>
      <c r="O611" s="379" t="e">
        <f t="shared" ref="O611:O622" si="52">J610/N611</f>
        <v>#DIV/0!</v>
      </c>
      <c r="P611" s="379"/>
      <c r="Q611" s="379"/>
      <c r="R611" s="379"/>
    </row>
    <row r="612" spans="1:18" customFormat="1">
      <c r="A612" s="153"/>
      <c r="B612" s="238" t="s">
        <v>1363</v>
      </c>
      <c r="C612" s="238"/>
      <c r="D612" s="153"/>
      <c r="E612" s="153"/>
      <c r="F612" s="261"/>
      <c r="G612" s="153"/>
      <c r="H612" s="153"/>
      <c r="I612" s="14"/>
      <c r="J612" s="244">
        <f>SUM(J610+J611)</f>
        <v>3024600.000000013</v>
      </c>
      <c r="K612" s="247"/>
      <c r="L612" s="735">
        <v>2759000</v>
      </c>
      <c r="M612" s="736">
        <f t="shared" si="51"/>
        <v>1.0962667633200482</v>
      </c>
      <c r="N612" s="379">
        <v>2391600.0000000098</v>
      </c>
      <c r="O612" s="736">
        <f t="shared" si="52"/>
        <v>1.1118079946479298</v>
      </c>
      <c r="P612" s="379"/>
      <c r="Q612" s="379"/>
      <c r="R612" s="379"/>
    </row>
    <row r="613" spans="1:18" customFormat="1">
      <c r="A613" s="153"/>
      <c r="B613" s="733" t="s">
        <v>1767</v>
      </c>
      <c r="C613" s="238"/>
      <c r="D613" s="153"/>
      <c r="E613" s="153"/>
      <c r="F613" s="153"/>
      <c r="G613" s="153"/>
      <c r="H613" s="153"/>
      <c r="I613" s="14"/>
      <c r="J613" s="244"/>
      <c r="K613" s="247"/>
      <c r="L613" s="735"/>
      <c r="M613" s="736" t="e">
        <f t="shared" si="51"/>
        <v>#DIV/0!</v>
      </c>
      <c r="N613" s="379">
        <v>2391600.0000000098</v>
      </c>
      <c r="O613" s="736">
        <f t="shared" si="52"/>
        <v>1.2646763672854995</v>
      </c>
      <c r="P613" s="379"/>
      <c r="Q613" s="379"/>
      <c r="R613" s="379"/>
    </row>
    <row r="614" spans="1:18" customFormat="1">
      <c r="A614" s="153">
        <v>32</v>
      </c>
      <c r="B614" s="238" t="s">
        <v>1989</v>
      </c>
      <c r="C614" s="153" t="s">
        <v>1990</v>
      </c>
      <c r="D614" s="153">
        <v>12960.7</v>
      </c>
      <c r="E614" s="153">
        <v>13361.9</v>
      </c>
      <c r="F614" s="261">
        <f t="shared" ref="F614:F619" si="53">E614-D614</f>
        <v>401.19999999999891</v>
      </c>
      <c r="G614" s="155">
        <v>1600</v>
      </c>
      <c r="H614" s="153">
        <f t="shared" ref="H614:H619" si="54">F614*G614</f>
        <v>641919.99999999825</v>
      </c>
      <c r="I614" s="834">
        <v>-44479.6875</v>
      </c>
      <c r="J614" s="244">
        <f t="shared" ref="J614:J619" si="55">SUM(H614:I614)</f>
        <v>597440.31249999825</v>
      </c>
      <c r="K614" s="247" t="s">
        <v>15</v>
      </c>
      <c r="L614" s="735">
        <v>460320.3125</v>
      </c>
      <c r="M614" s="736">
        <f t="shared" si="51"/>
        <v>1.2978795336127997</v>
      </c>
      <c r="N614" s="379"/>
      <c r="O614" s="379" t="e">
        <f t="shared" si="52"/>
        <v>#DIV/0!</v>
      </c>
      <c r="P614" s="379"/>
      <c r="Q614" s="379"/>
      <c r="R614" s="379"/>
    </row>
    <row r="615" spans="1:18" customFormat="1">
      <c r="A615" s="153">
        <v>33</v>
      </c>
      <c r="B615" s="238" t="s">
        <v>1991</v>
      </c>
      <c r="C615" s="153" t="s">
        <v>1992</v>
      </c>
      <c r="D615" s="153">
        <v>23653.7</v>
      </c>
      <c r="E615" s="241">
        <v>23910.3</v>
      </c>
      <c r="F615" s="261">
        <f t="shared" si="53"/>
        <v>256.59999999999854</v>
      </c>
      <c r="G615" s="153">
        <v>2000</v>
      </c>
      <c r="H615" s="153">
        <f t="shared" si="54"/>
        <v>513199.99999999709</v>
      </c>
      <c r="I615" s="14"/>
      <c r="J615" s="244">
        <f t="shared" si="55"/>
        <v>513199.99999999709</v>
      </c>
      <c r="K615" s="247"/>
      <c r="L615" s="735">
        <v>500400.00000000146</v>
      </c>
      <c r="M615" s="736">
        <f t="shared" si="51"/>
        <v>1.0255795363708944</v>
      </c>
      <c r="N615" s="379">
        <v>707000</v>
      </c>
      <c r="O615" s="736">
        <f t="shared" si="52"/>
        <v>0.84503580268740908</v>
      </c>
      <c r="P615" s="379"/>
      <c r="Q615" s="379">
        <v>1271562.5</v>
      </c>
      <c r="R615" s="379">
        <v>270762.5</v>
      </c>
    </row>
    <row r="616" spans="1:18" customFormat="1">
      <c r="A616" s="153">
        <v>34</v>
      </c>
      <c r="B616" s="238" t="s">
        <v>1993</v>
      </c>
      <c r="C616" s="153" t="s">
        <v>1994</v>
      </c>
      <c r="D616" s="153">
        <v>26559.4</v>
      </c>
      <c r="E616" s="153">
        <v>26559.4</v>
      </c>
      <c r="F616" s="261">
        <f t="shared" si="53"/>
        <v>0</v>
      </c>
      <c r="G616" s="153">
        <v>2000</v>
      </c>
      <c r="H616" s="153">
        <f t="shared" si="54"/>
        <v>0</v>
      </c>
      <c r="I616" s="20">
        <v>637640.62390000001</v>
      </c>
      <c r="J616" s="244">
        <f t="shared" si="55"/>
        <v>637640.62390000001</v>
      </c>
      <c r="K616" s="247"/>
      <c r="L616" s="735">
        <v>637640.62390000001</v>
      </c>
      <c r="M616" s="736">
        <f t="shared" si="51"/>
        <v>1</v>
      </c>
      <c r="N616" s="379">
        <v>511799.99999999901</v>
      </c>
      <c r="O616" s="736">
        <f t="shared" si="52"/>
        <v>1.0027354435326261</v>
      </c>
      <c r="P616" s="379"/>
      <c r="Q616" s="379"/>
      <c r="R616" s="379"/>
    </row>
    <row r="617" spans="1:18" customFormat="1">
      <c r="A617" s="153"/>
      <c r="B617" s="734" t="s">
        <v>1995</v>
      </c>
      <c r="C617" s="153" t="s">
        <v>1996</v>
      </c>
      <c r="D617" s="153">
        <v>44075.6</v>
      </c>
      <c r="E617" s="153">
        <v>44377.9</v>
      </c>
      <c r="F617" s="261">
        <f t="shared" si="53"/>
        <v>302.30000000000291</v>
      </c>
      <c r="G617" s="153">
        <v>2000</v>
      </c>
      <c r="H617" s="153">
        <f t="shared" si="54"/>
        <v>604600.00000000582</v>
      </c>
      <c r="I617" s="14"/>
      <c r="J617" s="244">
        <f t="shared" si="55"/>
        <v>604600.00000000582</v>
      </c>
      <c r="K617" s="247"/>
      <c r="L617" s="735">
        <v>479800.00000000291</v>
      </c>
      <c r="M617" s="736">
        <f t="shared" si="51"/>
        <v>1.2601083784910425</v>
      </c>
      <c r="N617" s="379">
        <v>460800.00000000303</v>
      </c>
      <c r="O617" s="736">
        <f t="shared" si="52"/>
        <v>1.3837687150607547</v>
      </c>
      <c r="P617" s="379"/>
      <c r="Q617" s="379"/>
      <c r="R617" s="379"/>
    </row>
    <row r="618" spans="1:18" customFormat="1">
      <c r="A618" s="153">
        <v>36</v>
      </c>
      <c r="B618" s="734" t="s">
        <v>1997</v>
      </c>
      <c r="C618" s="153" t="s">
        <v>1998</v>
      </c>
      <c r="D618" s="153">
        <v>2576.1</v>
      </c>
      <c r="E618" s="241">
        <v>2601.6</v>
      </c>
      <c r="F618" s="261">
        <f t="shared" si="53"/>
        <v>25.5</v>
      </c>
      <c r="G618" s="153">
        <v>2000</v>
      </c>
      <c r="H618" s="153">
        <f t="shared" si="54"/>
        <v>51000</v>
      </c>
      <c r="I618" s="20"/>
      <c r="J618" s="244">
        <f t="shared" si="55"/>
        <v>51000</v>
      </c>
      <c r="K618" s="247"/>
      <c r="L618" s="735">
        <v>120399.99999999964</v>
      </c>
      <c r="M618" s="736">
        <f t="shared" si="51"/>
        <v>0.42358803986711091</v>
      </c>
      <c r="N618" s="379">
        <v>294200.00000001199</v>
      </c>
      <c r="O618" s="736">
        <f t="shared" si="52"/>
        <v>2.0550645819169993</v>
      </c>
      <c r="P618" s="379"/>
      <c r="Q618" s="379"/>
      <c r="R618" s="379"/>
    </row>
    <row r="619" spans="1:18" customFormat="1">
      <c r="A619" s="153">
        <v>37</v>
      </c>
      <c r="B619" s="734" t="s">
        <v>1999</v>
      </c>
      <c r="C619" s="153" t="s">
        <v>2000</v>
      </c>
      <c r="D619" s="153">
        <v>5274.68</v>
      </c>
      <c r="E619" s="153">
        <v>5419.27</v>
      </c>
      <c r="F619" s="261">
        <f t="shared" si="53"/>
        <v>144.59000000000015</v>
      </c>
      <c r="G619" s="153">
        <v>4000</v>
      </c>
      <c r="H619" s="153">
        <f t="shared" si="54"/>
        <v>578360.00000000058</v>
      </c>
      <c r="I619" s="14"/>
      <c r="J619" s="244">
        <f t="shared" si="55"/>
        <v>578360.00000000058</v>
      </c>
      <c r="K619" s="247"/>
      <c r="L619" s="735">
        <v>558200.0000000007</v>
      </c>
      <c r="M619" s="736">
        <f t="shared" si="51"/>
        <v>1.0361160874238622</v>
      </c>
      <c r="N619" s="379">
        <v>125800</v>
      </c>
      <c r="O619" s="736">
        <f t="shared" si="52"/>
        <v>0.40540540540540543</v>
      </c>
      <c r="P619" s="379"/>
      <c r="Q619" s="379"/>
      <c r="R619" s="379"/>
    </row>
    <row r="620" spans="1:18" customFormat="1">
      <c r="A620" s="153"/>
      <c r="B620" s="734" t="s">
        <v>2001</v>
      </c>
      <c r="C620" s="153"/>
      <c r="D620" s="153"/>
      <c r="E620" s="153"/>
      <c r="F620" s="261"/>
      <c r="G620" s="153"/>
      <c r="H620" s="153"/>
      <c r="I620" s="14">
        <v>75000</v>
      </c>
      <c r="J620" s="244"/>
      <c r="K620" s="153"/>
      <c r="L620" s="735"/>
      <c r="M620" s="736" t="e">
        <f t="shared" si="51"/>
        <v>#DIV/0!</v>
      </c>
      <c r="N620" s="379">
        <v>200800</v>
      </c>
      <c r="O620" s="736">
        <f t="shared" si="52"/>
        <v>2.8802788844621543</v>
      </c>
      <c r="P620" s="379"/>
      <c r="Q620" s="379"/>
      <c r="R620" s="379"/>
    </row>
    <row r="621" spans="1:18" customFormat="1">
      <c r="A621" s="153"/>
      <c r="B621" s="238"/>
      <c r="C621" s="238"/>
      <c r="D621" s="153"/>
      <c r="E621" s="153"/>
      <c r="F621" s="153"/>
      <c r="G621" s="153"/>
      <c r="H621" s="153"/>
      <c r="I621" s="20"/>
      <c r="J621" s="244">
        <f>SUM(J614+J615+J616+J617+J618+J619+J620)</f>
        <v>2982240.9364000014</v>
      </c>
      <c r="K621" s="153"/>
      <c r="L621" s="735">
        <v>2756760.9364000047</v>
      </c>
      <c r="M621" s="736">
        <f t="shared" si="51"/>
        <v>1.081791640697886</v>
      </c>
      <c r="N621" s="379">
        <v>48000</v>
      </c>
      <c r="O621" s="736">
        <f t="shared" si="52"/>
        <v>0</v>
      </c>
      <c r="P621" s="379"/>
      <c r="Q621" s="379"/>
      <c r="R621" s="379"/>
    </row>
    <row r="622" spans="1:18" customFormat="1">
      <c r="A622" s="95">
        <v>8</v>
      </c>
      <c r="B622" s="741" t="s">
        <v>2002</v>
      </c>
      <c r="C622" s="238"/>
      <c r="D622" s="153"/>
      <c r="E622" s="153"/>
      <c r="F622" s="153"/>
      <c r="G622" s="153"/>
      <c r="H622" s="153"/>
      <c r="I622" s="20"/>
      <c r="J622" s="244"/>
      <c r="K622" s="743">
        <f>(J612-J621)/J612</f>
        <v>1.4004848112150848E-2</v>
      </c>
      <c r="L622" s="735"/>
      <c r="M622" s="736" t="e">
        <f t="shared" si="51"/>
        <v>#DIV/0!</v>
      </c>
      <c r="N622" s="379">
        <v>2348400.0000000098</v>
      </c>
      <c r="O622" s="736">
        <f t="shared" si="52"/>
        <v>1.2699033113609219</v>
      </c>
      <c r="P622" s="379"/>
      <c r="Q622" s="379"/>
      <c r="R622" s="379"/>
    </row>
    <row r="623" spans="1:18" customFormat="1">
      <c r="A623" s="153">
        <v>1</v>
      </c>
      <c r="B623" s="734" t="s">
        <v>2003</v>
      </c>
      <c r="C623" s="238">
        <v>3300083</v>
      </c>
      <c r="D623" s="153">
        <v>183438.1</v>
      </c>
      <c r="E623" s="153">
        <v>203354.7</v>
      </c>
      <c r="F623" s="261">
        <v>20228.7</v>
      </c>
      <c r="G623" s="153">
        <v>80</v>
      </c>
      <c r="H623" s="153">
        <f>F623*G623</f>
        <v>1618296</v>
      </c>
      <c r="I623" s="20">
        <v>138000</v>
      </c>
      <c r="J623" s="244">
        <f>SUM(H623:I623)</f>
        <v>1756296</v>
      </c>
      <c r="K623" s="153"/>
      <c r="L623" s="735">
        <v>1956296</v>
      </c>
      <c r="M623" s="736">
        <f t="shared" si="51"/>
        <v>0.89776598224399584</v>
      </c>
      <c r="N623" s="379"/>
      <c r="O623" s="379"/>
      <c r="P623" s="379"/>
      <c r="Q623" s="379"/>
      <c r="R623" s="379"/>
    </row>
    <row r="624" spans="1:18" customFormat="1">
      <c r="A624" s="153">
        <v>2</v>
      </c>
      <c r="B624" s="748" t="s">
        <v>2003</v>
      </c>
      <c r="C624" s="238" t="s">
        <v>2004</v>
      </c>
      <c r="D624" s="153">
        <v>73704.7</v>
      </c>
      <c r="E624" s="153">
        <v>74760.2</v>
      </c>
      <c r="F624" s="261">
        <f>E624-D624</f>
        <v>1055.5</v>
      </c>
      <c r="G624" s="153">
        <v>2000</v>
      </c>
      <c r="H624" s="153">
        <f>F624*G624</f>
        <v>2111000</v>
      </c>
      <c r="I624" s="14"/>
      <c r="J624" s="769">
        <f>SUM(H624:I624)</f>
        <v>2111000</v>
      </c>
      <c r="K624" s="153"/>
      <c r="L624" s="735">
        <v>2100600.0000000056</v>
      </c>
      <c r="M624" s="736">
        <f t="shared" si="51"/>
        <v>1.0049509663905525</v>
      </c>
      <c r="N624" s="379">
        <v>9425790126</v>
      </c>
      <c r="O624" s="379"/>
      <c r="P624" s="379"/>
      <c r="Q624" s="379"/>
      <c r="R624" s="379"/>
    </row>
    <row r="625" spans="1:14" customFormat="1">
      <c r="A625" s="153"/>
      <c r="B625" s="238"/>
      <c r="C625" s="238"/>
      <c r="D625" s="153"/>
      <c r="E625" s="153"/>
      <c r="F625" s="261"/>
      <c r="G625" s="153"/>
      <c r="H625" s="153"/>
      <c r="I625" s="14"/>
      <c r="J625" s="244">
        <f>SUM(J623:J624)</f>
        <v>3867296</v>
      </c>
      <c r="K625" s="153"/>
      <c r="L625" s="735">
        <v>4056896.0000000056</v>
      </c>
      <c r="M625" s="736">
        <f t="shared" si="51"/>
        <v>0.95326476202495569</v>
      </c>
      <c r="N625" s="379"/>
    </row>
    <row r="626" spans="1:14" customFormat="1">
      <c r="A626" s="153"/>
      <c r="B626" s="733" t="s">
        <v>1767</v>
      </c>
      <c r="C626" s="238"/>
      <c r="D626" s="153"/>
      <c r="E626" s="153"/>
      <c r="F626" s="244"/>
      <c r="G626" s="153"/>
      <c r="H626" s="153"/>
      <c r="I626" s="14"/>
      <c r="J626" s="153"/>
      <c r="K626" s="247"/>
      <c r="L626" s="735"/>
      <c r="M626" s="736" t="e">
        <f t="shared" si="51"/>
        <v>#DIV/0!</v>
      </c>
      <c r="N626" s="379"/>
    </row>
    <row r="627" spans="1:14" customFormat="1">
      <c r="A627" s="153">
        <v>38</v>
      </c>
      <c r="B627" s="734" t="s">
        <v>2005</v>
      </c>
      <c r="C627" s="238" t="s">
        <v>2006</v>
      </c>
      <c r="D627" s="153">
        <v>3369.98</v>
      </c>
      <c r="E627" s="241">
        <v>3385.18</v>
      </c>
      <c r="F627" s="247">
        <f>E627-D627</f>
        <v>15.199999999999818</v>
      </c>
      <c r="G627" s="153">
        <v>20000</v>
      </c>
      <c r="H627" s="153">
        <f>F627*G627</f>
        <v>303999.99999999639</v>
      </c>
      <c r="I627" s="14">
        <v>320000</v>
      </c>
      <c r="J627" s="244">
        <f>SUM(H627:I627)</f>
        <v>623999.99999999639</v>
      </c>
      <c r="K627" s="247"/>
      <c r="L627" s="735">
        <v>665600.00000000396</v>
      </c>
      <c r="M627" s="736">
        <f t="shared" si="51"/>
        <v>0.93749999999998901</v>
      </c>
      <c r="N627" s="379"/>
    </row>
    <row r="628" spans="1:14" customFormat="1">
      <c r="A628" s="153">
        <v>39</v>
      </c>
      <c r="B628" s="734" t="s">
        <v>2007</v>
      </c>
      <c r="C628" s="238" t="s">
        <v>2008</v>
      </c>
      <c r="D628" s="153">
        <v>38193.1</v>
      </c>
      <c r="E628" s="241">
        <v>38216</v>
      </c>
      <c r="F628" s="261">
        <f>E628-D628</f>
        <v>22.900000000001455</v>
      </c>
      <c r="G628" s="153">
        <v>2000</v>
      </c>
      <c r="H628" s="153">
        <f>F628*G628</f>
        <v>45800.00000000291</v>
      </c>
      <c r="I628" s="20">
        <v>906158.59290000598</v>
      </c>
      <c r="J628" s="244">
        <f>SUM(H628:I628)</f>
        <v>951958.59290000889</v>
      </c>
      <c r="K628" s="247"/>
      <c r="L628" s="735">
        <v>1016558.5929</v>
      </c>
      <c r="M628" s="736">
        <f t="shared" si="51"/>
        <v>0.93645226113754776</v>
      </c>
      <c r="N628" s="379"/>
    </row>
    <row r="629" spans="1:14" customFormat="1">
      <c r="A629" s="153">
        <v>40</v>
      </c>
      <c r="B629" s="734" t="s">
        <v>2009</v>
      </c>
      <c r="C629" s="238" t="s">
        <v>2010</v>
      </c>
      <c r="D629" s="261">
        <v>5603.99</v>
      </c>
      <c r="E629" s="261">
        <v>5750.41</v>
      </c>
      <c r="F629" s="261">
        <f>E629-D629</f>
        <v>146.42000000000007</v>
      </c>
      <c r="G629" s="153">
        <v>6000</v>
      </c>
      <c r="H629" s="153">
        <f>F629*G629</f>
        <v>878520.00000000047</v>
      </c>
      <c r="I629" s="20"/>
      <c r="J629" s="244">
        <f>SUM(H629:I629)</f>
        <v>878520.00000000047</v>
      </c>
      <c r="K629" s="247"/>
      <c r="L629" s="735">
        <v>761282.22510000004</v>
      </c>
      <c r="M629" s="736">
        <f t="shared" si="51"/>
        <v>1.1540004101430326</v>
      </c>
      <c r="N629" s="379"/>
    </row>
    <row r="630" spans="1:14" customFormat="1">
      <c r="A630" s="153">
        <v>41</v>
      </c>
      <c r="B630" s="748" t="s">
        <v>931</v>
      </c>
      <c r="C630" s="238" t="s">
        <v>2011</v>
      </c>
      <c r="D630" s="153">
        <v>37903.599999999999</v>
      </c>
      <c r="E630" s="153">
        <v>38305.9</v>
      </c>
      <c r="F630" s="261">
        <f>E630-D630</f>
        <v>402.30000000000291</v>
      </c>
      <c r="G630" s="153">
        <v>2000</v>
      </c>
      <c r="H630" s="153">
        <f>F630*G630</f>
        <v>804600.00000000582</v>
      </c>
      <c r="I630" s="14"/>
      <c r="J630" s="769">
        <f>SUM(H630:I630)</f>
        <v>804600.00000000582</v>
      </c>
      <c r="K630" s="247"/>
      <c r="L630" s="735">
        <v>899000</v>
      </c>
      <c r="M630" s="736">
        <f t="shared" si="51"/>
        <v>0.89499443826474512</v>
      </c>
      <c r="N630" s="379"/>
    </row>
    <row r="631" spans="1:14" customFormat="1">
      <c r="A631" s="153">
        <v>42</v>
      </c>
      <c r="B631" s="748" t="s">
        <v>2012</v>
      </c>
      <c r="C631" s="238" t="s">
        <v>2013</v>
      </c>
      <c r="D631" s="153">
        <v>3552.24</v>
      </c>
      <c r="E631" s="241">
        <v>3552.25</v>
      </c>
      <c r="F631" s="261">
        <f>E631-D631</f>
        <v>1.0000000000218279E-2</v>
      </c>
      <c r="G631" s="153">
        <v>6000</v>
      </c>
      <c r="H631" s="153">
        <f>F631*G631</f>
        <v>60.000000001309672</v>
      </c>
      <c r="I631" s="14">
        <v>600000</v>
      </c>
      <c r="J631" s="769">
        <f>SUM(H631:I631)</f>
        <v>600060.00000000128</v>
      </c>
      <c r="K631" s="247"/>
      <c r="L631" s="735">
        <v>649119.99999999988</v>
      </c>
      <c r="M631" s="736">
        <f t="shared" si="51"/>
        <v>0.92442075425191239</v>
      </c>
      <c r="N631" s="379"/>
    </row>
    <row r="632" spans="1:14" customFormat="1">
      <c r="A632" s="153"/>
      <c r="B632" s="238"/>
      <c r="C632" s="238"/>
      <c r="D632" s="244"/>
      <c r="E632" s="244"/>
      <c r="F632" s="153"/>
      <c r="G632" s="153"/>
      <c r="H632" s="153"/>
      <c r="I632" s="14"/>
      <c r="J632" s="244">
        <f>SUM(J627:J631)</f>
        <v>3859138.5929000131</v>
      </c>
      <c r="K632" s="247"/>
      <c r="L632" s="735">
        <v>3991560.8180000042</v>
      </c>
      <c r="M632" s="736">
        <f t="shared" si="51"/>
        <v>0.96682445009911133</v>
      </c>
      <c r="N632" s="379"/>
    </row>
    <row r="633" spans="1:14" customFormat="1">
      <c r="A633" s="95">
        <v>9</v>
      </c>
      <c r="B633" s="732" t="s">
        <v>2014</v>
      </c>
      <c r="C633" s="238"/>
      <c r="D633" s="261"/>
      <c r="E633" s="261"/>
      <c r="F633" s="153"/>
      <c r="G633" s="153"/>
      <c r="H633" s="153"/>
      <c r="I633" s="14"/>
      <c r="J633" s="244"/>
      <c r="K633" s="743">
        <f>(J625-J632)/J625</f>
        <v>2.109330938202536E-3</v>
      </c>
      <c r="L633" s="735"/>
      <c r="M633" s="736" t="e">
        <f t="shared" si="51"/>
        <v>#DIV/0!</v>
      </c>
      <c r="N633" s="379"/>
    </row>
    <row r="634" spans="1:14" customFormat="1">
      <c r="A634" s="153">
        <v>1</v>
      </c>
      <c r="B634" s="734" t="s">
        <v>1776</v>
      </c>
      <c r="C634" s="238" t="s">
        <v>2015</v>
      </c>
      <c r="D634" s="835">
        <v>193961.2</v>
      </c>
      <c r="E634" s="835">
        <v>194541.4</v>
      </c>
      <c r="F634" s="261">
        <f>E634-D634</f>
        <v>580.19999999998254</v>
      </c>
      <c r="G634" s="153">
        <v>1000</v>
      </c>
      <c r="H634" s="153">
        <f>F634*G634</f>
        <v>580199.99999998254</v>
      </c>
      <c r="I634" s="14"/>
      <c r="J634" s="244">
        <f>SUM(H634:I634)</f>
        <v>580199.99999998254</v>
      </c>
      <c r="K634" s="244"/>
      <c r="L634" s="735">
        <v>610300.00000001746</v>
      </c>
      <c r="M634" s="736">
        <f t="shared" si="51"/>
        <v>0.95067999344579046</v>
      </c>
      <c r="N634" s="379"/>
    </row>
    <row r="635" spans="1:14" customFormat="1">
      <c r="A635" s="836">
        <v>2</v>
      </c>
      <c r="B635" s="751" t="s">
        <v>1776</v>
      </c>
      <c r="C635" s="752" t="s">
        <v>2016</v>
      </c>
      <c r="D635" s="155">
        <v>535.80999999999995</v>
      </c>
      <c r="E635" s="155">
        <v>579.29</v>
      </c>
      <c r="F635" s="837">
        <f>E635-D635</f>
        <v>43.480000000000018</v>
      </c>
      <c r="G635" s="155">
        <v>1000</v>
      </c>
      <c r="H635" s="155">
        <f>F635*G635</f>
        <v>43480.000000000015</v>
      </c>
      <c r="I635" s="40">
        <v>1407000</v>
      </c>
      <c r="J635" s="158">
        <f>SUM(H635:I635)</f>
        <v>1450480</v>
      </c>
      <c r="K635" s="153"/>
      <c r="L635" s="735">
        <v>1521890</v>
      </c>
      <c r="M635" s="736">
        <f t="shared" si="51"/>
        <v>0.95307808054458598</v>
      </c>
      <c r="N635" s="379"/>
    </row>
    <row r="636" spans="1:14" customFormat="1">
      <c r="A636" s="734"/>
      <c r="B636" s="734"/>
      <c r="C636" s="734"/>
      <c r="D636" s="734"/>
      <c r="E636" s="734"/>
      <c r="F636" s="734"/>
      <c r="G636" s="734"/>
      <c r="H636" s="734"/>
      <c r="I636" s="734"/>
      <c r="J636" s="734"/>
      <c r="K636" s="161"/>
      <c r="L636" s="735"/>
      <c r="M636" s="736" t="e">
        <f t="shared" si="51"/>
        <v>#DIV/0!</v>
      </c>
      <c r="N636" s="379"/>
    </row>
    <row r="637" spans="1:14" customFormat="1">
      <c r="A637" s="153"/>
      <c r="B637" s="734"/>
      <c r="C637" s="238"/>
      <c r="D637" s="261"/>
      <c r="E637" s="261"/>
      <c r="F637" s="261"/>
      <c r="G637" s="153"/>
      <c r="H637" s="153"/>
      <c r="I637" s="14"/>
      <c r="J637" s="244">
        <f>SUM(J634+J635)</f>
        <v>2030679.9999999825</v>
      </c>
      <c r="K637" s="161"/>
      <c r="L637" s="735">
        <v>2132190.0000000177</v>
      </c>
      <c r="M637" s="736">
        <f t="shared" si="51"/>
        <v>0.95239167241191713</v>
      </c>
      <c r="N637" s="379">
        <f>1.732*11*0.95*30*24</f>
        <v>13031.567999999999</v>
      </c>
    </row>
    <row r="638" spans="1:14" customFormat="1">
      <c r="A638" s="153"/>
      <c r="B638" s="733" t="s">
        <v>1767</v>
      </c>
      <c r="C638" s="238"/>
      <c r="D638" s="261"/>
      <c r="E638" s="261"/>
      <c r="F638" s="261"/>
      <c r="G638" s="153"/>
      <c r="H638" s="153"/>
      <c r="I638" s="14"/>
      <c r="J638" s="244"/>
      <c r="K638" s="153"/>
      <c r="L638" s="735"/>
      <c r="M638" s="736" t="e">
        <f t="shared" si="51"/>
        <v>#DIV/0!</v>
      </c>
      <c r="N638" s="379">
        <f>N637*61</f>
        <v>794925.64799999993</v>
      </c>
    </row>
    <row r="639" spans="1:14" customFormat="1">
      <c r="A639" s="153">
        <v>43</v>
      </c>
      <c r="B639" s="734" t="s">
        <v>2017</v>
      </c>
      <c r="C639" s="238" t="s">
        <v>2018</v>
      </c>
      <c r="D639" s="261">
        <v>27662.6</v>
      </c>
      <c r="E639" s="261">
        <v>27662.6</v>
      </c>
      <c r="F639" s="261">
        <f>E639-D639</f>
        <v>0</v>
      </c>
      <c r="G639" s="153">
        <v>2000</v>
      </c>
      <c r="H639" s="153">
        <f>F639*G639</f>
        <v>0</v>
      </c>
      <c r="I639" s="20">
        <v>890000</v>
      </c>
      <c r="J639" s="244">
        <f>SUM(H639:I639)</f>
        <v>890000</v>
      </c>
      <c r="K639" s="244"/>
      <c r="L639" s="735">
        <v>987000</v>
      </c>
      <c r="M639" s="736">
        <f t="shared" si="51"/>
        <v>0.90172239108409324</v>
      </c>
      <c r="N639" s="379"/>
    </row>
    <row r="640" spans="1:14" customFormat="1">
      <c r="A640" s="153">
        <v>44</v>
      </c>
      <c r="B640" s="734" t="s">
        <v>1213</v>
      </c>
      <c r="C640" s="238" t="s">
        <v>2019</v>
      </c>
      <c r="D640" s="261">
        <v>54803</v>
      </c>
      <c r="E640" s="261">
        <v>54803</v>
      </c>
      <c r="F640" s="261">
        <f>E640-D640</f>
        <v>0</v>
      </c>
      <c r="G640" s="153">
        <v>2000</v>
      </c>
      <c r="H640" s="153">
        <f>F640*G640</f>
        <v>0</v>
      </c>
      <c r="I640" s="20">
        <v>795186</v>
      </c>
      <c r="J640" s="244">
        <f>SUM(H640:I640)</f>
        <v>795186</v>
      </c>
      <c r="K640" s="244"/>
      <c r="L640" s="735">
        <v>795186</v>
      </c>
      <c r="M640" s="736">
        <f t="shared" si="51"/>
        <v>1</v>
      </c>
      <c r="N640" s="379">
        <v>372662.10840000003</v>
      </c>
    </row>
    <row r="641" spans="1:14" customFormat="1">
      <c r="A641" s="153">
        <v>45</v>
      </c>
      <c r="B641" s="734" t="s">
        <v>2020</v>
      </c>
      <c r="C641" s="238" t="s">
        <v>2021</v>
      </c>
      <c r="D641" s="261">
        <v>4019.1</v>
      </c>
      <c r="E641" s="261">
        <v>4050.9</v>
      </c>
      <c r="F641" s="261">
        <f>E641-D641</f>
        <v>31.800000000000182</v>
      </c>
      <c r="G641" s="153">
        <v>2000</v>
      </c>
      <c r="H641" s="153">
        <f>F641*G641</f>
        <v>63600.000000000364</v>
      </c>
      <c r="I641" s="14"/>
      <c r="J641" s="244">
        <f>SUM(H641:I641)</f>
        <v>63600.000000000364</v>
      </c>
      <c r="K641" s="244"/>
      <c r="L641" s="735">
        <v>62000</v>
      </c>
      <c r="M641" s="736">
        <f t="shared" si="51"/>
        <v>1.0258064516129091</v>
      </c>
      <c r="N641" s="379"/>
    </row>
    <row r="642" spans="1:14" customFormat="1">
      <c r="A642" s="153"/>
      <c r="B642" s="734" t="s">
        <v>1570</v>
      </c>
      <c r="C642" s="238" t="s">
        <v>2022</v>
      </c>
      <c r="D642" s="261">
        <v>64.05</v>
      </c>
      <c r="E642" s="261">
        <v>64.05</v>
      </c>
      <c r="F642" s="261">
        <f>E642-D642</f>
        <v>0</v>
      </c>
      <c r="G642" s="153">
        <v>18000</v>
      </c>
      <c r="H642" s="153">
        <f>F642*G642</f>
        <v>0</v>
      </c>
      <c r="I642" s="20">
        <v>248379.89249999999</v>
      </c>
      <c r="J642" s="244">
        <f>SUM(H642:I642)</f>
        <v>248379.89249999999</v>
      </c>
      <c r="K642" s="153"/>
      <c r="L642" s="735">
        <v>268379.89250000002</v>
      </c>
      <c r="M642" s="736">
        <f t="shared" si="51"/>
        <v>0.92547876886864755</v>
      </c>
      <c r="N642" s="379"/>
    </row>
    <row r="643" spans="1:14" customFormat="1">
      <c r="A643" s="153"/>
      <c r="B643" s="734"/>
      <c r="C643" s="238"/>
      <c r="D643" s="241"/>
      <c r="E643" s="241"/>
      <c r="F643" s="261"/>
      <c r="G643" s="153"/>
      <c r="H643" s="153"/>
      <c r="I643" s="20"/>
      <c r="J643" s="244">
        <f>J639+J640+J641+J642</f>
        <v>1997165.8925000005</v>
      </c>
      <c r="K643" s="153"/>
      <c r="L643" s="735">
        <v>2112565.8925000001</v>
      </c>
      <c r="M643" s="736">
        <f t="shared" si="51"/>
        <v>0.94537448492864018</v>
      </c>
      <c r="N643" s="379"/>
    </row>
    <row r="644" spans="1:14" customFormat="1">
      <c r="A644" s="95">
        <v>10</v>
      </c>
      <c r="B644" s="732" t="s">
        <v>2023</v>
      </c>
      <c r="C644" s="238"/>
      <c r="D644" s="261"/>
      <c r="E644" s="261"/>
      <c r="F644" s="153"/>
      <c r="G644" s="153"/>
      <c r="H644" s="153"/>
      <c r="I644" s="20"/>
      <c r="J644" s="244"/>
      <c r="K644" s="743">
        <f>(J637-J643)/J637</f>
        <v>1.6503884166871336E-2</v>
      </c>
      <c r="L644" s="735"/>
      <c r="M644" s="736" t="e">
        <f t="shared" si="51"/>
        <v>#DIV/0!</v>
      </c>
      <c r="N644" s="379"/>
    </row>
    <row r="645" spans="1:14" customFormat="1" ht="15.75">
      <c r="A645" s="153">
        <v>1</v>
      </c>
      <c r="B645" s="734" t="s">
        <v>2003</v>
      </c>
      <c r="C645" s="238" t="s">
        <v>2024</v>
      </c>
      <c r="D645" s="838">
        <v>94831.5</v>
      </c>
      <c r="E645" s="838">
        <v>95649.7</v>
      </c>
      <c r="F645" s="261">
        <f>E645-D645</f>
        <v>818.19999999999709</v>
      </c>
      <c r="G645" s="153">
        <v>2000</v>
      </c>
      <c r="H645" s="153">
        <f>F645*G645</f>
        <v>1636399.9999999942</v>
      </c>
      <c r="I645" s="14"/>
      <c r="J645" s="244">
        <f>SUM(H645:I645)</f>
        <v>1636399.9999999942</v>
      </c>
      <c r="K645" s="244"/>
      <c r="L645" s="735">
        <v>1373100.0000000058</v>
      </c>
      <c r="M645" s="736">
        <f t="shared" si="51"/>
        <v>1.1917558808535338</v>
      </c>
      <c r="N645" s="379"/>
    </row>
    <row r="646" spans="1:14" customFormat="1">
      <c r="A646" s="153"/>
      <c r="B646" s="238"/>
      <c r="C646" s="238"/>
      <c r="D646" s="261"/>
      <c r="E646" s="261"/>
      <c r="F646" s="261"/>
      <c r="G646" s="153"/>
      <c r="H646" s="153"/>
      <c r="I646" s="14"/>
      <c r="J646" s="244">
        <f>SUM(J645:J645)</f>
        <v>1636399.9999999942</v>
      </c>
      <c r="K646" s="153"/>
      <c r="L646" s="735">
        <v>1373100.0000000058</v>
      </c>
      <c r="M646" s="736">
        <f t="shared" si="51"/>
        <v>1.1917558808535338</v>
      </c>
      <c r="N646" s="379"/>
    </row>
    <row r="647" spans="1:14" customFormat="1">
      <c r="A647" s="153"/>
      <c r="B647" s="733" t="s">
        <v>1767</v>
      </c>
      <c r="C647" s="238"/>
      <c r="D647" s="241"/>
      <c r="E647" s="241"/>
      <c r="F647" s="153"/>
      <c r="G647" s="153"/>
      <c r="H647" s="153"/>
      <c r="I647" s="14"/>
      <c r="J647" s="244"/>
      <c r="K647" s="153"/>
      <c r="L647" s="735"/>
      <c r="M647" s="736" t="e">
        <f t="shared" si="51"/>
        <v>#DIV/0!</v>
      </c>
      <c r="N647" s="379"/>
    </row>
    <row r="648" spans="1:14" customFormat="1">
      <c r="A648" s="153">
        <v>46</v>
      </c>
      <c r="B648" s="734" t="s">
        <v>2025</v>
      </c>
      <c r="C648" s="238" t="s">
        <v>2026</v>
      </c>
      <c r="D648" s="261">
        <v>33807.800000000003</v>
      </c>
      <c r="E648" s="261">
        <v>34092.300000000003</v>
      </c>
      <c r="F648" s="261">
        <f>E648-D648</f>
        <v>284.5</v>
      </c>
      <c r="G648" s="153">
        <v>2000</v>
      </c>
      <c r="H648" s="153">
        <f>F648*G648</f>
        <v>569000</v>
      </c>
      <c r="I648" s="14"/>
      <c r="J648" s="244">
        <f>SUM(H648:I648)</f>
        <v>569000</v>
      </c>
      <c r="K648" s="244"/>
      <c r="L648" s="735">
        <v>1005000</v>
      </c>
      <c r="M648" s="736">
        <f t="shared" si="51"/>
        <v>0.56616915422885572</v>
      </c>
      <c r="N648" s="754">
        <v>44136</v>
      </c>
    </row>
    <row r="649" spans="1:14" customFormat="1">
      <c r="A649" s="153">
        <v>47</v>
      </c>
      <c r="B649" s="734" t="s">
        <v>2027</v>
      </c>
      <c r="C649" s="238" t="s">
        <v>2028</v>
      </c>
      <c r="D649" s="261">
        <v>31332.6</v>
      </c>
      <c r="E649" s="261">
        <v>31332.6</v>
      </c>
      <c r="F649" s="261">
        <f>E649-D649</f>
        <v>0</v>
      </c>
      <c r="G649" s="153">
        <v>2000</v>
      </c>
      <c r="H649" s="153">
        <f>F649*G649</f>
        <v>0</v>
      </c>
      <c r="I649" s="14">
        <v>760000</v>
      </c>
      <c r="J649" s="244">
        <f>SUM(H649:I649)</f>
        <v>760000</v>
      </c>
      <c r="K649" s="244"/>
      <c r="L649" s="735">
        <v>0</v>
      </c>
      <c r="M649" s="736" t="e">
        <f t="shared" si="51"/>
        <v>#DIV/0!</v>
      </c>
      <c r="N649" s="379"/>
    </row>
    <row r="650" spans="1:14" customFormat="1">
      <c r="A650" s="153">
        <v>48</v>
      </c>
      <c r="B650" s="734" t="s">
        <v>2029</v>
      </c>
      <c r="C650" s="238" t="s">
        <v>2030</v>
      </c>
      <c r="D650" s="261">
        <v>17513.5</v>
      </c>
      <c r="E650" s="261">
        <v>17662.7</v>
      </c>
      <c r="F650" s="261">
        <f>E650-D650</f>
        <v>149.20000000000073</v>
      </c>
      <c r="G650" s="153">
        <v>2000</v>
      </c>
      <c r="H650" s="153">
        <f>F650*G650</f>
        <v>298400.00000000146</v>
      </c>
      <c r="I650" s="20"/>
      <c r="J650" s="244">
        <f>SUM(H650:I650)</f>
        <v>298400.00000000146</v>
      </c>
      <c r="K650" s="244"/>
      <c r="L650" s="735">
        <v>367599.99999999854</v>
      </c>
      <c r="M650" s="736">
        <f t="shared" si="51"/>
        <v>0.81175190424375032</v>
      </c>
      <c r="N650" s="379"/>
    </row>
    <row r="651" spans="1:14" customFormat="1">
      <c r="A651" s="153"/>
      <c r="B651" s="331"/>
      <c r="C651" s="238"/>
      <c r="D651" s="331"/>
      <c r="E651" s="331"/>
      <c r="F651" s="261"/>
      <c r="G651" s="153"/>
      <c r="H651" s="153"/>
      <c r="I651" s="14"/>
      <c r="J651" s="244">
        <f>SUM(J648:J650)</f>
        <v>1627400.0000000014</v>
      </c>
      <c r="K651" s="153"/>
      <c r="L651" s="735">
        <v>1372599.9999999986</v>
      </c>
      <c r="M651" s="736">
        <f t="shared" si="51"/>
        <v>1.1856331050561002</v>
      </c>
      <c r="N651" s="379"/>
    </row>
    <row r="652" spans="1:14" customFormat="1">
      <c r="A652" s="95">
        <v>11</v>
      </c>
      <c r="B652" s="732" t="s">
        <v>2031</v>
      </c>
      <c r="C652" s="238"/>
      <c r="D652" s="261"/>
      <c r="E652" s="261"/>
      <c r="F652" s="153"/>
      <c r="G652" s="153"/>
      <c r="H652" s="153"/>
      <c r="I652" s="14"/>
      <c r="J652" s="244"/>
      <c r="K652" s="743">
        <f>(J646-J651)/J646</f>
        <v>5.4998777804893756E-3</v>
      </c>
      <c r="L652" s="735"/>
      <c r="M652" s="736" t="e">
        <f t="shared" si="51"/>
        <v>#DIV/0!</v>
      </c>
      <c r="N652" s="379"/>
    </row>
    <row r="653" spans="1:14" customFormat="1">
      <c r="A653" s="153">
        <v>1</v>
      </c>
      <c r="B653" s="734" t="s">
        <v>2032</v>
      </c>
      <c r="C653" s="238" t="s">
        <v>2033</v>
      </c>
      <c r="D653" s="247">
        <v>46240.4</v>
      </c>
      <c r="E653" s="247">
        <v>46894.3</v>
      </c>
      <c r="F653" s="261">
        <f>E653-D653</f>
        <v>653.90000000000146</v>
      </c>
      <c r="G653" s="153">
        <v>2000</v>
      </c>
      <c r="H653" s="153">
        <f>F653*G653</f>
        <v>1307800.0000000028</v>
      </c>
      <c r="I653" s="14"/>
      <c r="J653" s="244">
        <f>SUM(H653:I653)</f>
        <v>1307800.0000000028</v>
      </c>
      <c r="K653" s="244"/>
      <c r="L653" s="735">
        <v>1427600.0000000058</v>
      </c>
      <c r="M653" s="736">
        <f t="shared" si="51"/>
        <v>0.91608293639674798</v>
      </c>
      <c r="N653" s="379"/>
    </row>
    <row r="654" spans="1:14" customFormat="1">
      <c r="A654" s="153"/>
      <c r="B654" s="734"/>
      <c r="C654" s="238"/>
      <c r="D654" s="153"/>
      <c r="E654" s="153"/>
      <c r="F654" s="261"/>
      <c r="G654" s="153"/>
      <c r="H654" s="153"/>
      <c r="I654" s="14"/>
      <c r="J654" s="244">
        <f>SUM(J653:J653)</f>
        <v>1307800.0000000028</v>
      </c>
      <c r="K654" s="153"/>
      <c r="L654" s="735">
        <v>1427600.0000000058</v>
      </c>
      <c r="M654" s="736">
        <f t="shared" si="51"/>
        <v>0.91608293639674798</v>
      </c>
      <c r="N654" s="379"/>
    </row>
    <row r="655" spans="1:14" customFormat="1">
      <c r="A655" s="153"/>
      <c r="B655" s="733" t="s">
        <v>1767</v>
      </c>
      <c r="C655" s="238"/>
      <c r="D655" s="331"/>
      <c r="E655" s="331"/>
      <c r="F655" s="153"/>
      <c r="G655" s="153"/>
      <c r="H655" s="153"/>
      <c r="I655" s="14"/>
      <c r="J655" s="244"/>
      <c r="K655" s="153"/>
      <c r="L655" s="735"/>
      <c r="M655" s="736" t="e">
        <f t="shared" si="51"/>
        <v>#DIV/0!</v>
      </c>
      <c r="N655" s="379"/>
    </row>
    <row r="656" spans="1:14" customFormat="1">
      <c r="A656" s="153">
        <v>49</v>
      </c>
      <c r="B656" s="734" t="s">
        <v>1238</v>
      </c>
      <c r="C656" s="238" t="s">
        <v>2034</v>
      </c>
      <c r="D656" s="247">
        <v>16482.2</v>
      </c>
      <c r="E656" s="247">
        <v>16825.099999999999</v>
      </c>
      <c r="F656" s="261">
        <f>E656-D656</f>
        <v>342.89999999999782</v>
      </c>
      <c r="G656" s="153">
        <v>2000</v>
      </c>
      <c r="H656" s="153">
        <f>F656*G656</f>
        <v>685799.99999999558</v>
      </c>
      <c r="I656" s="14"/>
      <c r="J656" s="244">
        <f>SUM(H656:I656)</f>
        <v>685799.99999999558</v>
      </c>
      <c r="K656" s="244"/>
      <c r="L656" s="735">
        <v>742800.00000000291</v>
      </c>
      <c r="M656" s="736">
        <f t="shared" si="51"/>
        <v>0.92326332794829413</v>
      </c>
      <c r="N656" s="379"/>
    </row>
    <row r="657" spans="1:13" customFormat="1">
      <c r="A657" s="153">
        <v>50</v>
      </c>
      <c r="B657" s="734" t="s">
        <v>2035</v>
      </c>
      <c r="C657" s="238" t="s">
        <v>2036</v>
      </c>
      <c r="D657" s="247">
        <v>12452.4</v>
      </c>
      <c r="E657" s="247">
        <v>12596.2</v>
      </c>
      <c r="F657" s="261">
        <f>E657-D657</f>
        <v>143.80000000000109</v>
      </c>
      <c r="G657" s="153">
        <v>2000</v>
      </c>
      <c r="H657" s="153">
        <f>F657*G657</f>
        <v>287600.00000000221</v>
      </c>
      <c r="I657" s="14"/>
      <c r="J657" s="244">
        <f>SUM(H657:I657)</f>
        <v>287600.00000000221</v>
      </c>
      <c r="K657" s="244"/>
      <c r="L657" s="735">
        <v>320399.99999999779</v>
      </c>
      <c r="M657" s="736">
        <f t="shared" si="51"/>
        <v>0.89762796504370845</v>
      </c>
    </row>
    <row r="658" spans="1:13" customFormat="1">
      <c r="A658" s="153">
        <v>51</v>
      </c>
      <c r="B658" s="734" t="s">
        <v>2037</v>
      </c>
      <c r="C658" s="238" t="s">
        <v>2038</v>
      </c>
      <c r="D658" s="247">
        <v>16895.240000000002</v>
      </c>
      <c r="E658" s="247">
        <v>17056.919999999998</v>
      </c>
      <c r="F658" s="261">
        <f>E658-D658</f>
        <v>161.67999999999665</v>
      </c>
      <c r="G658" s="153">
        <v>2000</v>
      </c>
      <c r="H658" s="153">
        <f>F658*G658</f>
        <v>323359.99999999331</v>
      </c>
      <c r="I658" s="14"/>
      <c r="J658" s="244">
        <f>SUM(H658:I658)</f>
        <v>323359.99999999331</v>
      </c>
      <c r="K658" s="244"/>
      <c r="L658" s="735">
        <v>353020.00000000407</v>
      </c>
      <c r="M658" s="736">
        <f t="shared" si="51"/>
        <v>0.91598209733156644</v>
      </c>
    </row>
    <row r="659" spans="1:13" customFormat="1">
      <c r="A659" s="153"/>
      <c r="B659" s="734"/>
      <c r="C659" s="734"/>
      <c r="D659" s="331"/>
      <c r="E659" s="331"/>
      <c r="F659" s="261"/>
      <c r="G659" s="153"/>
      <c r="H659" s="153"/>
      <c r="I659" s="14"/>
      <c r="J659" s="244">
        <f>J656+J657+J658</f>
        <v>1296759.9999999912</v>
      </c>
      <c r="K659" s="153"/>
      <c r="L659" s="735">
        <v>1416220.0000000047</v>
      </c>
      <c r="M659" s="736">
        <f t="shared" si="51"/>
        <v>0.91564869864850584</v>
      </c>
    </row>
    <row r="660" spans="1:13" customFormat="1">
      <c r="A660" s="95">
        <v>12</v>
      </c>
      <c r="B660" s="732" t="s">
        <v>2039</v>
      </c>
      <c r="C660" s="238"/>
      <c r="D660" s="261"/>
      <c r="E660" s="261"/>
      <c r="F660" s="153"/>
      <c r="G660" s="153"/>
      <c r="H660" s="153"/>
      <c r="I660" s="20"/>
      <c r="J660" s="244"/>
      <c r="K660" s="743">
        <f>(J654-J659)/J654</f>
        <v>8.4416577458415794E-3</v>
      </c>
      <c r="L660" s="735"/>
      <c r="M660" s="736" t="e">
        <f t="shared" si="51"/>
        <v>#DIV/0!</v>
      </c>
    </row>
    <row r="661" spans="1:13" customFormat="1" ht="15.75">
      <c r="A661" s="153">
        <v>1</v>
      </c>
      <c r="B661" s="734" t="s">
        <v>261</v>
      </c>
      <c r="C661" s="238" t="s">
        <v>2040</v>
      </c>
      <c r="D661" s="838">
        <v>2579.6999999999998</v>
      </c>
      <c r="E661" s="838">
        <v>2807.9</v>
      </c>
      <c r="F661" s="261">
        <f>E661-D661</f>
        <v>228.20000000000027</v>
      </c>
      <c r="G661" s="153">
        <v>100</v>
      </c>
      <c r="H661" s="153">
        <f>F661*G661</f>
        <v>22820.000000000029</v>
      </c>
      <c r="I661" s="20">
        <v>13200</v>
      </c>
      <c r="J661" s="244">
        <f>SUM(H661:I661)</f>
        <v>36020.000000000029</v>
      </c>
      <c r="K661" s="244"/>
      <c r="L661" s="735">
        <v>38300</v>
      </c>
      <c r="M661" s="736">
        <f t="shared" si="51"/>
        <v>0.94046997389034015</v>
      </c>
    </row>
    <row r="662" spans="1:13" customFormat="1" ht="15.75">
      <c r="A662" s="153">
        <v>1</v>
      </c>
      <c r="B662" s="734" t="s">
        <v>261</v>
      </c>
      <c r="C662" s="238" t="s">
        <v>2041</v>
      </c>
      <c r="D662" s="838">
        <v>209.4</v>
      </c>
      <c r="E662" s="838">
        <v>213.9</v>
      </c>
      <c r="F662" s="261">
        <f>E662-D662</f>
        <v>4.5</v>
      </c>
      <c r="G662" s="153">
        <v>1000</v>
      </c>
      <c r="H662" s="153">
        <f>F662*G662</f>
        <v>4500</v>
      </c>
      <c r="I662" s="14"/>
      <c r="J662" s="244">
        <f>SUM(H662:I662)</f>
        <v>4500</v>
      </c>
      <c r="K662" s="153"/>
      <c r="L662" s="735">
        <v>145700</v>
      </c>
      <c r="M662" s="736">
        <f t="shared" ref="M662:M686" si="56">J662/L662</f>
        <v>3.0885380919698009E-2</v>
      </c>
    </row>
    <row r="663" spans="1:13" customFormat="1">
      <c r="A663" s="153"/>
      <c r="B663" s="734"/>
      <c r="C663" s="238"/>
      <c r="D663" s="153"/>
      <c r="E663" s="153"/>
      <c r="F663" s="261"/>
      <c r="G663" s="153"/>
      <c r="H663" s="153"/>
      <c r="I663" s="14"/>
      <c r="J663" s="244">
        <f>SUM(J661:J661)</f>
        <v>36020.000000000029</v>
      </c>
      <c r="K663" s="153"/>
      <c r="L663" s="735">
        <v>38300</v>
      </c>
      <c r="M663" s="736">
        <f t="shared" si="56"/>
        <v>0.94046997389034015</v>
      </c>
    </row>
    <row r="664" spans="1:13" customFormat="1">
      <c r="A664" s="153"/>
      <c r="B664" s="733" t="s">
        <v>1767</v>
      </c>
      <c r="C664" s="238"/>
      <c r="D664" s="331"/>
      <c r="E664" s="331"/>
      <c r="F664" s="153"/>
      <c r="G664" s="153"/>
      <c r="H664" s="153"/>
      <c r="I664" s="14"/>
      <c r="J664" s="244"/>
      <c r="K664" s="153"/>
      <c r="L664" s="735"/>
      <c r="M664" s="736" t="e">
        <f t="shared" si="56"/>
        <v>#DIV/0!</v>
      </c>
    </row>
    <row r="665" spans="1:13" customFormat="1">
      <c r="A665" s="153">
        <v>52</v>
      </c>
      <c r="B665" s="734" t="s">
        <v>1451</v>
      </c>
      <c r="C665" s="238" t="s">
        <v>2042</v>
      </c>
      <c r="D665" s="153">
        <v>1460.9</v>
      </c>
      <c r="E665" s="153">
        <v>1580.6</v>
      </c>
      <c r="F665" s="261">
        <f>E665-D665</f>
        <v>119.69999999999982</v>
      </c>
      <c r="G665" s="153">
        <v>66.665999999999997</v>
      </c>
      <c r="H665" s="244">
        <f>F665*G665</f>
        <v>7979.9201999999877</v>
      </c>
      <c r="I665" s="20">
        <v>4060.1000000000099</v>
      </c>
      <c r="J665" s="244">
        <f>SUM(H665:I665)</f>
        <v>12040.020199999997</v>
      </c>
      <c r="K665" s="244"/>
      <c r="L665" s="735">
        <v>12940.020200000001</v>
      </c>
      <c r="M665" s="736">
        <f t="shared" si="56"/>
        <v>0.93044833113939007</v>
      </c>
    </row>
    <row r="666" spans="1:13" customFormat="1">
      <c r="A666" s="153">
        <v>53</v>
      </c>
      <c r="B666" s="734" t="s">
        <v>1452</v>
      </c>
      <c r="C666" s="238" t="s">
        <v>2043</v>
      </c>
      <c r="D666" s="261">
        <v>700</v>
      </c>
      <c r="E666" s="261">
        <v>818.1</v>
      </c>
      <c r="F666" s="261">
        <f>E666-D666</f>
        <v>118.10000000000002</v>
      </c>
      <c r="G666" s="153">
        <v>66.665999999999997</v>
      </c>
      <c r="H666" s="244">
        <f>F666*G666</f>
        <v>7873.2546000000011</v>
      </c>
      <c r="I666" s="20">
        <v>5046.7435999999998</v>
      </c>
      <c r="J666" s="244">
        <f>SUM(H666:I666)</f>
        <v>12919.998200000002</v>
      </c>
      <c r="K666" s="244" t="s">
        <v>2044</v>
      </c>
      <c r="L666" s="735">
        <v>13819.9982</v>
      </c>
      <c r="M666" s="736">
        <f t="shared" si="56"/>
        <v>0.93487698138774011</v>
      </c>
    </row>
    <row r="667" spans="1:13" customFormat="1">
      <c r="A667" s="153">
        <v>54</v>
      </c>
      <c r="B667" s="734" t="s">
        <v>2045</v>
      </c>
      <c r="C667" s="238" t="s">
        <v>2046</v>
      </c>
      <c r="D667" s="261">
        <v>155848</v>
      </c>
      <c r="E667" s="261">
        <v>155848.4</v>
      </c>
      <c r="F667" s="261">
        <f>E667-D667</f>
        <v>0.39999999999417923</v>
      </c>
      <c r="G667" s="153">
        <v>1500</v>
      </c>
      <c r="H667" s="153">
        <f>F667*G667</f>
        <v>599.99999999126885</v>
      </c>
      <c r="I667" s="20">
        <v>9819.9668999999994</v>
      </c>
      <c r="J667" s="244">
        <f>SUM(H667:I667)</f>
        <v>10419.966899991268</v>
      </c>
      <c r="K667" s="244"/>
      <c r="L667" s="735">
        <v>11219.966900008731</v>
      </c>
      <c r="M667" s="736">
        <f t="shared" si="56"/>
        <v>0.92869854188100687</v>
      </c>
    </row>
    <row r="668" spans="1:13" customFormat="1">
      <c r="A668" s="153"/>
      <c r="B668" s="734" t="s">
        <v>2045</v>
      </c>
      <c r="C668" s="238" t="s">
        <v>2046</v>
      </c>
      <c r="D668" s="261">
        <v>1158.9000000000001</v>
      </c>
      <c r="E668" s="261">
        <v>1162.3</v>
      </c>
      <c r="F668" s="261">
        <f>E668-D668</f>
        <v>3.3999999999998636</v>
      </c>
      <c r="G668" s="153">
        <v>1500</v>
      </c>
      <c r="H668" s="153">
        <f>F668*G668</f>
        <v>5099.9999999997954</v>
      </c>
      <c r="I668" s="14"/>
      <c r="J668" s="244">
        <f>SUM(H668:I668)</f>
        <v>5099.9999999997954</v>
      </c>
      <c r="K668" s="153"/>
      <c r="L668" s="735">
        <v>10800.000000000069</v>
      </c>
      <c r="M668" s="736">
        <f t="shared" si="56"/>
        <v>0.47222222222220023</v>
      </c>
    </row>
    <row r="669" spans="1:13" customFormat="1">
      <c r="A669" s="153"/>
      <c r="B669" s="734"/>
      <c r="C669" s="238"/>
      <c r="D669" s="331"/>
      <c r="E669" s="331"/>
      <c r="F669" s="261"/>
      <c r="G669" s="153"/>
      <c r="H669" s="153"/>
      <c r="I669" s="14"/>
      <c r="J669" s="244">
        <f>J665+J666+J667</f>
        <v>35379.985299991269</v>
      </c>
      <c r="K669" s="153"/>
      <c r="L669" s="735">
        <v>37979.985300008731</v>
      </c>
      <c r="M669" s="736">
        <f t="shared" si="56"/>
        <v>0.93154289082842634</v>
      </c>
    </row>
    <row r="670" spans="1:13" customFormat="1">
      <c r="A670" s="95">
        <v>12</v>
      </c>
      <c r="B670" s="732" t="s">
        <v>2047</v>
      </c>
      <c r="C670" s="238"/>
      <c r="D670" s="331"/>
      <c r="E670" s="331"/>
      <c r="F670" s="261"/>
      <c r="G670" s="153"/>
      <c r="H670" s="153"/>
      <c r="I670" s="14"/>
      <c r="J670" s="244"/>
      <c r="K670" s="743">
        <f>(J663-J669)/J663</f>
        <v>1.7768314825340352E-2</v>
      </c>
      <c r="L670" s="735"/>
      <c r="M670" s="736" t="e">
        <f t="shared" si="56"/>
        <v>#DIV/0!</v>
      </c>
    </row>
    <row r="671" spans="1:13" customFormat="1" ht="15.75">
      <c r="A671" s="153"/>
      <c r="B671" s="734" t="s">
        <v>2048</v>
      </c>
      <c r="C671" s="238" t="s">
        <v>2049</v>
      </c>
      <c r="D671" s="838">
        <v>2364.56</v>
      </c>
      <c r="E671" s="838">
        <v>2450.0300000000002</v>
      </c>
      <c r="F671" s="261">
        <f>E671-D671</f>
        <v>85.470000000000255</v>
      </c>
      <c r="G671" s="153">
        <v>24000</v>
      </c>
      <c r="H671" s="153">
        <f>F671*G671</f>
        <v>2051280.0000000061</v>
      </c>
      <c r="I671" s="14">
        <v>0</v>
      </c>
      <c r="J671" s="244">
        <f>SUM(H671:I671)</f>
        <v>2051280.0000000061</v>
      </c>
      <c r="K671" s="743"/>
      <c r="L671" s="735">
        <v>2243759.9999999949</v>
      </c>
      <c r="M671" s="736">
        <f t="shared" si="56"/>
        <v>0.91421542410953527</v>
      </c>
    </row>
    <row r="672" spans="1:13" customFormat="1">
      <c r="A672" s="153"/>
      <c r="B672" s="734"/>
      <c r="C672" s="238"/>
      <c r="D672" s="153"/>
      <c r="E672" s="153"/>
      <c r="F672" s="261"/>
      <c r="G672" s="153"/>
      <c r="H672" s="153"/>
      <c r="I672" s="14"/>
      <c r="J672" s="244">
        <f>SUM(J671:J671)</f>
        <v>2051280.0000000061</v>
      </c>
      <c r="K672" s="743"/>
      <c r="L672" s="735">
        <v>2243759.9999999949</v>
      </c>
      <c r="M672" s="736">
        <f t="shared" si="56"/>
        <v>0.91421542410953527</v>
      </c>
    </row>
    <row r="673" spans="1:13" customFormat="1">
      <c r="A673" s="153"/>
      <c r="B673" s="733" t="s">
        <v>1767</v>
      </c>
      <c r="C673" s="238"/>
      <c r="D673" s="331"/>
      <c r="E673" s="331"/>
      <c r="F673" s="261"/>
      <c r="G673" s="153"/>
      <c r="H673" s="153"/>
      <c r="I673" s="14"/>
      <c r="J673" s="244"/>
      <c r="K673" s="743"/>
      <c r="L673" s="735"/>
      <c r="M673" s="736" t="e">
        <f t="shared" si="56"/>
        <v>#DIV/0!</v>
      </c>
    </row>
    <row r="674" spans="1:13" customFormat="1">
      <c r="A674" s="153"/>
      <c r="B674" s="734" t="s">
        <v>2050</v>
      </c>
      <c r="C674" s="238" t="s">
        <v>2051</v>
      </c>
      <c r="D674" s="153">
        <v>5134.7700000000004</v>
      </c>
      <c r="E674" s="153">
        <v>5379.13</v>
      </c>
      <c r="F674" s="261">
        <f>E674-D674</f>
        <v>244.35999999999967</v>
      </c>
      <c r="G674" s="153">
        <v>6000</v>
      </c>
      <c r="H674" s="153">
        <f>F674*G674</f>
        <v>1466159.9999999981</v>
      </c>
      <c r="I674" s="20"/>
      <c r="J674" s="244">
        <f>SUM(H674:I674)</f>
        <v>1466159.9999999981</v>
      </c>
      <c r="K674" s="743"/>
      <c r="L674" s="735">
        <v>1580220.0000000049</v>
      </c>
      <c r="M674" s="736">
        <f t="shared" si="56"/>
        <v>0.92782017693738439</v>
      </c>
    </row>
    <row r="675" spans="1:13" customFormat="1">
      <c r="A675" s="153"/>
      <c r="B675" s="734" t="s">
        <v>2052</v>
      </c>
      <c r="C675" s="238" t="s">
        <v>2053</v>
      </c>
      <c r="D675" s="261">
        <v>1784.16</v>
      </c>
      <c r="E675" s="261">
        <v>1784.16</v>
      </c>
      <c r="F675" s="261">
        <f>E675-D675</f>
        <v>0</v>
      </c>
      <c r="G675" s="153">
        <v>6000</v>
      </c>
      <c r="H675" s="153">
        <f>F675*G675</f>
        <v>0</v>
      </c>
      <c r="I675" s="20">
        <v>254960.20300000001</v>
      </c>
      <c r="J675" s="244">
        <f>SUM(H675:I675)</f>
        <v>254960.20300000001</v>
      </c>
      <c r="K675" s="244" t="s">
        <v>2044</v>
      </c>
      <c r="L675" s="735">
        <v>294960.20300000004</v>
      </c>
      <c r="M675" s="736">
        <f t="shared" si="56"/>
        <v>0.86438848497809029</v>
      </c>
    </row>
    <row r="676" spans="1:13" customFormat="1">
      <c r="A676" s="153"/>
      <c r="B676" s="734" t="s">
        <v>2054</v>
      </c>
      <c r="C676" s="238" t="s">
        <v>2055</v>
      </c>
      <c r="D676" s="261">
        <v>425.13</v>
      </c>
      <c r="E676" s="261">
        <v>477.92</v>
      </c>
      <c r="F676" s="261">
        <f>E676-D676</f>
        <v>52.79000000000002</v>
      </c>
      <c r="G676" s="153">
        <v>6000</v>
      </c>
      <c r="H676" s="153">
        <f>F676*G676</f>
        <v>316740.00000000012</v>
      </c>
      <c r="I676" s="20"/>
      <c r="J676" s="244">
        <f>SUM(H676:I676)</f>
        <v>316740.00000000012</v>
      </c>
      <c r="K676" s="244"/>
      <c r="L676" s="735">
        <v>358500</v>
      </c>
      <c r="M676" s="736">
        <f t="shared" si="56"/>
        <v>0.88351464435146476</v>
      </c>
    </row>
    <row r="677" spans="1:13" customFormat="1">
      <c r="A677" s="153"/>
      <c r="B677" s="734"/>
      <c r="C677" s="238"/>
      <c r="D677" s="261"/>
      <c r="E677" s="261"/>
      <c r="F677" s="261"/>
      <c r="G677" s="153"/>
      <c r="H677" s="153"/>
      <c r="I677" s="20"/>
      <c r="J677" s="244">
        <f>SUM(J674:J676)</f>
        <v>2037860.2029999983</v>
      </c>
      <c r="K677" s="244"/>
      <c r="L677" s="735">
        <v>2233680.2030000049</v>
      </c>
      <c r="M677" s="736">
        <f t="shared" si="56"/>
        <v>0.91233301896260477</v>
      </c>
    </row>
    <row r="678" spans="1:13" customFormat="1">
      <c r="A678" s="95">
        <v>12</v>
      </c>
      <c r="B678" s="732" t="s">
        <v>2056</v>
      </c>
      <c r="C678" s="238"/>
      <c r="D678" s="261"/>
      <c r="E678" s="261"/>
      <c r="F678" s="153"/>
      <c r="G678" s="153"/>
      <c r="H678" s="153"/>
      <c r="I678" s="20"/>
      <c r="J678" s="244"/>
      <c r="K678" s="743">
        <f>(J671-J677)/J671</f>
        <v>6.5421575796613162E-3</v>
      </c>
      <c r="L678" s="735"/>
      <c r="M678" s="736" t="e">
        <f t="shared" si="56"/>
        <v>#DIV/0!</v>
      </c>
    </row>
    <row r="679" spans="1:13" customFormat="1" ht="15.75">
      <c r="A679" s="153">
        <v>1</v>
      </c>
      <c r="B679" s="734" t="s">
        <v>2057</v>
      </c>
      <c r="C679" s="153" t="s">
        <v>2058</v>
      </c>
      <c r="D679" s="838">
        <v>9292</v>
      </c>
      <c r="E679" s="838">
        <v>10362</v>
      </c>
      <c r="F679" s="261">
        <f>E679-D679</f>
        <v>1070</v>
      </c>
      <c r="G679" s="153">
        <v>60</v>
      </c>
      <c r="H679" s="153">
        <f>F679*G679</f>
        <v>64200</v>
      </c>
      <c r="I679" s="14">
        <v>1150000</v>
      </c>
      <c r="J679" s="244">
        <f>SUM(H679:I679)</f>
        <v>1214200</v>
      </c>
      <c r="K679" s="244"/>
      <c r="L679" s="735">
        <v>1115780</v>
      </c>
      <c r="M679" s="736">
        <f t="shared" si="56"/>
        <v>1.088207352703938</v>
      </c>
    </row>
    <row r="680" spans="1:13" customFormat="1" ht="15.75">
      <c r="A680" s="153">
        <v>1</v>
      </c>
      <c r="B680" s="734" t="s">
        <v>2059</v>
      </c>
      <c r="C680" s="153" t="s">
        <v>2060</v>
      </c>
      <c r="D680" s="838">
        <v>2821</v>
      </c>
      <c r="E680" s="838">
        <v>2827</v>
      </c>
      <c r="F680" s="261">
        <f>E680-D680</f>
        <v>6</v>
      </c>
      <c r="G680" s="153">
        <v>60</v>
      </c>
      <c r="H680" s="153">
        <f>F680*G680</f>
        <v>360</v>
      </c>
      <c r="I680" s="14"/>
      <c r="J680" s="244">
        <f>SUM(H680:I680)</f>
        <v>360</v>
      </c>
      <c r="K680" s="153"/>
      <c r="L680" s="735">
        <v>67020</v>
      </c>
      <c r="M680" s="736">
        <f t="shared" si="56"/>
        <v>5.3715308863025966E-3</v>
      </c>
    </row>
    <row r="681" spans="1:13" customFormat="1">
      <c r="A681" s="153"/>
      <c r="B681" s="734"/>
      <c r="C681" s="238"/>
      <c r="D681" s="153"/>
      <c r="E681" s="153"/>
      <c r="F681" s="261"/>
      <c r="G681" s="153"/>
      <c r="H681" s="153"/>
      <c r="I681" s="14"/>
      <c r="J681" s="244">
        <f>SUM(J679:J679)</f>
        <v>1214200</v>
      </c>
      <c r="K681" s="153"/>
      <c r="L681" s="735">
        <v>1115780</v>
      </c>
      <c r="M681" s="736">
        <f t="shared" si="56"/>
        <v>1.088207352703938</v>
      </c>
    </row>
    <row r="682" spans="1:13" customFormat="1">
      <c r="A682" s="153"/>
      <c r="B682" s="733" t="s">
        <v>1767</v>
      </c>
      <c r="C682" s="238"/>
      <c r="D682" s="331"/>
      <c r="E682" s="331"/>
      <c r="F682" s="153"/>
      <c r="G682" s="153"/>
      <c r="H682" s="153"/>
      <c r="I682" s="14"/>
      <c r="J682" s="244"/>
      <c r="K682" s="153"/>
      <c r="L682" s="735"/>
      <c r="M682" s="736" t="e">
        <f t="shared" si="56"/>
        <v>#DIV/0!</v>
      </c>
    </row>
    <row r="683" spans="1:13" customFormat="1">
      <c r="A683" s="153">
        <v>52</v>
      </c>
      <c r="B683" s="734" t="s">
        <v>1451</v>
      </c>
      <c r="C683" s="153" t="s">
        <v>2061</v>
      </c>
      <c r="D683" s="153">
        <v>9333</v>
      </c>
      <c r="E683" s="153">
        <v>10862</v>
      </c>
      <c r="F683" s="261">
        <f>E683-D683</f>
        <v>1529</v>
      </c>
      <c r="G683" s="153">
        <v>40</v>
      </c>
      <c r="H683" s="244">
        <f>F683*G683</f>
        <v>61160</v>
      </c>
      <c r="I683" s="20">
        <v>915684.84480000008</v>
      </c>
      <c r="J683" s="244">
        <f>SUM(H683:I683)</f>
        <v>976844.84480000008</v>
      </c>
      <c r="K683" s="244"/>
      <c r="L683" s="735">
        <v>892662</v>
      </c>
      <c r="M683" s="736">
        <f t="shared" si="56"/>
        <v>1.0943053975636916</v>
      </c>
    </row>
    <row r="684" spans="1:13" customFormat="1">
      <c r="A684" s="153">
        <v>53</v>
      </c>
      <c r="B684" s="734" t="s">
        <v>1452</v>
      </c>
      <c r="C684" s="153" t="s">
        <v>2062</v>
      </c>
      <c r="D684" s="261">
        <v>20</v>
      </c>
      <c r="E684" s="261">
        <v>103.5</v>
      </c>
      <c r="F684" s="261">
        <f>E684-D684</f>
        <v>83.5</v>
      </c>
      <c r="G684" s="153">
        <v>40</v>
      </c>
      <c r="H684" s="244">
        <f>F684*G684</f>
        <v>3340</v>
      </c>
      <c r="I684" s="14"/>
      <c r="J684" s="244">
        <f t="shared" ref="J684" si="57">SUM(H684:I684)</f>
        <v>3340</v>
      </c>
      <c r="K684" s="244" t="s">
        <v>2044</v>
      </c>
      <c r="L684" s="735">
        <v>800</v>
      </c>
      <c r="M684" s="736">
        <f t="shared" si="56"/>
        <v>4.1749999999999998</v>
      </c>
    </row>
    <row r="685" spans="1:13" customFormat="1">
      <c r="A685" s="153">
        <v>54</v>
      </c>
      <c r="B685" s="734" t="s">
        <v>2045</v>
      </c>
      <c r="C685" s="153" t="s">
        <v>2063</v>
      </c>
      <c r="D685" s="261">
        <v>56.5</v>
      </c>
      <c r="E685" s="261">
        <v>57</v>
      </c>
      <c r="F685" s="261">
        <f>E685-D685</f>
        <v>0.5</v>
      </c>
      <c r="G685" s="153">
        <v>40</v>
      </c>
      <c r="H685" s="153">
        <f>F685*G685</f>
        <v>20</v>
      </c>
      <c r="I685" s="20">
        <v>94261.675199999998</v>
      </c>
      <c r="J685" s="244">
        <f>H686+I685</f>
        <v>95961.675199999998</v>
      </c>
      <c r="K685" s="244"/>
      <c r="L685" s="735">
        <v>71550</v>
      </c>
      <c r="M685" s="736">
        <f t="shared" si="56"/>
        <v>1.3411834409503842</v>
      </c>
    </row>
    <row r="686" spans="1:13" customFormat="1">
      <c r="A686" s="153"/>
      <c r="B686" s="734" t="s">
        <v>2045</v>
      </c>
      <c r="C686" s="153" t="s">
        <v>2063</v>
      </c>
      <c r="D686" s="261">
        <v>219.5</v>
      </c>
      <c r="E686" s="261">
        <v>262</v>
      </c>
      <c r="F686" s="261">
        <f>E686-D686</f>
        <v>42.5</v>
      </c>
      <c r="G686" s="153">
        <v>40</v>
      </c>
      <c r="H686" s="153">
        <f>F686*G686</f>
        <v>1700</v>
      </c>
      <c r="I686" s="20"/>
      <c r="J686" s="244"/>
      <c r="K686" s="153"/>
      <c r="L686" s="735"/>
      <c r="M686" s="736" t="e">
        <f t="shared" si="56"/>
        <v>#DIV/0!</v>
      </c>
    </row>
    <row r="687" spans="1:13" customFormat="1">
      <c r="A687" s="153"/>
      <c r="B687" s="734" t="s">
        <v>2064</v>
      </c>
      <c r="C687" s="153" t="s">
        <v>2065</v>
      </c>
      <c r="D687" s="261">
        <v>1465.5</v>
      </c>
      <c r="E687" s="261">
        <v>1740.5</v>
      </c>
      <c r="F687" s="261">
        <f>E687-D687</f>
        <v>275</v>
      </c>
      <c r="G687" s="153">
        <v>40</v>
      </c>
      <c r="H687" s="153">
        <f>F687*G687</f>
        <v>11000</v>
      </c>
      <c r="I687" s="20">
        <v>121193.58240000001</v>
      </c>
      <c r="J687" s="244">
        <f>SUM(H687:I687)</f>
        <v>132193.58240000001</v>
      </c>
      <c r="K687" s="153"/>
      <c r="L687" s="735">
        <v>130316</v>
      </c>
      <c r="M687" s="736">
        <f>J687/L687</f>
        <v>1.0144079192117623</v>
      </c>
    </row>
    <row r="688" spans="1:13" customFormat="1">
      <c r="A688" s="153"/>
      <c r="B688" s="734"/>
      <c r="C688" s="238"/>
      <c r="D688" s="331"/>
      <c r="E688" s="331"/>
      <c r="F688" s="261"/>
      <c r="G688" s="153"/>
      <c r="H688" s="153"/>
      <c r="I688" s="14"/>
      <c r="J688" s="244">
        <f>J683+J684+J685+J687</f>
        <v>1208340.1024</v>
      </c>
      <c r="K688" s="743">
        <f>(J681-J688)/J681</f>
        <v>4.8261386921429963E-3</v>
      </c>
      <c r="L688" s="735">
        <v>1095328</v>
      </c>
      <c r="M688" s="736">
        <f>J688/L688</f>
        <v>1.103176493616524</v>
      </c>
    </row>
    <row r="689" spans="1:1025">
      <c r="A689" s="95">
        <v>13</v>
      </c>
      <c r="B689" s="732" t="s">
        <v>2066</v>
      </c>
      <c r="C689" s="238"/>
      <c r="D689" s="331"/>
      <c r="E689" s="331"/>
      <c r="F689" s="261"/>
      <c r="G689" s="153"/>
      <c r="H689" s="153"/>
      <c r="I689" s="14"/>
      <c r="J689" s="244"/>
      <c r="K689" s="153"/>
      <c r="L689" s="735"/>
      <c r="M689" s="736" t="e">
        <f t="shared" ref="M689:M705" si="58">J689/L689</f>
        <v>#DIV/0!</v>
      </c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  <c r="FK689"/>
      <c r="FL689"/>
      <c r="FM689"/>
      <c r="FN689"/>
      <c r="FO689"/>
      <c r="FP689"/>
      <c r="FQ689"/>
      <c r="FR689"/>
      <c r="FS689"/>
      <c r="FT689"/>
      <c r="FU689"/>
      <c r="FV689"/>
      <c r="FW689"/>
      <c r="FX689"/>
      <c r="FY689"/>
      <c r="FZ689"/>
      <c r="GA689"/>
      <c r="GB689"/>
      <c r="GC689"/>
      <c r="GD689"/>
      <c r="GE689"/>
      <c r="GF689"/>
      <c r="GG689"/>
      <c r="GH689"/>
      <c r="GI689"/>
      <c r="GJ689"/>
      <c r="GK689"/>
      <c r="GL689"/>
      <c r="GM689"/>
      <c r="GN689"/>
      <c r="GO689"/>
      <c r="GP689"/>
      <c r="GQ689"/>
      <c r="GR689"/>
      <c r="GS689"/>
      <c r="GT689"/>
      <c r="GU689"/>
      <c r="GV689"/>
      <c r="GW689"/>
      <c r="GX689"/>
      <c r="GY689"/>
      <c r="GZ689"/>
      <c r="HA689"/>
      <c r="HB689"/>
      <c r="HC689"/>
      <c r="HD689"/>
      <c r="HE689"/>
      <c r="HF689"/>
      <c r="HG689"/>
      <c r="HH689"/>
      <c r="HI689"/>
      <c r="HJ689"/>
      <c r="HK689"/>
      <c r="HL689"/>
      <c r="HM689"/>
      <c r="HN689"/>
      <c r="HO689"/>
      <c r="HP689"/>
      <c r="HQ689"/>
      <c r="HR689"/>
      <c r="HS689"/>
      <c r="HT689"/>
      <c r="HU689"/>
      <c r="HV689"/>
      <c r="HW689"/>
      <c r="HX689"/>
      <c r="HY689"/>
      <c r="HZ689"/>
      <c r="IA689"/>
      <c r="IB689"/>
      <c r="IC689"/>
      <c r="ID689"/>
      <c r="IE689"/>
      <c r="IF689"/>
      <c r="IG689"/>
      <c r="IH689"/>
      <c r="II689"/>
      <c r="IJ689"/>
      <c r="IK689"/>
      <c r="IL689"/>
      <c r="IM689"/>
      <c r="IN689"/>
      <c r="IO689"/>
      <c r="IP689"/>
      <c r="IQ689"/>
      <c r="IR689"/>
      <c r="IS689"/>
      <c r="IT689"/>
      <c r="IU689"/>
      <c r="IV689"/>
      <c r="IW689"/>
      <c r="IX689"/>
      <c r="IY689"/>
      <c r="IZ689"/>
      <c r="JA689"/>
      <c r="JB689"/>
      <c r="JC689"/>
      <c r="JD689"/>
      <c r="JE689"/>
      <c r="JF689"/>
      <c r="JG689"/>
      <c r="JH689"/>
      <c r="JI689"/>
      <c r="JJ689"/>
      <c r="JK689"/>
      <c r="JL689"/>
      <c r="JM689"/>
      <c r="JN689"/>
      <c r="JO689"/>
      <c r="JP689"/>
      <c r="JQ689"/>
      <c r="JR689"/>
      <c r="JS689"/>
      <c r="JT689"/>
      <c r="JU689"/>
      <c r="JV689"/>
      <c r="JW689"/>
      <c r="JX689"/>
      <c r="JY689"/>
      <c r="JZ689"/>
      <c r="KA689"/>
      <c r="KB689"/>
      <c r="KC689"/>
      <c r="KD689"/>
      <c r="KE689"/>
      <c r="KF689"/>
      <c r="KG689"/>
      <c r="KH689"/>
      <c r="KI689"/>
      <c r="KJ689"/>
      <c r="KK689"/>
      <c r="KL689"/>
      <c r="KM689"/>
      <c r="KN689"/>
      <c r="KO689"/>
      <c r="KP689"/>
      <c r="KQ689"/>
      <c r="KR689"/>
      <c r="KS689"/>
      <c r="KT689"/>
      <c r="KU689"/>
      <c r="KV689"/>
      <c r="KW689"/>
      <c r="KX689"/>
      <c r="KY689"/>
      <c r="KZ689"/>
      <c r="LA689"/>
      <c r="LB689"/>
      <c r="LC689"/>
      <c r="LD689"/>
      <c r="LE689"/>
      <c r="LF689"/>
      <c r="LG689"/>
      <c r="LH689"/>
      <c r="LI689"/>
      <c r="LJ689"/>
      <c r="LK689"/>
      <c r="LL689"/>
      <c r="LM689"/>
      <c r="LN689"/>
      <c r="LO689"/>
      <c r="LP689"/>
      <c r="LQ689"/>
      <c r="LR689"/>
      <c r="LS689"/>
      <c r="LT689"/>
      <c r="LU689"/>
      <c r="LV689"/>
      <c r="LW689"/>
      <c r="LX689"/>
      <c r="LY689"/>
      <c r="LZ689"/>
      <c r="MA689"/>
      <c r="MB689"/>
      <c r="MC689"/>
      <c r="MD689"/>
      <c r="ME689"/>
      <c r="MF689"/>
      <c r="MG689"/>
      <c r="MH689"/>
      <c r="MI689"/>
      <c r="MJ689"/>
      <c r="MK689"/>
      <c r="ML689"/>
      <c r="MM689"/>
      <c r="MN689"/>
      <c r="MO689"/>
      <c r="MP689"/>
      <c r="MQ689"/>
      <c r="MR689"/>
      <c r="MS689"/>
      <c r="MT689"/>
      <c r="MU689"/>
      <c r="MV689"/>
      <c r="MW689"/>
      <c r="MX689"/>
      <c r="MY689"/>
      <c r="MZ689"/>
      <c r="NA689"/>
      <c r="NB689"/>
      <c r="NC689"/>
      <c r="ND689"/>
      <c r="NE689"/>
      <c r="NF689"/>
      <c r="NG689"/>
      <c r="NH689"/>
      <c r="NI689"/>
      <c r="NJ689"/>
      <c r="NK689"/>
      <c r="NL689"/>
      <c r="NM689"/>
      <c r="NN689"/>
      <c r="NO689"/>
      <c r="NP689"/>
      <c r="NQ689"/>
      <c r="NR689"/>
      <c r="NS689"/>
      <c r="NT689"/>
      <c r="NU689"/>
      <c r="NV689"/>
      <c r="NW689"/>
      <c r="NX689"/>
      <c r="NY689"/>
      <c r="NZ689"/>
      <c r="OA689"/>
      <c r="OB689"/>
      <c r="OC689"/>
      <c r="OD689"/>
      <c r="OE689"/>
      <c r="OF689"/>
      <c r="OG689"/>
      <c r="OH689"/>
      <c r="OI689"/>
      <c r="OJ689"/>
      <c r="OK689"/>
      <c r="OL689"/>
      <c r="OM689"/>
      <c r="ON689"/>
      <c r="OO689"/>
      <c r="OP689"/>
      <c r="OQ689"/>
      <c r="OR689"/>
      <c r="OS689"/>
      <c r="OT689"/>
      <c r="OU689"/>
      <c r="OV689"/>
      <c r="OW689"/>
      <c r="OX689"/>
      <c r="OY689"/>
      <c r="OZ689"/>
      <c r="PA689"/>
      <c r="PB689"/>
      <c r="PC689"/>
      <c r="PD689"/>
      <c r="PE689"/>
      <c r="PF689"/>
      <c r="PG689"/>
      <c r="PH689"/>
      <c r="PI689"/>
      <c r="PJ689"/>
      <c r="PK689"/>
      <c r="PL689"/>
      <c r="PM689"/>
      <c r="PN689"/>
      <c r="PO689"/>
      <c r="PP689"/>
      <c r="PQ689"/>
      <c r="PR689"/>
      <c r="PS689"/>
      <c r="PT689"/>
      <c r="PU689"/>
      <c r="PV689"/>
      <c r="PW689"/>
      <c r="PX689"/>
      <c r="PY689"/>
      <c r="PZ689"/>
      <c r="QA689"/>
      <c r="QB689"/>
      <c r="QC689"/>
      <c r="QD689"/>
      <c r="QE689"/>
      <c r="QF689"/>
      <c r="QG689"/>
      <c r="QH689"/>
      <c r="QI689"/>
      <c r="QJ689"/>
      <c r="QK689"/>
      <c r="QL689"/>
      <c r="QM689"/>
      <c r="QN689"/>
      <c r="QO689"/>
      <c r="QP689"/>
      <c r="QQ689"/>
      <c r="QR689"/>
      <c r="QS689"/>
      <c r="QT689"/>
      <c r="QU689"/>
      <c r="QV689"/>
      <c r="QW689"/>
      <c r="QX689"/>
      <c r="QY689"/>
      <c r="QZ689"/>
      <c r="RA689"/>
      <c r="RB689"/>
      <c r="RC689"/>
      <c r="RD689"/>
      <c r="RE689"/>
      <c r="RF689"/>
      <c r="RG689"/>
      <c r="RH689"/>
      <c r="RI689"/>
      <c r="RJ689"/>
      <c r="RK689"/>
      <c r="RL689"/>
      <c r="RM689"/>
      <c r="RN689"/>
      <c r="RO689"/>
      <c r="RP689"/>
      <c r="RQ689"/>
      <c r="RR689"/>
      <c r="RS689"/>
      <c r="RT689"/>
      <c r="RU689"/>
      <c r="RV689"/>
      <c r="RW689"/>
      <c r="RX689"/>
      <c r="RY689"/>
      <c r="RZ689"/>
      <c r="SA689"/>
      <c r="SB689"/>
      <c r="SC689"/>
      <c r="SD689"/>
      <c r="SE689"/>
      <c r="SF689"/>
      <c r="SG689"/>
      <c r="SH689"/>
      <c r="SI689"/>
      <c r="SJ689"/>
      <c r="SK689"/>
      <c r="SL689"/>
      <c r="SM689"/>
      <c r="SN689"/>
      <c r="SO689"/>
      <c r="SP689"/>
      <c r="SQ689"/>
      <c r="SR689"/>
      <c r="SS689"/>
      <c r="ST689"/>
      <c r="SU689"/>
      <c r="SV689"/>
      <c r="SW689"/>
      <c r="SX689"/>
      <c r="SY689"/>
      <c r="SZ689"/>
      <c r="TA689"/>
      <c r="TB689"/>
      <c r="TC689"/>
      <c r="TD689"/>
      <c r="TE689"/>
      <c r="TF689"/>
      <c r="TG689"/>
      <c r="TH689"/>
      <c r="TI689"/>
      <c r="TJ689"/>
      <c r="TK689"/>
      <c r="TL689"/>
      <c r="TM689"/>
      <c r="TN689"/>
      <c r="TO689"/>
      <c r="TP689"/>
      <c r="TQ689"/>
      <c r="TR689"/>
      <c r="TS689"/>
      <c r="TT689"/>
      <c r="TU689"/>
      <c r="TV689"/>
      <c r="TW689"/>
      <c r="TX689"/>
      <c r="TY689"/>
      <c r="TZ689"/>
      <c r="UA689"/>
      <c r="UB689"/>
      <c r="UC689"/>
      <c r="UD689"/>
      <c r="UE689"/>
      <c r="UF689"/>
      <c r="UG689"/>
      <c r="UH689"/>
      <c r="UI689"/>
      <c r="UJ689"/>
      <c r="UK689"/>
      <c r="UL689"/>
      <c r="UM689"/>
      <c r="UN689"/>
      <c r="UO689"/>
      <c r="UP689"/>
      <c r="UQ689"/>
      <c r="UR689"/>
      <c r="US689"/>
      <c r="UT689"/>
      <c r="UU689"/>
      <c r="UV689"/>
      <c r="UW689"/>
      <c r="UX689"/>
      <c r="UY689"/>
      <c r="UZ689"/>
      <c r="VA689"/>
      <c r="VB689"/>
      <c r="VC689"/>
      <c r="VD689"/>
      <c r="VE689"/>
      <c r="VF689"/>
      <c r="VG689"/>
      <c r="VH689"/>
      <c r="VI689"/>
      <c r="VJ689"/>
      <c r="VK689"/>
      <c r="VL689"/>
      <c r="VM689"/>
      <c r="VN689"/>
      <c r="VO689"/>
      <c r="VP689"/>
      <c r="VQ689"/>
      <c r="VR689"/>
      <c r="VS689"/>
      <c r="VT689"/>
      <c r="VU689"/>
      <c r="VV689"/>
      <c r="VW689"/>
      <c r="VX689"/>
      <c r="VY689"/>
      <c r="VZ689"/>
      <c r="WA689"/>
      <c r="WB689"/>
      <c r="WC689"/>
      <c r="WD689"/>
      <c r="WE689"/>
      <c r="WF689"/>
      <c r="WG689"/>
      <c r="WH689"/>
      <c r="WI689"/>
      <c r="WJ689"/>
      <c r="WK689"/>
      <c r="WL689"/>
      <c r="WM689"/>
      <c r="WN689"/>
      <c r="WO689"/>
      <c r="WP689"/>
      <c r="WQ689"/>
      <c r="WR689"/>
      <c r="WS689"/>
      <c r="WT689"/>
      <c r="WU689"/>
      <c r="WV689"/>
      <c r="WW689"/>
      <c r="WX689"/>
      <c r="WY689"/>
      <c r="WZ689"/>
      <c r="XA689"/>
      <c r="XB689"/>
      <c r="XC689"/>
      <c r="XD689"/>
      <c r="XE689"/>
      <c r="XF689"/>
      <c r="XG689"/>
      <c r="XH689"/>
      <c r="XI689"/>
      <c r="XJ689"/>
      <c r="XK689"/>
      <c r="XL689"/>
      <c r="XM689"/>
      <c r="XN689"/>
      <c r="XO689"/>
      <c r="XP689"/>
      <c r="XQ689"/>
      <c r="XR689"/>
      <c r="XS689"/>
      <c r="XT689"/>
      <c r="XU689"/>
      <c r="XV689"/>
      <c r="XW689"/>
      <c r="XX689"/>
      <c r="XY689"/>
      <c r="XZ689"/>
      <c r="YA689"/>
      <c r="YB689"/>
      <c r="YC689"/>
      <c r="YD689"/>
      <c r="YE689"/>
      <c r="YF689"/>
      <c r="YG689"/>
      <c r="YH689"/>
      <c r="YI689"/>
      <c r="YJ689"/>
      <c r="YK689"/>
      <c r="YL689"/>
      <c r="YM689"/>
      <c r="YN689"/>
      <c r="YO689"/>
      <c r="YP689"/>
      <c r="YQ689"/>
      <c r="YR689"/>
      <c r="YS689"/>
      <c r="YT689"/>
      <c r="YU689"/>
      <c r="YV689"/>
      <c r="YW689"/>
      <c r="YX689"/>
      <c r="YY689"/>
      <c r="YZ689"/>
      <c r="ZA689"/>
      <c r="ZB689"/>
      <c r="ZC689"/>
      <c r="ZD689"/>
      <c r="ZE689"/>
      <c r="ZF689"/>
      <c r="ZG689"/>
      <c r="ZH689"/>
      <c r="ZI689"/>
      <c r="ZJ689"/>
      <c r="ZK689"/>
      <c r="ZL689"/>
      <c r="ZM689"/>
      <c r="ZN689"/>
      <c r="ZO689"/>
      <c r="ZP689"/>
      <c r="ZQ689"/>
      <c r="ZR689"/>
      <c r="ZS689"/>
      <c r="ZT689"/>
      <c r="ZU689"/>
      <c r="ZV689"/>
      <c r="ZW689"/>
      <c r="ZX689"/>
      <c r="ZY689"/>
      <c r="ZZ689"/>
      <c r="AAA689"/>
      <c r="AAB689"/>
      <c r="AAC689"/>
      <c r="AAD689"/>
      <c r="AAE689"/>
      <c r="AAF689"/>
      <c r="AAG689"/>
      <c r="AAH689"/>
      <c r="AAI689"/>
      <c r="AAJ689"/>
      <c r="AAK689"/>
      <c r="AAL689"/>
      <c r="AAM689"/>
      <c r="AAN689"/>
      <c r="AAO689"/>
      <c r="AAP689"/>
      <c r="AAQ689"/>
      <c r="AAR689"/>
      <c r="AAS689"/>
      <c r="AAT689"/>
      <c r="AAU689"/>
      <c r="AAV689"/>
      <c r="AAW689"/>
      <c r="AAX689"/>
      <c r="AAY689"/>
      <c r="AAZ689"/>
      <c r="ABA689"/>
      <c r="ABB689"/>
      <c r="ABC689"/>
      <c r="ABD689"/>
      <c r="ABE689"/>
      <c r="ABF689"/>
      <c r="ABG689"/>
      <c r="ABH689"/>
      <c r="ABI689"/>
      <c r="ABJ689"/>
      <c r="ABK689"/>
      <c r="ABL689"/>
      <c r="ABM689"/>
      <c r="ABN689"/>
      <c r="ABO689"/>
      <c r="ABP689"/>
      <c r="ABQ689"/>
      <c r="ABR689"/>
      <c r="ABS689"/>
      <c r="ABT689"/>
      <c r="ABU689"/>
      <c r="ABV689"/>
      <c r="ABW689"/>
      <c r="ABX689"/>
      <c r="ABY689"/>
      <c r="ABZ689"/>
      <c r="ACA689"/>
      <c r="ACB689"/>
      <c r="ACC689"/>
      <c r="ACD689"/>
      <c r="ACE689"/>
      <c r="ACF689"/>
      <c r="ACG689"/>
      <c r="ACH689"/>
      <c r="ACI689"/>
      <c r="ACJ689"/>
      <c r="ACK689"/>
      <c r="ACL689"/>
      <c r="ACM689"/>
      <c r="ACN689"/>
      <c r="ACO689"/>
      <c r="ACP689"/>
      <c r="ACQ689"/>
      <c r="ACR689"/>
      <c r="ACS689"/>
      <c r="ACT689"/>
      <c r="ACU689"/>
      <c r="ACV689"/>
      <c r="ACW689"/>
      <c r="ACX689"/>
      <c r="ACY689"/>
      <c r="ACZ689"/>
      <c r="ADA689"/>
      <c r="ADB689"/>
      <c r="ADC689"/>
      <c r="ADD689"/>
      <c r="ADE689"/>
      <c r="ADF689"/>
      <c r="ADG689"/>
      <c r="ADH689"/>
      <c r="ADI689"/>
      <c r="ADJ689"/>
      <c r="ADK689"/>
      <c r="ADL689"/>
      <c r="ADM689"/>
      <c r="ADN689"/>
      <c r="ADO689"/>
      <c r="ADP689"/>
      <c r="ADQ689"/>
      <c r="ADR689"/>
      <c r="ADS689"/>
      <c r="ADT689"/>
      <c r="ADU689"/>
      <c r="ADV689"/>
      <c r="ADW689"/>
      <c r="ADX689"/>
      <c r="ADY689"/>
      <c r="ADZ689"/>
      <c r="AEA689"/>
      <c r="AEB689"/>
      <c r="AEC689"/>
      <c r="AED689"/>
      <c r="AEE689"/>
      <c r="AEF689"/>
      <c r="AEG689"/>
      <c r="AEH689"/>
      <c r="AEI689"/>
      <c r="AEJ689"/>
      <c r="AEK689"/>
      <c r="AEL689"/>
      <c r="AEM689"/>
      <c r="AEN689"/>
      <c r="AEO689"/>
      <c r="AEP689"/>
      <c r="AEQ689"/>
      <c r="AER689"/>
      <c r="AES689"/>
      <c r="AET689"/>
      <c r="AEU689"/>
      <c r="AEV689"/>
      <c r="AEW689"/>
      <c r="AEX689"/>
      <c r="AEY689"/>
      <c r="AEZ689"/>
      <c r="AFA689"/>
      <c r="AFB689"/>
      <c r="AFC689"/>
      <c r="AFD689"/>
      <c r="AFE689"/>
      <c r="AFF689"/>
      <c r="AFG689"/>
      <c r="AFH689"/>
      <c r="AFI689"/>
      <c r="AFJ689"/>
      <c r="AFK689"/>
      <c r="AFL689"/>
      <c r="AFM689"/>
      <c r="AFN689"/>
      <c r="AFO689"/>
      <c r="AFP689"/>
      <c r="AFQ689"/>
      <c r="AFR689"/>
      <c r="AFS689"/>
      <c r="AFT689"/>
      <c r="AFU689"/>
      <c r="AFV689"/>
      <c r="AFW689"/>
      <c r="AFX689"/>
      <c r="AFY689"/>
      <c r="AFZ689"/>
      <c r="AGA689"/>
      <c r="AGB689"/>
      <c r="AGC689"/>
      <c r="AGD689"/>
      <c r="AGE689"/>
      <c r="AGF689"/>
      <c r="AGG689"/>
      <c r="AGH689"/>
      <c r="AGI689"/>
      <c r="AGJ689"/>
      <c r="AGK689"/>
      <c r="AGL689"/>
      <c r="AGM689"/>
      <c r="AGN689"/>
      <c r="AGO689"/>
      <c r="AGP689"/>
      <c r="AGQ689"/>
      <c r="AGR689"/>
      <c r="AGS689"/>
      <c r="AGT689"/>
      <c r="AGU689"/>
      <c r="AGV689"/>
      <c r="AGW689"/>
      <c r="AGX689"/>
      <c r="AGY689"/>
      <c r="AGZ689"/>
      <c r="AHA689"/>
      <c r="AHB689"/>
      <c r="AHC689"/>
      <c r="AHD689"/>
      <c r="AHE689"/>
      <c r="AHF689"/>
      <c r="AHG689"/>
      <c r="AHH689"/>
      <c r="AHI689"/>
      <c r="AHJ689"/>
      <c r="AHK689"/>
      <c r="AHL689"/>
      <c r="AHM689"/>
      <c r="AHN689"/>
      <c r="AHO689"/>
      <c r="AHP689"/>
      <c r="AHQ689"/>
      <c r="AHR689"/>
      <c r="AHS689"/>
      <c r="AHT689"/>
      <c r="AHU689"/>
      <c r="AHV689"/>
      <c r="AHW689"/>
      <c r="AHX689"/>
      <c r="AHY689"/>
      <c r="AHZ689"/>
      <c r="AIA689"/>
      <c r="AIB689"/>
      <c r="AIC689"/>
      <c r="AID689"/>
      <c r="AIE689"/>
      <c r="AIF689"/>
      <c r="AIG689"/>
      <c r="AIH689"/>
      <c r="AII689"/>
      <c r="AIJ689"/>
      <c r="AIK689"/>
      <c r="AIL689"/>
      <c r="AIM689"/>
      <c r="AIN689"/>
      <c r="AIO689"/>
      <c r="AIP689"/>
      <c r="AIQ689"/>
      <c r="AIR689"/>
      <c r="AIS689"/>
      <c r="AIT689"/>
      <c r="AIU689"/>
      <c r="AIV689"/>
      <c r="AIW689"/>
      <c r="AIX689"/>
      <c r="AIY689"/>
      <c r="AIZ689"/>
      <c r="AJA689"/>
      <c r="AJB689"/>
      <c r="AJC689"/>
      <c r="AJD689"/>
      <c r="AJE689"/>
      <c r="AJF689"/>
      <c r="AJG689"/>
      <c r="AJH689"/>
      <c r="AJI689"/>
      <c r="AJJ689"/>
      <c r="AJK689"/>
      <c r="AJL689"/>
      <c r="AJM689"/>
      <c r="AJN689"/>
      <c r="AJO689"/>
      <c r="AJP689"/>
      <c r="AJQ689"/>
      <c r="AJR689"/>
      <c r="AJS689"/>
      <c r="AJT689"/>
      <c r="AJU689"/>
      <c r="AJV689"/>
      <c r="AJW689"/>
      <c r="AJX689"/>
      <c r="AJY689"/>
      <c r="AJZ689"/>
      <c r="AKA689"/>
      <c r="AKB689"/>
      <c r="AKC689"/>
      <c r="AKD689"/>
      <c r="AKE689"/>
      <c r="AKF689"/>
      <c r="AKG689"/>
      <c r="AKH689"/>
      <c r="AKI689"/>
      <c r="AKJ689"/>
      <c r="AKK689"/>
      <c r="AKL689"/>
      <c r="AKM689"/>
      <c r="AKN689"/>
      <c r="AKO689"/>
      <c r="AKP689"/>
      <c r="AKQ689"/>
      <c r="AKR689"/>
      <c r="AKS689"/>
      <c r="AKT689"/>
      <c r="AKU689"/>
      <c r="AKV689"/>
      <c r="AKW689"/>
      <c r="AKX689"/>
      <c r="AKY689"/>
      <c r="AKZ689"/>
      <c r="ALA689"/>
      <c r="ALB689"/>
      <c r="ALC689"/>
      <c r="ALD689"/>
      <c r="ALE689"/>
      <c r="ALF689"/>
      <c r="ALG689"/>
      <c r="ALH689"/>
      <c r="ALI689"/>
      <c r="ALJ689"/>
      <c r="ALK689"/>
      <c r="ALL689"/>
      <c r="ALM689"/>
      <c r="ALN689"/>
      <c r="ALO689"/>
      <c r="ALP689"/>
      <c r="ALQ689"/>
      <c r="ALR689"/>
      <c r="ALS689"/>
      <c r="ALT689"/>
      <c r="ALU689"/>
      <c r="ALV689"/>
      <c r="ALW689"/>
      <c r="ALX689"/>
      <c r="ALY689"/>
      <c r="ALZ689"/>
      <c r="AMA689"/>
      <c r="AMB689"/>
      <c r="AMC689"/>
      <c r="AMD689"/>
      <c r="AME689"/>
      <c r="AMF689"/>
      <c r="AMG689"/>
      <c r="AMH689"/>
      <c r="AMI689"/>
      <c r="AMJ689"/>
      <c r="AMK689"/>
    </row>
    <row r="690" spans="1:1025">
      <c r="A690" s="153">
        <v>1</v>
      </c>
      <c r="B690" s="734" t="s">
        <v>1479</v>
      </c>
      <c r="C690" s="238"/>
      <c r="D690" s="331"/>
      <c r="E690" s="331"/>
      <c r="F690" s="261"/>
      <c r="G690" s="153"/>
      <c r="H690" s="153"/>
      <c r="I690" s="20">
        <v>435820.50816000003</v>
      </c>
      <c r="J690" s="244">
        <f>H690+I690</f>
        <v>435820.50816000003</v>
      </c>
      <c r="K690" s="153"/>
      <c r="L690" s="735">
        <v>710820.50815999997</v>
      </c>
      <c r="M690" s="736">
        <f t="shared" si="58"/>
        <v>0.61312314875121798</v>
      </c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/>
      <c r="FQ690"/>
      <c r="FR690"/>
      <c r="FS690"/>
      <c r="FT690"/>
      <c r="FU690"/>
      <c r="FV690"/>
      <c r="FW690"/>
      <c r="FX690"/>
      <c r="FY690"/>
      <c r="FZ690"/>
      <c r="GA690"/>
      <c r="GB690"/>
      <c r="GC690"/>
      <c r="GD690"/>
      <c r="GE690"/>
      <c r="GF690"/>
      <c r="GG690"/>
      <c r="GH690"/>
      <c r="GI690"/>
      <c r="GJ690"/>
      <c r="GK690"/>
      <c r="GL690"/>
      <c r="GM690"/>
      <c r="GN690"/>
      <c r="GO690"/>
      <c r="GP690"/>
      <c r="GQ690"/>
      <c r="GR690"/>
      <c r="GS690"/>
      <c r="GT690"/>
      <c r="GU690"/>
      <c r="GV690"/>
      <c r="GW690"/>
      <c r="GX690"/>
      <c r="GY690"/>
      <c r="GZ690"/>
      <c r="HA690"/>
      <c r="HB690"/>
      <c r="HC690"/>
      <c r="HD690"/>
      <c r="HE690"/>
      <c r="HF690"/>
      <c r="HG690"/>
      <c r="HH690"/>
      <c r="HI690"/>
      <c r="HJ690"/>
      <c r="HK690"/>
      <c r="HL690"/>
      <c r="HM690"/>
      <c r="HN690"/>
      <c r="HO690"/>
      <c r="HP690"/>
      <c r="HQ690"/>
      <c r="HR690"/>
      <c r="HS690"/>
      <c r="HT690"/>
      <c r="HU690"/>
      <c r="HV690"/>
      <c r="HW690"/>
      <c r="HX690"/>
      <c r="HY690"/>
      <c r="HZ690"/>
      <c r="IA690"/>
      <c r="IB690"/>
      <c r="IC690"/>
      <c r="ID690"/>
      <c r="IE690"/>
      <c r="IF690"/>
      <c r="IG690"/>
      <c r="IH690"/>
      <c r="II690"/>
      <c r="IJ690"/>
      <c r="IK690"/>
      <c r="IL690"/>
      <c r="IM690"/>
      <c r="IN690"/>
      <c r="IO690"/>
      <c r="IP690"/>
      <c r="IQ690"/>
      <c r="IR690"/>
      <c r="IS690"/>
      <c r="IT690"/>
      <c r="IU690"/>
      <c r="IV690"/>
      <c r="IW690"/>
      <c r="IX690"/>
      <c r="IY690"/>
      <c r="IZ690"/>
      <c r="JA690"/>
      <c r="JB690"/>
      <c r="JC690"/>
      <c r="JD690"/>
      <c r="JE690"/>
      <c r="JF690"/>
      <c r="JG690"/>
      <c r="JH690"/>
      <c r="JI690"/>
      <c r="JJ690"/>
      <c r="JK690"/>
      <c r="JL690"/>
      <c r="JM690"/>
      <c r="JN690"/>
      <c r="JO690"/>
      <c r="JP690"/>
      <c r="JQ690"/>
      <c r="JR690"/>
      <c r="JS690"/>
      <c r="JT690"/>
      <c r="JU690"/>
      <c r="JV690"/>
      <c r="JW690"/>
      <c r="JX690"/>
      <c r="JY690"/>
      <c r="JZ690"/>
      <c r="KA690"/>
      <c r="KB690"/>
      <c r="KC690"/>
      <c r="KD690"/>
      <c r="KE690"/>
      <c r="KF690"/>
      <c r="KG690"/>
      <c r="KH690"/>
      <c r="KI690"/>
      <c r="KJ690"/>
      <c r="KK690"/>
      <c r="KL690"/>
      <c r="KM690"/>
      <c r="KN690"/>
      <c r="KO690"/>
      <c r="KP690"/>
      <c r="KQ690"/>
      <c r="KR690"/>
      <c r="KS690"/>
      <c r="KT690"/>
      <c r="KU690"/>
      <c r="KV690"/>
      <c r="KW690"/>
      <c r="KX690"/>
      <c r="KY690"/>
      <c r="KZ690"/>
      <c r="LA690"/>
      <c r="LB690"/>
      <c r="LC690"/>
      <c r="LD690"/>
      <c r="LE690"/>
      <c r="LF690"/>
      <c r="LG690"/>
      <c r="LH690"/>
      <c r="LI690"/>
      <c r="LJ690"/>
      <c r="LK690"/>
      <c r="LL690"/>
      <c r="LM690"/>
      <c r="LN690"/>
      <c r="LO690"/>
      <c r="LP690"/>
      <c r="LQ690"/>
      <c r="LR690"/>
      <c r="LS690"/>
      <c r="LT690"/>
      <c r="LU690"/>
      <c r="LV690"/>
      <c r="LW690"/>
      <c r="LX690"/>
      <c r="LY690"/>
      <c r="LZ690"/>
      <c r="MA690"/>
      <c r="MB690"/>
      <c r="MC690"/>
      <c r="MD690"/>
      <c r="ME690"/>
      <c r="MF690"/>
      <c r="MG690"/>
      <c r="MH690"/>
      <c r="MI690"/>
      <c r="MJ690"/>
      <c r="MK690"/>
      <c r="ML690"/>
      <c r="MM690"/>
      <c r="MN690"/>
      <c r="MO690"/>
      <c r="MP690"/>
      <c r="MQ690"/>
      <c r="MR690"/>
      <c r="MS690"/>
      <c r="MT690"/>
      <c r="MU690"/>
      <c r="MV690"/>
      <c r="MW690"/>
      <c r="MX690"/>
      <c r="MY690"/>
      <c r="MZ690"/>
      <c r="NA690"/>
      <c r="NB690"/>
      <c r="NC690"/>
      <c r="ND690"/>
      <c r="NE690"/>
      <c r="NF690"/>
      <c r="NG690"/>
      <c r="NH690"/>
      <c r="NI690"/>
      <c r="NJ690"/>
      <c r="NK690"/>
      <c r="NL690"/>
      <c r="NM690"/>
      <c r="NN690"/>
      <c r="NO690"/>
      <c r="NP690"/>
      <c r="NQ690"/>
      <c r="NR690"/>
      <c r="NS690"/>
      <c r="NT690"/>
      <c r="NU690"/>
      <c r="NV690"/>
      <c r="NW690"/>
      <c r="NX690"/>
      <c r="NY690"/>
      <c r="NZ690"/>
      <c r="OA690"/>
      <c r="OB690"/>
      <c r="OC690"/>
      <c r="OD690"/>
      <c r="OE690"/>
      <c r="OF690"/>
      <c r="OG690"/>
      <c r="OH690"/>
      <c r="OI690"/>
      <c r="OJ690"/>
      <c r="OK690"/>
      <c r="OL690"/>
      <c r="OM690"/>
      <c r="ON690"/>
      <c r="OO690"/>
      <c r="OP690"/>
      <c r="OQ690"/>
      <c r="OR690"/>
      <c r="OS690"/>
      <c r="OT690"/>
      <c r="OU690"/>
      <c r="OV690"/>
      <c r="OW690"/>
      <c r="OX690"/>
      <c r="OY690"/>
      <c r="OZ690"/>
      <c r="PA690"/>
      <c r="PB690"/>
      <c r="PC690"/>
      <c r="PD690"/>
      <c r="PE690"/>
      <c r="PF690"/>
      <c r="PG690"/>
      <c r="PH690"/>
      <c r="PI690"/>
      <c r="PJ690"/>
      <c r="PK690"/>
      <c r="PL690"/>
      <c r="PM690"/>
      <c r="PN690"/>
      <c r="PO690"/>
      <c r="PP690"/>
      <c r="PQ690"/>
      <c r="PR690"/>
      <c r="PS690"/>
      <c r="PT690"/>
      <c r="PU690"/>
      <c r="PV690"/>
      <c r="PW690"/>
      <c r="PX690"/>
      <c r="PY690"/>
      <c r="PZ690"/>
      <c r="QA690"/>
      <c r="QB690"/>
      <c r="QC690"/>
      <c r="QD690"/>
      <c r="QE690"/>
      <c r="QF690"/>
      <c r="QG690"/>
      <c r="QH690"/>
      <c r="QI690"/>
      <c r="QJ690"/>
      <c r="QK690"/>
      <c r="QL690"/>
      <c r="QM690"/>
      <c r="QN690"/>
      <c r="QO690"/>
      <c r="QP690"/>
      <c r="QQ690"/>
      <c r="QR690"/>
      <c r="QS690"/>
      <c r="QT690"/>
      <c r="QU690"/>
      <c r="QV690"/>
      <c r="QW690"/>
      <c r="QX690"/>
      <c r="QY690"/>
      <c r="QZ690"/>
      <c r="RA690"/>
      <c r="RB690"/>
      <c r="RC690"/>
      <c r="RD690"/>
      <c r="RE690"/>
      <c r="RF690"/>
      <c r="RG690"/>
      <c r="RH690"/>
      <c r="RI690"/>
      <c r="RJ690"/>
      <c r="RK690"/>
      <c r="RL690"/>
      <c r="RM690"/>
      <c r="RN690"/>
      <c r="RO690"/>
      <c r="RP690"/>
      <c r="RQ690"/>
      <c r="RR690"/>
      <c r="RS690"/>
      <c r="RT690"/>
      <c r="RU690"/>
      <c r="RV690"/>
      <c r="RW690"/>
      <c r="RX690"/>
      <c r="RY690"/>
      <c r="RZ690"/>
      <c r="SA690"/>
      <c r="SB690"/>
      <c r="SC690"/>
      <c r="SD690"/>
      <c r="SE690"/>
      <c r="SF690"/>
      <c r="SG690"/>
      <c r="SH690"/>
      <c r="SI690"/>
      <c r="SJ690"/>
      <c r="SK690"/>
      <c r="SL690"/>
      <c r="SM690"/>
      <c r="SN690"/>
      <c r="SO690"/>
      <c r="SP690"/>
      <c r="SQ690"/>
      <c r="SR690"/>
      <c r="SS690"/>
      <c r="ST690"/>
      <c r="SU690"/>
      <c r="SV690"/>
      <c r="SW690"/>
      <c r="SX690"/>
      <c r="SY690"/>
      <c r="SZ690"/>
      <c r="TA690"/>
      <c r="TB690"/>
      <c r="TC690"/>
      <c r="TD690"/>
      <c r="TE690"/>
      <c r="TF690"/>
      <c r="TG690"/>
      <c r="TH690"/>
      <c r="TI690"/>
      <c r="TJ690"/>
      <c r="TK690"/>
      <c r="TL690"/>
      <c r="TM690"/>
      <c r="TN690"/>
      <c r="TO690"/>
      <c r="TP690"/>
      <c r="TQ690"/>
      <c r="TR690"/>
      <c r="TS690"/>
      <c r="TT690"/>
      <c r="TU690"/>
      <c r="TV690"/>
      <c r="TW690"/>
      <c r="TX690"/>
      <c r="TY690"/>
      <c r="TZ690"/>
      <c r="UA690"/>
      <c r="UB690"/>
      <c r="UC690"/>
      <c r="UD690"/>
      <c r="UE690"/>
      <c r="UF690"/>
      <c r="UG690"/>
      <c r="UH690"/>
      <c r="UI690"/>
      <c r="UJ690"/>
      <c r="UK690"/>
      <c r="UL690"/>
      <c r="UM690"/>
      <c r="UN690"/>
      <c r="UO690"/>
      <c r="UP690"/>
      <c r="UQ690"/>
      <c r="UR690"/>
      <c r="US690"/>
      <c r="UT690"/>
      <c r="UU690"/>
      <c r="UV690"/>
      <c r="UW690"/>
      <c r="UX690"/>
      <c r="UY690"/>
      <c r="UZ690"/>
      <c r="VA690"/>
      <c r="VB690"/>
      <c r="VC690"/>
      <c r="VD690"/>
      <c r="VE690"/>
      <c r="VF690"/>
      <c r="VG690"/>
      <c r="VH690"/>
      <c r="VI690"/>
      <c r="VJ690"/>
      <c r="VK690"/>
      <c r="VL690"/>
      <c r="VM690"/>
      <c r="VN690"/>
      <c r="VO690"/>
      <c r="VP690"/>
      <c r="VQ690"/>
      <c r="VR690"/>
      <c r="VS690"/>
      <c r="VT690"/>
      <c r="VU690"/>
      <c r="VV690"/>
      <c r="VW690"/>
      <c r="VX690"/>
      <c r="VY690"/>
      <c r="VZ690"/>
      <c r="WA690"/>
      <c r="WB690"/>
      <c r="WC690"/>
      <c r="WD690"/>
      <c r="WE690"/>
      <c r="WF690"/>
      <c r="WG690"/>
      <c r="WH690"/>
      <c r="WI690"/>
      <c r="WJ690"/>
      <c r="WK690"/>
      <c r="WL690"/>
      <c r="WM690"/>
      <c r="WN690"/>
      <c r="WO690"/>
      <c r="WP690"/>
      <c r="WQ690"/>
      <c r="WR690"/>
      <c r="WS690"/>
      <c r="WT690"/>
      <c r="WU690"/>
      <c r="WV690"/>
      <c r="WW690"/>
      <c r="WX690"/>
      <c r="WY690"/>
      <c r="WZ690"/>
      <c r="XA690"/>
      <c r="XB690"/>
      <c r="XC690"/>
      <c r="XD690"/>
      <c r="XE690"/>
      <c r="XF690"/>
      <c r="XG690"/>
      <c r="XH690"/>
      <c r="XI690"/>
      <c r="XJ690"/>
      <c r="XK690"/>
      <c r="XL690"/>
      <c r="XM690"/>
      <c r="XN690"/>
      <c r="XO690"/>
      <c r="XP690"/>
      <c r="XQ690"/>
      <c r="XR690"/>
      <c r="XS690"/>
      <c r="XT690"/>
      <c r="XU690"/>
      <c r="XV690"/>
      <c r="XW690"/>
      <c r="XX690"/>
      <c r="XY690"/>
      <c r="XZ690"/>
      <c r="YA690"/>
      <c r="YB690"/>
      <c r="YC690"/>
      <c r="YD690"/>
      <c r="YE690"/>
      <c r="YF690"/>
      <c r="YG690"/>
      <c r="YH690"/>
      <c r="YI690"/>
      <c r="YJ690"/>
      <c r="YK690"/>
      <c r="YL690"/>
      <c r="YM690"/>
      <c r="YN690"/>
      <c r="YO690"/>
      <c r="YP690"/>
      <c r="YQ690"/>
      <c r="YR690"/>
      <c r="YS690"/>
      <c r="YT690"/>
      <c r="YU690"/>
      <c r="YV690"/>
      <c r="YW690"/>
      <c r="YX690"/>
      <c r="YY690"/>
      <c r="YZ690"/>
      <c r="ZA690"/>
      <c r="ZB690"/>
      <c r="ZC690"/>
      <c r="ZD690"/>
      <c r="ZE690"/>
      <c r="ZF690"/>
      <c r="ZG690"/>
      <c r="ZH690"/>
      <c r="ZI690"/>
      <c r="ZJ690"/>
      <c r="ZK690"/>
      <c r="ZL690"/>
      <c r="ZM690"/>
      <c r="ZN690"/>
      <c r="ZO690"/>
      <c r="ZP690"/>
      <c r="ZQ690"/>
      <c r="ZR690"/>
      <c r="ZS690"/>
      <c r="ZT690"/>
      <c r="ZU690"/>
      <c r="ZV690"/>
      <c r="ZW690"/>
      <c r="ZX690"/>
      <c r="ZY690"/>
      <c r="ZZ690"/>
      <c r="AAA690"/>
      <c r="AAB690"/>
      <c r="AAC690"/>
      <c r="AAD690"/>
      <c r="AAE690"/>
      <c r="AAF690"/>
      <c r="AAG690"/>
      <c r="AAH690"/>
      <c r="AAI690"/>
      <c r="AAJ690"/>
      <c r="AAK690"/>
      <c r="AAL690"/>
      <c r="AAM690"/>
      <c r="AAN690"/>
      <c r="AAO690"/>
      <c r="AAP690"/>
      <c r="AAQ690"/>
      <c r="AAR690"/>
      <c r="AAS690"/>
      <c r="AAT690"/>
      <c r="AAU690"/>
      <c r="AAV690"/>
      <c r="AAW690"/>
      <c r="AAX690"/>
      <c r="AAY690"/>
      <c r="AAZ690"/>
      <c r="ABA690"/>
      <c r="ABB690"/>
      <c r="ABC690"/>
      <c r="ABD690"/>
      <c r="ABE690"/>
      <c r="ABF690"/>
      <c r="ABG690"/>
      <c r="ABH690"/>
      <c r="ABI690"/>
      <c r="ABJ690"/>
      <c r="ABK690"/>
      <c r="ABL690"/>
      <c r="ABM690"/>
      <c r="ABN690"/>
      <c r="ABO690"/>
      <c r="ABP690"/>
      <c r="ABQ690"/>
      <c r="ABR690"/>
      <c r="ABS690"/>
      <c r="ABT690"/>
      <c r="ABU690"/>
      <c r="ABV690"/>
      <c r="ABW690"/>
      <c r="ABX690"/>
      <c r="ABY690"/>
      <c r="ABZ690"/>
      <c r="ACA690"/>
      <c r="ACB690"/>
      <c r="ACC690"/>
      <c r="ACD690"/>
      <c r="ACE690"/>
      <c r="ACF690"/>
      <c r="ACG690"/>
      <c r="ACH690"/>
      <c r="ACI690"/>
      <c r="ACJ690"/>
      <c r="ACK690"/>
      <c r="ACL690"/>
      <c r="ACM690"/>
      <c r="ACN690"/>
      <c r="ACO690"/>
      <c r="ACP690"/>
      <c r="ACQ690"/>
      <c r="ACR690"/>
      <c r="ACS690"/>
      <c r="ACT690"/>
      <c r="ACU690"/>
      <c r="ACV690"/>
      <c r="ACW690"/>
      <c r="ACX690"/>
      <c r="ACY690"/>
      <c r="ACZ690"/>
      <c r="ADA690"/>
      <c r="ADB690"/>
      <c r="ADC690"/>
      <c r="ADD690"/>
      <c r="ADE690"/>
      <c r="ADF690"/>
      <c r="ADG690"/>
      <c r="ADH690"/>
      <c r="ADI690"/>
      <c r="ADJ690"/>
      <c r="ADK690"/>
      <c r="ADL690"/>
      <c r="ADM690"/>
      <c r="ADN690"/>
      <c r="ADO690"/>
      <c r="ADP690"/>
      <c r="ADQ690"/>
      <c r="ADR690"/>
      <c r="ADS690"/>
      <c r="ADT690"/>
      <c r="ADU690"/>
      <c r="ADV690"/>
      <c r="ADW690"/>
      <c r="ADX690"/>
      <c r="ADY690"/>
      <c r="ADZ690"/>
      <c r="AEA690"/>
      <c r="AEB690"/>
      <c r="AEC690"/>
      <c r="AED690"/>
      <c r="AEE690"/>
      <c r="AEF690"/>
      <c r="AEG690"/>
      <c r="AEH690"/>
      <c r="AEI690"/>
      <c r="AEJ690"/>
      <c r="AEK690"/>
      <c r="AEL690"/>
      <c r="AEM690"/>
      <c r="AEN690"/>
      <c r="AEO690"/>
      <c r="AEP690"/>
      <c r="AEQ690"/>
      <c r="AER690"/>
      <c r="AES690"/>
      <c r="AET690"/>
      <c r="AEU690"/>
      <c r="AEV690"/>
      <c r="AEW690"/>
      <c r="AEX690"/>
      <c r="AEY690"/>
      <c r="AEZ690"/>
      <c r="AFA690"/>
      <c r="AFB690"/>
      <c r="AFC690"/>
      <c r="AFD690"/>
      <c r="AFE690"/>
      <c r="AFF690"/>
      <c r="AFG690"/>
      <c r="AFH690"/>
      <c r="AFI690"/>
      <c r="AFJ690"/>
      <c r="AFK690"/>
      <c r="AFL690"/>
      <c r="AFM690"/>
      <c r="AFN690"/>
      <c r="AFO690"/>
      <c r="AFP690"/>
      <c r="AFQ690"/>
      <c r="AFR690"/>
      <c r="AFS690"/>
      <c r="AFT690"/>
      <c r="AFU690"/>
      <c r="AFV690"/>
      <c r="AFW690"/>
      <c r="AFX690"/>
      <c r="AFY690"/>
      <c r="AFZ690"/>
      <c r="AGA690"/>
      <c r="AGB690"/>
      <c r="AGC690"/>
      <c r="AGD690"/>
      <c r="AGE690"/>
      <c r="AGF690"/>
      <c r="AGG690"/>
      <c r="AGH690"/>
      <c r="AGI690"/>
      <c r="AGJ690"/>
      <c r="AGK690"/>
      <c r="AGL690"/>
      <c r="AGM690"/>
      <c r="AGN690"/>
      <c r="AGO690"/>
      <c r="AGP690"/>
      <c r="AGQ690"/>
      <c r="AGR690"/>
      <c r="AGS690"/>
      <c r="AGT690"/>
      <c r="AGU690"/>
      <c r="AGV690"/>
      <c r="AGW690"/>
      <c r="AGX690"/>
      <c r="AGY690"/>
      <c r="AGZ690"/>
      <c r="AHA690"/>
      <c r="AHB690"/>
      <c r="AHC690"/>
      <c r="AHD690"/>
      <c r="AHE690"/>
      <c r="AHF690"/>
      <c r="AHG690"/>
      <c r="AHH690"/>
      <c r="AHI690"/>
      <c r="AHJ690"/>
      <c r="AHK690"/>
      <c r="AHL690"/>
      <c r="AHM690"/>
      <c r="AHN690"/>
      <c r="AHO690"/>
      <c r="AHP690"/>
      <c r="AHQ690"/>
      <c r="AHR690"/>
      <c r="AHS690"/>
      <c r="AHT690"/>
      <c r="AHU690"/>
      <c r="AHV690"/>
      <c r="AHW690"/>
      <c r="AHX690"/>
      <c r="AHY690"/>
      <c r="AHZ690"/>
      <c r="AIA690"/>
      <c r="AIB690"/>
      <c r="AIC690"/>
      <c r="AID690"/>
      <c r="AIE690"/>
      <c r="AIF690"/>
      <c r="AIG690"/>
      <c r="AIH690"/>
      <c r="AII690"/>
      <c r="AIJ690"/>
      <c r="AIK690"/>
      <c r="AIL690"/>
      <c r="AIM690"/>
      <c r="AIN690"/>
      <c r="AIO690"/>
      <c r="AIP690"/>
      <c r="AIQ690"/>
      <c r="AIR690"/>
      <c r="AIS690"/>
      <c r="AIT690"/>
      <c r="AIU690"/>
      <c r="AIV690"/>
      <c r="AIW690"/>
      <c r="AIX690"/>
      <c r="AIY690"/>
      <c r="AIZ690"/>
      <c r="AJA690"/>
      <c r="AJB690"/>
      <c r="AJC690"/>
      <c r="AJD690"/>
      <c r="AJE690"/>
      <c r="AJF690"/>
      <c r="AJG690"/>
      <c r="AJH690"/>
      <c r="AJI690"/>
      <c r="AJJ690"/>
      <c r="AJK690"/>
      <c r="AJL690"/>
      <c r="AJM690"/>
      <c r="AJN690"/>
      <c r="AJO690"/>
      <c r="AJP690"/>
      <c r="AJQ690"/>
      <c r="AJR690"/>
      <c r="AJS690"/>
      <c r="AJT690"/>
      <c r="AJU690"/>
      <c r="AJV690"/>
      <c r="AJW690"/>
      <c r="AJX690"/>
      <c r="AJY690"/>
      <c r="AJZ690"/>
      <c r="AKA690"/>
      <c r="AKB690"/>
      <c r="AKC690"/>
      <c r="AKD690"/>
      <c r="AKE690"/>
      <c r="AKF690"/>
      <c r="AKG690"/>
      <c r="AKH690"/>
      <c r="AKI690"/>
      <c r="AKJ690"/>
      <c r="AKK690"/>
      <c r="AKL690"/>
      <c r="AKM690"/>
      <c r="AKN690"/>
      <c r="AKO690"/>
      <c r="AKP690"/>
      <c r="AKQ690"/>
      <c r="AKR690"/>
      <c r="AKS690"/>
      <c r="AKT690"/>
      <c r="AKU690"/>
      <c r="AKV690"/>
      <c r="AKW690"/>
      <c r="AKX690"/>
      <c r="AKY690"/>
      <c r="AKZ690"/>
      <c r="ALA690"/>
      <c r="ALB690"/>
      <c r="ALC690"/>
      <c r="ALD690"/>
      <c r="ALE690"/>
      <c r="ALF690"/>
      <c r="ALG690"/>
      <c r="ALH690"/>
      <c r="ALI690"/>
      <c r="ALJ690"/>
      <c r="ALK690"/>
      <c r="ALL690"/>
      <c r="ALM690"/>
      <c r="ALN690"/>
      <c r="ALO690"/>
      <c r="ALP690"/>
      <c r="ALQ690"/>
      <c r="ALR690"/>
      <c r="ALS690"/>
      <c r="ALT690"/>
      <c r="ALU690"/>
      <c r="ALV690"/>
      <c r="ALW690"/>
      <c r="ALX690"/>
      <c r="ALY690"/>
      <c r="ALZ690"/>
      <c r="AMA690"/>
      <c r="AMB690"/>
      <c r="AMC690"/>
      <c r="AMD690"/>
      <c r="AME690"/>
      <c r="AMF690"/>
      <c r="AMG690"/>
      <c r="AMH690"/>
      <c r="AMI690"/>
      <c r="AMJ690"/>
      <c r="AMK690"/>
    </row>
    <row r="691" spans="1:1025">
      <c r="A691" s="153"/>
      <c r="B691" s="734"/>
      <c r="C691" s="238"/>
      <c r="D691" s="331"/>
      <c r="E691" s="331"/>
      <c r="F691" s="261"/>
      <c r="G691" s="153"/>
      <c r="H691" s="153"/>
      <c r="I691" s="20"/>
      <c r="J691" s="244">
        <f>SUM(J690)</f>
        <v>435820.50816000003</v>
      </c>
      <c r="K691" s="153"/>
      <c r="L691" s="735">
        <v>710820.50815999997</v>
      </c>
      <c r="M691" s="736">
        <f t="shared" si="58"/>
        <v>0.61312314875121798</v>
      </c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  <c r="FK691"/>
      <c r="FL691"/>
      <c r="FM691"/>
      <c r="FN691"/>
      <c r="FO691"/>
      <c r="FP691"/>
      <c r="FQ691"/>
      <c r="FR691"/>
      <c r="FS691"/>
      <c r="FT691"/>
      <c r="FU691"/>
      <c r="FV691"/>
      <c r="FW691"/>
      <c r="FX691"/>
      <c r="FY691"/>
      <c r="FZ691"/>
      <c r="GA691"/>
      <c r="GB691"/>
      <c r="GC691"/>
      <c r="GD691"/>
      <c r="GE691"/>
      <c r="GF691"/>
      <c r="GG691"/>
      <c r="GH691"/>
      <c r="GI691"/>
      <c r="GJ691"/>
      <c r="GK691"/>
      <c r="GL691"/>
      <c r="GM691"/>
      <c r="GN691"/>
      <c r="GO691"/>
      <c r="GP691"/>
      <c r="GQ691"/>
      <c r="GR691"/>
      <c r="GS691"/>
      <c r="GT691"/>
      <c r="GU691"/>
      <c r="GV691"/>
      <c r="GW691"/>
      <c r="GX691"/>
      <c r="GY691"/>
      <c r="GZ691"/>
      <c r="HA691"/>
      <c r="HB691"/>
      <c r="HC691"/>
      <c r="HD691"/>
      <c r="HE691"/>
      <c r="HF691"/>
      <c r="HG691"/>
      <c r="HH691"/>
      <c r="HI691"/>
      <c r="HJ691"/>
      <c r="HK691"/>
      <c r="HL691"/>
      <c r="HM691"/>
      <c r="HN691"/>
      <c r="HO691"/>
      <c r="HP691"/>
      <c r="HQ691"/>
      <c r="HR691"/>
      <c r="HS691"/>
      <c r="HT691"/>
      <c r="HU691"/>
      <c r="HV691"/>
      <c r="HW691"/>
      <c r="HX691"/>
      <c r="HY691"/>
      <c r="HZ691"/>
      <c r="IA691"/>
      <c r="IB691"/>
      <c r="IC691"/>
      <c r="ID691"/>
      <c r="IE691"/>
      <c r="IF691"/>
      <c r="IG691"/>
      <c r="IH691"/>
      <c r="II691"/>
      <c r="IJ691"/>
      <c r="IK691"/>
      <c r="IL691"/>
      <c r="IM691"/>
      <c r="IN691"/>
      <c r="IO691"/>
      <c r="IP691"/>
      <c r="IQ691"/>
      <c r="IR691"/>
      <c r="IS691"/>
      <c r="IT691"/>
      <c r="IU691"/>
      <c r="IV691"/>
      <c r="IW691"/>
      <c r="IX691"/>
      <c r="IY691"/>
      <c r="IZ691"/>
      <c r="JA691"/>
      <c r="JB691"/>
      <c r="JC691"/>
      <c r="JD691"/>
      <c r="JE691"/>
      <c r="JF691"/>
      <c r="JG691"/>
      <c r="JH691"/>
      <c r="JI691"/>
      <c r="JJ691"/>
      <c r="JK691"/>
      <c r="JL691"/>
      <c r="JM691"/>
      <c r="JN691"/>
      <c r="JO691"/>
      <c r="JP691"/>
      <c r="JQ691"/>
      <c r="JR691"/>
      <c r="JS691"/>
      <c r="JT691"/>
      <c r="JU691"/>
      <c r="JV691"/>
      <c r="JW691"/>
      <c r="JX691"/>
      <c r="JY691"/>
      <c r="JZ691"/>
      <c r="KA691"/>
      <c r="KB691"/>
      <c r="KC691"/>
      <c r="KD691"/>
      <c r="KE691"/>
      <c r="KF691"/>
      <c r="KG691"/>
      <c r="KH691"/>
      <c r="KI691"/>
      <c r="KJ691"/>
      <c r="KK691"/>
      <c r="KL691"/>
      <c r="KM691"/>
      <c r="KN691"/>
      <c r="KO691"/>
      <c r="KP691"/>
      <c r="KQ691"/>
      <c r="KR691"/>
      <c r="KS691"/>
      <c r="KT691"/>
      <c r="KU691"/>
      <c r="KV691"/>
      <c r="KW691"/>
      <c r="KX691"/>
      <c r="KY691"/>
      <c r="KZ691"/>
      <c r="LA691"/>
      <c r="LB691"/>
      <c r="LC691"/>
      <c r="LD691"/>
      <c r="LE691"/>
      <c r="LF691"/>
      <c r="LG691"/>
      <c r="LH691"/>
      <c r="LI691"/>
      <c r="LJ691"/>
      <c r="LK691"/>
      <c r="LL691"/>
      <c r="LM691"/>
      <c r="LN691"/>
      <c r="LO691"/>
      <c r="LP691"/>
      <c r="LQ691"/>
      <c r="LR691"/>
      <c r="LS691"/>
      <c r="LT691"/>
      <c r="LU691"/>
      <c r="LV691"/>
      <c r="LW691"/>
      <c r="LX691"/>
      <c r="LY691"/>
      <c r="LZ691"/>
      <c r="MA691"/>
      <c r="MB691"/>
      <c r="MC691"/>
      <c r="MD691"/>
      <c r="ME691"/>
      <c r="MF691"/>
      <c r="MG691"/>
      <c r="MH691"/>
      <c r="MI691"/>
      <c r="MJ691"/>
      <c r="MK691"/>
      <c r="ML691"/>
      <c r="MM691"/>
      <c r="MN691"/>
      <c r="MO691"/>
      <c r="MP691"/>
      <c r="MQ691"/>
      <c r="MR691"/>
      <c r="MS691"/>
      <c r="MT691"/>
      <c r="MU691"/>
      <c r="MV691"/>
      <c r="MW691"/>
      <c r="MX691"/>
      <c r="MY691"/>
      <c r="MZ691"/>
      <c r="NA691"/>
      <c r="NB691"/>
      <c r="NC691"/>
      <c r="ND691"/>
      <c r="NE691"/>
      <c r="NF691"/>
      <c r="NG691"/>
      <c r="NH691"/>
      <c r="NI691"/>
      <c r="NJ691"/>
      <c r="NK691"/>
      <c r="NL691"/>
      <c r="NM691"/>
      <c r="NN691"/>
      <c r="NO691"/>
      <c r="NP691"/>
      <c r="NQ691"/>
      <c r="NR691"/>
      <c r="NS691"/>
      <c r="NT691"/>
      <c r="NU691"/>
      <c r="NV691"/>
      <c r="NW691"/>
      <c r="NX691"/>
      <c r="NY691"/>
      <c r="NZ691"/>
      <c r="OA691"/>
      <c r="OB691"/>
      <c r="OC691"/>
      <c r="OD691"/>
      <c r="OE691"/>
      <c r="OF691"/>
      <c r="OG691"/>
      <c r="OH691"/>
      <c r="OI691"/>
      <c r="OJ691"/>
      <c r="OK691"/>
      <c r="OL691"/>
      <c r="OM691"/>
      <c r="ON691"/>
      <c r="OO691"/>
      <c r="OP691"/>
      <c r="OQ691"/>
      <c r="OR691"/>
      <c r="OS691"/>
      <c r="OT691"/>
      <c r="OU691"/>
      <c r="OV691"/>
      <c r="OW691"/>
      <c r="OX691"/>
      <c r="OY691"/>
      <c r="OZ691"/>
      <c r="PA691"/>
      <c r="PB691"/>
      <c r="PC691"/>
      <c r="PD691"/>
      <c r="PE691"/>
      <c r="PF691"/>
      <c r="PG691"/>
      <c r="PH691"/>
      <c r="PI691"/>
      <c r="PJ691"/>
      <c r="PK691"/>
      <c r="PL691"/>
      <c r="PM691"/>
      <c r="PN691"/>
      <c r="PO691"/>
      <c r="PP691"/>
      <c r="PQ691"/>
      <c r="PR691"/>
      <c r="PS691"/>
      <c r="PT691"/>
      <c r="PU691"/>
      <c r="PV691"/>
      <c r="PW691"/>
      <c r="PX691"/>
      <c r="PY691"/>
      <c r="PZ691"/>
      <c r="QA691"/>
      <c r="QB691"/>
      <c r="QC691"/>
      <c r="QD691"/>
      <c r="QE691"/>
      <c r="QF691"/>
      <c r="QG691"/>
      <c r="QH691"/>
      <c r="QI691"/>
      <c r="QJ691"/>
      <c r="QK691"/>
      <c r="QL691"/>
      <c r="QM691"/>
      <c r="QN691"/>
      <c r="QO691"/>
      <c r="QP691"/>
      <c r="QQ691"/>
      <c r="QR691"/>
      <c r="QS691"/>
      <c r="QT691"/>
      <c r="QU691"/>
      <c r="QV691"/>
      <c r="QW691"/>
      <c r="QX691"/>
      <c r="QY691"/>
      <c r="QZ691"/>
      <c r="RA691"/>
      <c r="RB691"/>
      <c r="RC691"/>
      <c r="RD691"/>
      <c r="RE691"/>
      <c r="RF691"/>
      <c r="RG691"/>
      <c r="RH691"/>
      <c r="RI691"/>
      <c r="RJ691"/>
      <c r="RK691"/>
      <c r="RL691"/>
      <c r="RM691"/>
      <c r="RN691"/>
      <c r="RO691"/>
      <c r="RP691"/>
      <c r="RQ691"/>
      <c r="RR691"/>
      <c r="RS691"/>
      <c r="RT691"/>
      <c r="RU691"/>
      <c r="RV691"/>
      <c r="RW691"/>
      <c r="RX691"/>
      <c r="RY691"/>
      <c r="RZ691"/>
      <c r="SA691"/>
      <c r="SB691"/>
      <c r="SC691"/>
      <c r="SD691"/>
      <c r="SE691"/>
      <c r="SF691"/>
      <c r="SG691"/>
      <c r="SH691"/>
      <c r="SI691"/>
      <c r="SJ691"/>
      <c r="SK691"/>
      <c r="SL691"/>
      <c r="SM691"/>
      <c r="SN691"/>
      <c r="SO691"/>
      <c r="SP691"/>
      <c r="SQ691"/>
      <c r="SR691"/>
      <c r="SS691"/>
      <c r="ST691"/>
      <c r="SU691"/>
      <c r="SV691"/>
      <c r="SW691"/>
      <c r="SX691"/>
      <c r="SY691"/>
      <c r="SZ691"/>
      <c r="TA691"/>
      <c r="TB691"/>
      <c r="TC691"/>
      <c r="TD691"/>
      <c r="TE691"/>
      <c r="TF691"/>
      <c r="TG691"/>
      <c r="TH691"/>
      <c r="TI691"/>
      <c r="TJ691"/>
      <c r="TK691"/>
      <c r="TL691"/>
      <c r="TM691"/>
      <c r="TN691"/>
      <c r="TO691"/>
      <c r="TP691"/>
      <c r="TQ691"/>
      <c r="TR691"/>
      <c r="TS691"/>
      <c r="TT691"/>
      <c r="TU691"/>
      <c r="TV691"/>
      <c r="TW691"/>
      <c r="TX691"/>
      <c r="TY691"/>
      <c r="TZ691"/>
      <c r="UA691"/>
      <c r="UB691"/>
      <c r="UC691"/>
      <c r="UD691"/>
      <c r="UE691"/>
      <c r="UF691"/>
      <c r="UG691"/>
      <c r="UH691"/>
      <c r="UI691"/>
      <c r="UJ691"/>
      <c r="UK691"/>
      <c r="UL691"/>
      <c r="UM691"/>
      <c r="UN691"/>
      <c r="UO691"/>
      <c r="UP691"/>
      <c r="UQ691"/>
      <c r="UR691"/>
      <c r="US691"/>
      <c r="UT691"/>
      <c r="UU691"/>
      <c r="UV691"/>
      <c r="UW691"/>
      <c r="UX691"/>
      <c r="UY691"/>
      <c r="UZ691"/>
      <c r="VA691"/>
      <c r="VB691"/>
      <c r="VC691"/>
      <c r="VD691"/>
      <c r="VE691"/>
      <c r="VF691"/>
      <c r="VG691"/>
      <c r="VH691"/>
      <c r="VI691"/>
      <c r="VJ691"/>
      <c r="VK691"/>
      <c r="VL691"/>
      <c r="VM691"/>
      <c r="VN691"/>
      <c r="VO691"/>
      <c r="VP691"/>
      <c r="VQ691"/>
      <c r="VR691"/>
      <c r="VS691"/>
      <c r="VT691"/>
      <c r="VU691"/>
      <c r="VV691"/>
      <c r="VW691"/>
      <c r="VX691"/>
      <c r="VY691"/>
      <c r="VZ691"/>
      <c r="WA691"/>
      <c r="WB691"/>
      <c r="WC691"/>
      <c r="WD691"/>
      <c r="WE691"/>
      <c r="WF691"/>
      <c r="WG691"/>
      <c r="WH691"/>
      <c r="WI691"/>
      <c r="WJ691"/>
      <c r="WK691"/>
      <c r="WL691"/>
      <c r="WM691"/>
      <c r="WN691"/>
      <c r="WO691"/>
      <c r="WP691"/>
      <c r="WQ691"/>
      <c r="WR691"/>
      <c r="WS691"/>
      <c r="WT691"/>
      <c r="WU691"/>
      <c r="WV691"/>
      <c r="WW691"/>
      <c r="WX691"/>
      <c r="WY691"/>
      <c r="WZ691"/>
      <c r="XA691"/>
      <c r="XB691"/>
      <c r="XC691"/>
      <c r="XD691"/>
      <c r="XE691"/>
      <c r="XF691"/>
      <c r="XG691"/>
      <c r="XH691"/>
      <c r="XI691"/>
      <c r="XJ691"/>
      <c r="XK691"/>
      <c r="XL691"/>
      <c r="XM691"/>
      <c r="XN691"/>
      <c r="XO691"/>
      <c r="XP691"/>
      <c r="XQ691"/>
      <c r="XR691"/>
      <c r="XS691"/>
      <c r="XT691"/>
      <c r="XU691"/>
      <c r="XV691"/>
      <c r="XW691"/>
      <c r="XX691"/>
      <c r="XY691"/>
      <c r="XZ691"/>
      <c r="YA691"/>
      <c r="YB691"/>
      <c r="YC691"/>
      <c r="YD691"/>
      <c r="YE691"/>
      <c r="YF691"/>
      <c r="YG691"/>
      <c r="YH691"/>
      <c r="YI691"/>
      <c r="YJ691"/>
      <c r="YK691"/>
      <c r="YL691"/>
      <c r="YM691"/>
      <c r="YN691"/>
      <c r="YO691"/>
      <c r="YP691"/>
      <c r="YQ691"/>
      <c r="YR691"/>
      <c r="YS691"/>
      <c r="YT691"/>
      <c r="YU691"/>
      <c r="YV691"/>
      <c r="YW691"/>
      <c r="YX691"/>
      <c r="YY691"/>
      <c r="YZ691"/>
      <c r="ZA691"/>
      <c r="ZB691"/>
      <c r="ZC691"/>
      <c r="ZD691"/>
      <c r="ZE691"/>
      <c r="ZF691"/>
      <c r="ZG691"/>
      <c r="ZH691"/>
      <c r="ZI691"/>
      <c r="ZJ691"/>
      <c r="ZK691"/>
      <c r="ZL691"/>
      <c r="ZM691"/>
      <c r="ZN691"/>
      <c r="ZO691"/>
      <c r="ZP691"/>
      <c r="ZQ691"/>
      <c r="ZR691"/>
      <c r="ZS691"/>
      <c r="ZT691"/>
      <c r="ZU691"/>
      <c r="ZV691"/>
      <c r="ZW691"/>
      <c r="ZX691"/>
      <c r="ZY691"/>
      <c r="ZZ691"/>
      <c r="AAA691"/>
      <c r="AAB691"/>
      <c r="AAC691"/>
      <c r="AAD691"/>
      <c r="AAE691"/>
      <c r="AAF691"/>
      <c r="AAG691"/>
      <c r="AAH691"/>
      <c r="AAI691"/>
      <c r="AAJ691"/>
      <c r="AAK691"/>
      <c r="AAL691"/>
      <c r="AAM691"/>
      <c r="AAN691"/>
      <c r="AAO691"/>
      <c r="AAP691"/>
      <c r="AAQ691"/>
      <c r="AAR691"/>
      <c r="AAS691"/>
      <c r="AAT691"/>
      <c r="AAU691"/>
      <c r="AAV691"/>
      <c r="AAW691"/>
      <c r="AAX691"/>
      <c r="AAY691"/>
      <c r="AAZ691"/>
      <c r="ABA691"/>
      <c r="ABB691"/>
      <c r="ABC691"/>
      <c r="ABD691"/>
      <c r="ABE691"/>
      <c r="ABF691"/>
      <c r="ABG691"/>
      <c r="ABH691"/>
      <c r="ABI691"/>
      <c r="ABJ691"/>
      <c r="ABK691"/>
      <c r="ABL691"/>
      <c r="ABM691"/>
      <c r="ABN691"/>
      <c r="ABO691"/>
      <c r="ABP691"/>
      <c r="ABQ691"/>
      <c r="ABR691"/>
      <c r="ABS691"/>
      <c r="ABT691"/>
      <c r="ABU691"/>
      <c r="ABV691"/>
      <c r="ABW691"/>
      <c r="ABX691"/>
      <c r="ABY691"/>
      <c r="ABZ691"/>
      <c r="ACA691"/>
      <c r="ACB691"/>
      <c r="ACC691"/>
      <c r="ACD691"/>
      <c r="ACE691"/>
      <c r="ACF691"/>
      <c r="ACG691"/>
      <c r="ACH691"/>
      <c r="ACI691"/>
      <c r="ACJ691"/>
      <c r="ACK691"/>
      <c r="ACL691"/>
      <c r="ACM691"/>
      <c r="ACN691"/>
      <c r="ACO691"/>
      <c r="ACP691"/>
      <c r="ACQ691"/>
      <c r="ACR691"/>
      <c r="ACS691"/>
      <c r="ACT691"/>
      <c r="ACU691"/>
      <c r="ACV691"/>
      <c r="ACW691"/>
      <c r="ACX691"/>
      <c r="ACY691"/>
      <c r="ACZ691"/>
      <c r="ADA691"/>
      <c r="ADB691"/>
      <c r="ADC691"/>
      <c r="ADD691"/>
      <c r="ADE691"/>
      <c r="ADF691"/>
      <c r="ADG691"/>
      <c r="ADH691"/>
      <c r="ADI691"/>
      <c r="ADJ691"/>
      <c r="ADK691"/>
      <c r="ADL691"/>
      <c r="ADM691"/>
      <c r="ADN691"/>
      <c r="ADO691"/>
      <c r="ADP691"/>
      <c r="ADQ691"/>
      <c r="ADR691"/>
      <c r="ADS691"/>
      <c r="ADT691"/>
      <c r="ADU691"/>
      <c r="ADV691"/>
      <c r="ADW691"/>
      <c r="ADX691"/>
      <c r="ADY691"/>
      <c r="ADZ691"/>
      <c r="AEA691"/>
      <c r="AEB691"/>
      <c r="AEC691"/>
      <c r="AED691"/>
      <c r="AEE691"/>
      <c r="AEF691"/>
      <c r="AEG691"/>
      <c r="AEH691"/>
      <c r="AEI691"/>
      <c r="AEJ691"/>
      <c r="AEK691"/>
      <c r="AEL691"/>
      <c r="AEM691"/>
      <c r="AEN691"/>
      <c r="AEO691"/>
      <c r="AEP691"/>
      <c r="AEQ691"/>
      <c r="AER691"/>
      <c r="AES691"/>
      <c r="AET691"/>
      <c r="AEU691"/>
      <c r="AEV691"/>
      <c r="AEW691"/>
      <c r="AEX691"/>
      <c r="AEY691"/>
      <c r="AEZ691"/>
      <c r="AFA691"/>
      <c r="AFB691"/>
      <c r="AFC691"/>
      <c r="AFD691"/>
      <c r="AFE691"/>
      <c r="AFF691"/>
      <c r="AFG691"/>
      <c r="AFH691"/>
      <c r="AFI691"/>
      <c r="AFJ691"/>
      <c r="AFK691"/>
      <c r="AFL691"/>
      <c r="AFM691"/>
      <c r="AFN691"/>
      <c r="AFO691"/>
      <c r="AFP691"/>
      <c r="AFQ691"/>
      <c r="AFR691"/>
      <c r="AFS691"/>
      <c r="AFT691"/>
      <c r="AFU691"/>
      <c r="AFV691"/>
      <c r="AFW691"/>
      <c r="AFX691"/>
      <c r="AFY691"/>
      <c r="AFZ691"/>
      <c r="AGA691"/>
      <c r="AGB691"/>
      <c r="AGC691"/>
      <c r="AGD691"/>
      <c r="AGE691"/>
      <c r="AGF691"/>
      <c r="AGG691"/>
      <c r="AGH691"/>
      <c r="AGI691"/>
      <c r="AGJ691"/>
      <c r="AGK691"/>
      <c r="AGL691"/>
      <c r="AGM691"/>
      <c r="AGN691"/>
      <c r="AGO691"/>
      <c r="AGP691"/>
      <c r="AGQ691"/>
      <c r="AGR691"/>
      <c r="AGS691"/>
      <c r="AGT691"/>
      <c r="AGU691"/>
      <c r="AGV691"/>
      <c r="AGW691"/>
      <c r="AGX691"/>
      <c r="AGY691"/>
      <c r="AGZ691"/>
      <c r="AHA691"/>
      <c r="AHB691"/>
      <c r="AHC691"/>
      <c r="AHD691"/>
      <c r="AHE691"/>
      <c r="AHF691"/>
      <c r="AHG691"/>
      <c r="AHH691"/>
      <c r="AHI691"/>
      <c r="AHJ691"/>
      <c r="AHK691"/>
      <c r="AHL691"/>
      <c r="AHM691"/>
      <c r="AHN691"/>
      <c r="AHO691"/>
      <c r="AHP691"/>
      <c r="AHQ691"/>
      <c r="AHR691"/>
      <c r="AHS691"/>
      <c r="AHT691"/>
      <c r="AHU691"/>
      <c r="AHV691"/>
      <c r="AHW691"/>
      <c r="AHX691"/>
      <c r="AHY691"/>
      <c r="AHZ691"/>
      <c r="AIA691"/>
      <c r="AIB691"/>
      <c r="AIC691"/>
      <c r="AID691"/>
      <c r="AIE691"/>
      <c r="AIF691"/>
      <c r="AIG691"/>
      <c r="AIH691"/>
      <c r="AII691"/>
      <c r="AIJ691"/>
      <c r="AIK691"/>
      <c r="AIL691"/>
      <c r="AIM691"/>
      <c r="AIN691"/>
      <c r="AIO691"/>
      <c r="AIP691"/>
      <c r="AIQ691"/>
      <c r="AIR691"/>
      <c r="AIS691"/>
      <c r="AIT691"/>
      <c r="AIU691"/>
      <c r="AIV691"/>
      <c r="AIW691"/>
      <c r="AIX691"/>
      <c r="AIY691"/>
      <c r="AIZ691"/>
      <c r="AJA691"/>
      <c r="AJB691"/>
      <c r="AJC691"/>
      <c r="AJD691"/>
      <c r="AJE691"/>
      <c r="AJF691"/>
      <c r="AJG691"/>
      <c r="AJH691"/>
      <c r="AJI691"/>
      <c r="AJJ691"/>
      <c r="AJK691"/>
      <c r="AJL691"/>
      <c r="AJM691"/>
      <c r="AJN691"/>
      <c r="AJO691"/>
      <c r="AJP691"/>
      <c r="AJQ691"/>
      <c r="AJR691"/>
      <c r="AJS691"/>
      <c r="AJT691"/>
      <c r="AJU691"/>
      <c r="AJV691"/>
      <c r="AJW691"/>
      <c r="AJX691"/>
      <c r="AJY691"/>
      <c r="AJZ691"/>
      <c r="AKA691"/>
      <c r="AKB691"/>
      <c r="AKC691"/>
      <c r="AKD691"/>
      <c r="AKE691"/>
      <c r="AKF691"/>
      <c r="AKG691"/>
      <c r="AKH691"/>
      <c r="AKI691"/>
      <c r="AKJ691"/>
      <c r="AKK691"/>
      <c r="AKL691"/>
      <c r="AKM691"/>
      <c r="AKN691"/>
      <c r="AKO691"/>
      <c r="AKP691"/>
      <c r="AKQ691"/>
      <c r="AKR691"/>
      <c r="AKS691"/>
      <c r="AKT691"/>
      <c r="AKU691"/>
      <c r="AKV691"/>
      <c r="AKW691"/>
      <c r="AKX691"/>
      <c r="AKY691"/>
      <c r="AKZ691"/>
      <c r="ALA691"/>
      <c r="ALB691"/>
      <c r="ALC691"/>
      <c r="ALD691"/>
      <c r="ALE691"/>
      <c r="ALF691"/>
      <c r="ALG691"/>
      <c r="ALH691"/>
      <c r="ALI691"/>
      <c r="ALJ691"/>
      <c r="ALK691"/>
      <c r="ALL691"/>
      <c r="ALM691"/>
      <c r="ALN691"/>
      <c r="ALO691"/>
      <c r="ALP691"/>
      <c r="ALQ691"/>
      <c r="ALR691"/>
      <c r="ALS691"/>
      <c r="ALT691"/>
      <c r="ALU691"/>
      <c r="ALV691"/>
      <c r="ALW691"/>
      <c r="ALX691"/>
      <c r="ALY691"/>
      <c r="ALZ691"/>
      <c r="AMA691"/>
      <c r="AMB691"/>
      <c r="AMC691"/>
      <c r="AMD691"/>
      <c r="AME691"/>
      <c r="AMF691"/>
      <c r="AMG691"/>
      <c r="AMH691"/>
      <c r="AMI691"/>
      <c r="AMJ691"/>
      <c r="AMK691"/>
    </row>
    <row r="692" spans="1:1025">
      <c r="A692" s="153"/>
      <c r="B692" s="734" t="s">
        <v>3138</v>
      </c>
      <c r="C692" s="238" t="s">
        <v>3140</v>
      </c>
      <c r="D692" s="331"/>
      <c r="E692" s="331"/>
      <c r="F692" s="261"/>
      <c r="G692" s="153"/>
      <c r="H692" s="153"/>
      <c r="I692" s="20">
        <v>242387.16480000003</v>
      </c>
      <c r="J692" s="244">
        <f>H692+I692</f>
        <v>242387.16480000003</v>
      </c>
      <c r="K692" s="153"/>
      <c r="L692" s="735">
        <v>703820.50815999997</v>
      </c>
      <c r="M692" s="736">
        <f t="shared" si="58"/>
        <v>0.34438775510204089</v>
      </c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  <c r="FK692"/>
      <c r="FL692"/>
      <c r="FM692"/>
      <c r="FN692"/>
      <c r="FO692"/>
      <c r="FP692"/>
      <c r="FQ692"/>
      <c r="FR692"/>
      <c r="FS692"/>
      <c r="FT692"/>
      <c r="FU692"/>
      <c r="FV692"/>
      <c r="FW692"/>
      <c r="FX692"/>
      <c r="FY692"/>
      <c r="FZ692"/>
      <c r="GA692"/>
      <c r="GB692"/>
      <c r="GC692"/>
      <c r="GD692"/>
      <c r="GE692"/>
      <c r="GF692"/>
      <c r="GG692"/>
      <c r="GH692"/>
      <c r="GI692"/>
      <c r="GJ692"/>
      <c r="GK692"/>
      <c r="GL692"/>
      <c r="GM692"/>
      <c r="GN692"/>
      <c r="GO692"/>
      <c r="GP692"/>
      <c r="GQ692"/>
      <c r="GR692"/>
      <c r="GS692"/>
      <c r="GT692"/>
      <c r="GU692"/>
      <c r="GV692"/>
      <c r="GW692"/>
      <c r="GX692"/>
      <c r="GY692"/>
      <c r="GZ692"/>
      <c r="HA692"/>
      <c r="HB692"/>
      <c r="HC692"/>
      <c r="HD692"/>
      <c r="HE692"/>
      <c r="HF692"/>
      <c r="HG692"/>
      <c r="HH692"/>
      <c r="HI692"/>
      <c r="HJ692"/>
      <c r="HK692"/>
      <c r="HL692"/>
      <c r="HM692"/>
      <c r="HN692"/>
      <c r="HO692"/>
      <c r="HP692"/>
      <c r="HQ692"/>
      <c r="HR692"/>
      <c r="HS692"/>
      <c r="HT692"/>
      <c r="HU692"/>
      <c r="HV692"/>
      <c r="HW692"/>
      <c r="HX692"/>
      <c r="HY692"/>
      <c r="HZ692"/>
      <c r="IA692"/>
      <c r="IB692"/>
      <c r="IC692"/>
      <c r="ID692"/>
      <c r="IE692"/>
      <c r="IF692"/>
      <c r="IG692"/>
      <c r="IH692"/>
      <c r="II692"/>
      <c r="IJ692"/>
      <c r="IK692"/>
      <c r="IL692"/>
      <c r="IM692"/>
      <c r="IN692"/>
      <c r="IO692"/>
      <c r="IP692"/>
      <c r="IQ692"/>
      <c r="IR692"/>
      <c r="IS692"/>
      <c r="IT692"/>
      <c r="IU692"/>
      <c r="IV692"/>
      <c r="IW692"/>
      <c r="IX692"/>
      <c r="IY692"/>
      <c r="IZ692"/>
      <c r="JA692"/>
      <c r="JB692"/>
      <c r="JC692"/>
      <c r="JD692"/>
      <c r="JE692"/>
      <c r="JF692"/>
      <c r="JG692"/>
      <c r="JH692"/>
      <c r="JI692"/>
      <c r="JJ692"/>
      <c r="JK692"/>
      <c r="JL692"/>
      <c r="JM692"/>
      <c r="JN692"/>
      <c r="JO692"/>
      <c r="JP692"/>
      <c r="JQ692"/>
      <c r="JR692"/>
      <c r="JS692"/>
      <c r="JT692"/>
      <c r="JU692"/>
      <c r="JV692"/>
      <c r="JW692"/>
      <c r="JX692"/>
      <c r="JY692"/>
      <c r="JZ692"/>
      <c r="KA692"/>
      <c r="KB692"/>
      <c r="KC692"/>
      <c r="KD692"/>
      <c r="KE692"/>
      <c r="KF692"/>
      <c r="KG692"/>
      <c r="KH692"/>
      <c r="KI692"/>
      <c r="KJ692"/>
      <c r="KK692"/>
      <c r="KL692"/>
      <c r="KM692"/>
      <c r="KN692"/>
      <c r="KO692"/>
      <c r="KP692"/>
      <c r="KQ692"/>
      <c r="KR692"/>
      <c r="KS692"/>
      <c r="KT692"/>
      <c r="KU692"/>
      <c r="KV692"/>
      <c r="KW692"/>
      <c r="KX692"/>
      <c r="KY692"/>
      <c r="KZ692"/>
      <c r="LA692"/>
      <c r="LB692"/>
      <c r="LC692"/>
      <c r="LD692"/>
      <c r="LE692"/>
      <c r="LF692"/>
      <c r="LG692"/>
      <c r="LH692"/>
      <c r="LI692"/>
      <c r="LJ692"/>
      <c r="LK692"/>
      <c r="LL692"/>
      <c r="LM692"/>
      <c r="LN692"/>
      <c r="LO692"/>
      <c r="LP692"/>
      <c r="LQ692"/>
      <c r="LR692"/>
      <c r="LS692"/>
      <c r="LT692"/>
      <c r="LU692"/>
      <c r="LV692"/>
      <c r="LW692"/>
      <c r="LX692"/>
      <c r="LY692"/>
      <c r="LZ692"/>
      <c r="MA692"/>
      <c r="MB692"/>
      <c r="MC692"/>
      <c r="MD692"/>
      <c r="ME692"/>
      <c r="MF692"/>
      <c r="MG692"/>
      <c r="MH692"/>
      <c r="MI692"/>
      <c r="MJ692"/>
      <c r="MK692"/>
      <c r="ML692"/>
      <c r="MM692"/>
      <c r="MN692"/>
      <c r="MO692"/>
      <c r="MP692"/>
      <c r="MQ692"/>
      <c r="MR692"/>
      <c r="MS692"/>
      <c r="MT692"/>
      <c r="MU692"/>
      <c r="MV692"/>
      <c r="MW692"/>
      <c r="MX692"/>
      <c r="MY692"/>
      <c r="MZ692"/>
      <c r="NA692"/>
      <c r="NB692"/>
      <c r="NC692"/>
      <c r="ND692"/>
      <c r="NE692"/>
      <c r="NF692"/>
      <c r="NG692"/>
      <c r="NH692"/>
      <c r="NI692"/>
      <c r="NJ692"/>
      <c r="NK692"/>
      <c r="NL692"/>
      <c r="NM692"/>
      <c r="NN692"/>
      <c r="NO692"/>
      <c r="NP692"/>
      <c r="NQ692"/>
      <c r="NR692"/>
      <c r="NS692"/>
      <c r="NT692"/>
      <c r="NU692"/>
      <c r="NV692"/>
      <c r="NW692"/>
      <c r="NX692"/>
      <c r="NY692"/>
      <c r="NZ692"/>
      <c r="OA692"/>
      <c r="OB692"/>
      <c r="OC692"/>
      <c r="OD692"/>
      <c r="OE692"/>
      <c r="OF692"/>
      <c r="OG692"/>
      <c r="OH692"/>
      <c r="OI692"/>
      <c r="OJ692"/>
      <c r="OK692"/>
      <c r="OL692"/>
      <c r="OM692"/>
      <c r="ON692"/>
      <c r="OO692"/>
      <c r="OP692"/>
      <c r="OQ692"/>
      <c r="OR692"/>
      <c r="OS692"/>
      <c r="OT692"/>
      <c r="OU692"/>
      <c r="OV692"/>
      <c r="OW692"/>
      <c r="OX692"/>
      <c r="OY692"/>
      <c r="OZ692"/>
      <c r="PA692"/>
      <c r="PB692"/>
      <c r="PC692"/>
      <c r="PD692"/>
      <c r="PE692"/>
      <c r="PF692"/>
      <c r="PG692"/>
      <c r="PH692"/>
      <c r="PI692"/>
      <c r="PJ692"/>
      <c r="PK692"/>
      <c r="PL692"/>
      <c r="PM692"/>
      <c r="PN692"/>
      <c r="PO692"/>
      <c r="PP692"/>
      <c r="PQ692"/>
      <c r="PR692"/>
      <c r="PS692"/>
      <c r="PT692"/>
      <c r="PU692"/>
      <c r="PV692"/>
      <c r="PW692"/>
      <c r="PX692"/>
      <c r="PY692"/>
      <c r="PZ692"/>
      <c r="QA692"/>
      <c r="QB692"/>
      <c r="QC692"/>
      <c r="QD692"/>
      <c r="QE692"/>
      <c r="QF692"/>
      <c r="QG692"/>
      <c r="QH692"/>
      <c r="QI692"/>
      <c r="QJ692"/>
      <c r="QK692"/>
      <c r="QL692"/>
      <c r="QM692"/>
      <c r="QN692"/>
      <c r="QO692"/>
      <c r="QP692"/>
      <c r="QQ692"/>
      <c r="QR692"/>
      <c r="QS692"/>
      <c r="QT692"/>
      <c r="QU692"/>
      <c r="QV692"/>
      <c r="QW692"/>
      <c r="QX692"/>
      <c r="QY692"/>
      <c r="QZ692"/>
      <c r="RA692"/>
      <c r="RB692"/>
      <c r="RC692"/>
      <c r="RD692"/>
      <c r="RE692"/>
      <c r="RF692"/>
      <c r="RG692"/>
      <c r="RH692"/>
      <c r="RI692"/>
      <c r="RJ692"/>
      <c r="RK692"/>
      <c r="RL692"/>
      <c r="RM692"/>
      <c r="RN692"/>
      <c r="RO692"/>
      <c r="RP692"/>
      <c r="RQ692"/>
      <c r="RR692"/>
      <c r="RS692"/>
      <c r="RT692"/>
      <c r="RU692"/>
      <c r="RV692"/>
      <c r="RW692"/>
      <c r="RX692"/>
      <c r="RY692"/>
      <c r="RZ692"/>
      <c r="SA692"/>
      <c r="SB692"/>
      <c r="SC692"/>
      <c r="SD692"/>
      <c r="SE692"/>
      <c r="SF692"/>
      <c r="SG692"/>
      <c r="SH692"/>
      <c r="SI692"/>
      <c r="SJ692"/>
      <c r="SK692"/>
      <c r="SL692"/>
      <c r="SM692"/>
      <c r="SN692"/>
      <c r="SO692"/>
      <c r="SP692"/>
      <c r="SQ692"/>
      <c r="SR692"/>
      <c r="SS692"/>
      <c r="ST692"/>
      <c r="SU692"/>
      <c r="SV692"/>
      <c r="SW692"/>
      <c r="SX692"/>
      <c r="SY692"/>
      <c r="SZ692"/>
      <c r="TA692"/>
      <c r="TB692"/>
      <c r="TC692"/>
      <c r="TD692"/>
      <c r="TE692"/>
      <c r="TF692"/>
      <c r="TG692"/>
      <c r="TH692"/>
      <c r="TI692"/>
      <c r="TJ692"/>
      <c r="TK692"/>
      <c r="TL692"/>
      <c r="TM692"/>
      <c r="TN692"/>
      <c r="TO692"/>
      <c r="TP692"/>
      <c r="TQ692"/>
      <c r="TR692"/>
      <c r="TS692"/>
      <c r="TT692"/>
      <c r="TU692"/>
      <c r="TV692"/>
      <c r="TW692"/>
      <c r="TX692"/>
      <c r="TY692"/>
      <c r="TZ692"/>
      <c r="UA692"/>
      <c r="UB692"/>
      <c r="UC692"/>
      <c r="UD692"/>
      <c r="UE692"/>
      <c r="UF692"/>
      <c r="UG692"/>
      <c r="UH692"/>
      <c r="UI692"/>
      <c r="UJ692"/>
      <c r="UK692"/>
      <c r="UL692"/>
      <c r="UM692"/>
      <c r="UN692"/>
      <c r="UO692"/>
      <c r="UP692"/>
      <c r="UQ692"/>
      <c r="UR692"/>
      <c r="US692"/>
      <c r="UT692"/>
      <c r="UU692"/>
      <c r="UV692"/>
      <c r="UW692"/>
      <c r="UX692"/>
      <c r="UY692"/>
      <c r="UZ692"/>
      <c r="VA692"/>
      <c r="VB692"/>
      <c r="VC692"/>
      <c r="VD692"/>
      <c r="VE692"/>
      <c r="VF692"/>
      <c r="VG692"/>
      <c r="VH692"/>
      <c r="VI692"/>
      <c r="VJ692"/>
      <c r="VK692"/>
      <c r="VL692"/>
      <c r="VM692"/>
      <c r="VN692"/>
      <c r="VO692"/>
      <c r="VP692"/>
      <c r="VQ692"/>
      <c r="VR692"/>
      <c r="VS692"/>
      <c r="VT692"/>
      <c r="VU692"/>
      <c r="VV692"/>
      <c r="VW692"/>
      <c r="VX692"/>
      <c r="VY692"/>
      <c r="VZ692"/>
      <c r="WA692"/>
      <c r="WB692"/>
      <c r="WC692"/>
      <c r="WD692"/>
      <c r="WE692"/>
      <c r="WF692"/>
      <c r="WG692"/>
      <c r="WH692"/>
      <c r="WI692"/>
      <c r="WJ692"/>
      <c r="WK692"/>
      <c r="WL692"/>
      <c r="WM692"/>
      <c r="WN692"/>
      <c r="WO692"/>
      <c r="WP692"/>
      <c r="WQ692"/>
      <c r="WR692"/>
      <c r="WS692"/>
      <c r="WT692"/>
      <c r="WU692"/>
      <c r="WV692"/>
      <c r="WW692"/>
      <c r="WX692"/>
      <c r="WY692"/>
      <c r="WZ692"/>
      <c r="XA692"/>
      <c r="XB692"/>
      <c r="XC692"/>
      <c r="XD692"/>
      <c r="XE692"/>
      <c r="XF692"/>
      <c r="XG692"/>
      <c r="XH692"/>
      <c r="XI692"/>
      <c r="XJ692"/>
      <c r="XK692"/>
      <c r="XL692"/>
      <c r="XM692"/>
      <c r="XN692"/>
      <c r="XO692"/>
      <c r="XP692"/>
      <c r="XQ692"/>
      <c r="XR692"/>
      <c r="XS692"/>
      <c r="XT692"/>
      <c r="XU692"/>
      <c r="XV692"/>
      <c r="XW692"/>
      <c r="XX692"/>
      <c r="XY692"/>
      <c r="XZ692"/>
      <c r="YA692"/>
      <c r="YB692"/>
      <c r="YC692"/>
      <c r="YD692"/>
      <c r="YE692"/>
      <c r="YF692"/>
      <c r="YG692"/>
      <c r="YH692"/>
      <c r="YI692"/>
      <c r="YJ692"/>
      <c r="YK692"/>
      <c r="YL692"/>
      <c r="YM692"/>
      <c r="YN692"/>
      <c r="YO692"/>
      <c r="YP692"/>
      <c r="YQ692"/>
      <c r="YR692"/>
      <c r="YS692"/>
      <c r="YT692"/>
      <c r="YU692"/>
      <c r="YV692"/>
      <c r="YW692"/>
      <c r="YX692"/>
      <c r="YY692"/>
      <c r="YZ692"/>
      <c r="ZA692"/>
      <c r="ZB692"/>
      <c r="ZC692"/>
      <c r="ZD692"/>
      <c r="ZE692"/>
      <c r="ZF692"/>
      <c r="ZG692"/>
      <c r="ZH692"/>
      <c r="ZI692"/>
      <c r="ZJ692"/>
      <c r="ZK692"/>
      <c r="ZL692"/>
      <c r="ZM692"/>
      <c r="ZN692"/>
      <c r="ZO692"/>
      <c r="ZP692"/>
      <c r="ZQ692"/>
      <c r="ZR692"/>
      <c r="ZS692"/>
      <c r="ZT692"/>
      <c r="ZU692"/>
      <c r="ZV692"/>
      <c r="ZW692"/>
      <c r="ZX692"/>
      <c r="ZY692"/>
      <c r="ZZ692"/>
      <c r="AAA692"/>
      <c r="AAB692"/>
      <c r="AAC692"/>
      <c r="AAD692"/>
      <c r="AAE692"/>
      <c r="AAF692"/>
      <c r="AAG692"/>
      <c r="AAH692"/>
      <c r="AAI692"/>
      <c r="AAJ692"/>
      <c r="AAK692"/>
      <c r="AAL692"/>
      <c r="AAM692"/>
      <c r="AAN692"/>
      <c r="AAO692"/>
      <c r="AAP692"/>
      <c r="AAQ692"/>
      <c r="AAR692"/>
      <c r="AAS692"/>
      <c r="AAT692"/>
      <c r="AAU692"/>
      <c r="AAV692"/>
      <c r="AAW692"/>
      <c r="AAX692"/>
      <c r="AAY692"/>
      <c r="AAZ692"/>
      <c r="ABA692"/>
      <c r="ABB692"/>
      <c r="ABC692"/>
      <c r="ABD692"/>
      <c r="ABE692"/>
      <c r="ABF692"/>
      <c r="ABG692"/>
      <c r="ABH692"/>
      <c r="ABI692"/>
      <c r="ABJ692"/>
      <c r="ABK692"/>
      <c r="ABL692"/>
      <c r="ABM692"/>
      <c r="ABN692"/>
      <c r="ABO692"/>
      <c r="ABP692"/>
      <c r="ABQ692"/>
      <c r="ABR692"/>
      <c r="ABS692"/>
      <c r="ABT692"/>
      <c r="ABU692"/>
      <c r="ABV692"/>
      <c r="ABW692"/>
      <c r="ABX692"/>
      <c r="ABY692"/>
      <c r="ABZ692"/>
      <c r="ACA692"/>
      <c r="ACB692"/>
      <c r="ACC692"/>
      <c r="ACD692"/>
      <c r="ACE692"/>
      <c r="ACF692"/>
      <c r="ACG692"/>
      <c r="ACH692"/>
      <c r="ACI692"/>
      <c r="ACJ692"/>
      <c r="ACK692"/>
      <c r="ACL692"/>
      <c r="ACM692"/>
      <c r="ACN692"/>
      <c r="ACO692"/>
      <c r="ACP692"/>
      <c r="ACQ692"/>
      <c r="ACR692"/>
      <c r="ACS692"/>
      <c r="ACT692"/>
      <c r="ACU692"/>
      <c r="ACV692"/>
      <c r="ACW692"/>
      <c r="ACX692"/>
      <c r="ACY692"/>
      <c r="ACZ692"/>
      <c r="ADA692"/>
      <c r="ADB692"/>
      <c r="ADC692"/>
      <c r="ADD692"/>
      <c r="ADE692"/>
      <c r="ADF692"/>
      <c r="ADG692"/>
      <c r="ADH692"/>
      <c r="ADI692"/>
      <c r="ADJ692"/>
      <c r="ADK692"/>
      <c r="ADL692"/>
      <c r="ADM692"/>
      <c r="ADN692"/>
      <c r="ADO692"/>
      <c r="ADP692"/>
      <c r="ADQ692"/>
      <c r="ADR692"/>
      <c r="ADS692"/>
      <c r="ADT692"/>
      <c r="ADU692"/>
      <c r="ADV692"/>
      <c r="ADW692"/>
      <c r="ADX692"/>
      <c r="ADY692"/>
      <c r="ADZ692"/>
      <c r="AEA692"/>
      <c r="AEB692"/>
      <c r="AEC692"/>
      <c r="AED692"/>
      <c r="AEE692"/>
      <c r="AEF692"/>
      <c r="AEG692"/>
      <c r="AEH692"/>
      <c r="AEI692"/>
      <c r="AEJ692"/>
      <c r="AEK692"/>
      <c r="AEL692"/>
      <c r="AEM692"/>
      <c r="AEN692"/>
      <c r="AEO692"/>
      <c r="AEP692"/>
      <c r="AEQ692"/>
      <c r="AER692"/>
      <c r="AES692"/>
      <c r="AET692"/>
      <c r="AEU692"/>
      <c r="AEV692"/>
      <c r="AEW692"/>
      <c r="AEX692"/>
      <c r="AEY692"/>
      <c r="AEZ692"/>
      <c r="AFA692"/>
      <c r="AFB692"/>
      <c r="AFC692"/>
      <c r="AFD692"/>
      <c r="AFE692"/>
      <c r="AFF692"/>
      <c r="AFG692"/>
      <c r="AFH692"/>
      <c r="AFI692"/>
      <c r="AFJ692"/>
      <c r="AFK692"/>
      <c r="AFL692"/>
      <c r="AFM692"/>
      <c r="AFN692"/>
      <c r="AFO692"/>
      <c r="AFP692"/>
      <c r="AFQ692"/>
      <c r="AFR692"/>
      <c r="AFS692"/>
      <c r="AFT692"/>
      <c r="AFU692"/>
      <c r="AFV692"/>
      <c r="AFW692"/>
      <c r="AFX692"/>
      <c r="AFY692"/>
      <c r="AFZ692"/>
      <c r="AGA692"/>
      <c r="AGB692"/>
      <c r="AGC692"/>
      <c r="AGD692"/>
      <c r="AGE692"/>
      <c r="AGF692"/>
      <c r="AGG692"/>
      <c r="AGH692"/>
      <c r="AGI692"/>
      <c r="AGJ692"/>
      <c r="AGK692"/>
      <c r="AGL692"/>
      <c r="AGM692"/>
      <c r="AGN692"/>
      <c r="AGO692"/>
      <c r="AGP692"/>
      <c r="AGQ692"/>
      <c r="AGR692"/>
      <c r="AGS692"/>
      <c r="AGT692"/>
      <c r="AGU692"/>
      <c r="AGV692"/>
      <c r="AGW692"/>
      <c r="AGX692"/>
      <c r="AGY692"/>
      <c r="AGZ692"/>
      <c r="AHA692"/>
      <c r="AHB692"/>
      <c r="AHC692"/>
      <c r="AHD692"/>
      <c r="AHE692"/>
      <c r="AHF692"/>
      <c r="AHG692"/>
      <c r="AHH692"/>
      <c r="AHI692"/>
      <c r="AHJ692"/>
      <c r="AHK692"/>
      <c r="AHL692"/>
      <c r="AHM692"/>
      <c r="AHN692"/>
      <c r="AHO692"/>
      <c r="AHP692"/>
      <c r="AHQ692"/>
      <c r="AHR692"/>
      <c r="AHS692"/>
      <c r="AHT692"/>
      <c r="AHU692"/>
      <c r="AHV692"/>
      <c r="AHW692"/>
      <c r="AHX692"/>
      <c r="AHY692"/>
      <c r="AHZ692"/>
      <c r="AIA692"/>
      <c r="AIB692"/>
      <c r="AIC692"/>
      <c r="AID692"/>
      <c r="AIE692"/>
      <c r="AIF692"/>
      <c r="AIG692"/>
      <c r="AIH692"/>
      <c r="AII692"/>
      <c r="AIJ692"/>
      <c r="AIK692"/>
      <c r="AIL692"/>
      <c r="AIM692"/>
      <c r="AIN692"/>
      <c r="AIO692"/>
      <c r="AIP692"/>
      <c r="AIQ692"/>
      <c r="AIR692"/>
      <c r="AIS692"/>
      <c r="AIT692"/>
      <c r="AIU692"/>
      <c r="AIV692"/>
      <c r="AIW692"/>
      <c r="AIX692"/>
      <c r="AIY692"/>
      <c r="AIZ692"/>
      <c r="AJA692"/>
      <c r="AJB692"/>
      <c r="AJC692"/>
      <c r="AJD692"/>
      <c r="AJE692"/>
      <c r="AJF692"/>
      <c r="AJG692"/>
      <c r="AJH692"/>
      <c r="AJI692"/>
      <c r="AJJ692"/>
      <c r="AJK692"/>
      <c r="AJL692"/>
      <c r="AJM692"/>
      <c r="AJN692"/>
      <c r="AJO692"/>
      <c r="AJP692"/>
      <c r="AJQ692"/>
      <c r="AJR692"/>
      <c r="AJS692"/>
      <c r="AJT692"/>
      <c r="AJU692"/>
      <c r="AJV692"/>
      <c r="AJW692"/>
      <c r="AJX692"/>
      <c r="AJY692"/>
      <c r="AJZ692"/>
      <c r="AKA692"/>
      <c r="AKB692"/>
      <c r="AKC692"/>
      <c r="AKD692"/>
      <c r="AKE692"/>
      <c r="AKF692"/>
      <c r="AKG692"/>
      <c r="AKH692"/>
      <c r="AKI692"/>
      <c r="AKJ692"/>
      <c r="AKK692"/>
      <c r="AKL692"/>
      <c r="AKM692"/>
      <c r="AKN692"/>
      <c r="AKO692"/>
      <c r="AKP692"/>
      <c r="AKQ692"/>
      <c r="AKR692"/>
      <c r="AKS692"/>
      <c r="AKT692"/>
      <c r="AKU692"/>
      <c r="AKV692"/>
      <c r="AKW692"/>
      <c r="AKX692"/>
      <c r="AKY692"/>
      <c r="AKZ692"/>
      <c r="ALA692"/>
      <c r="ALB692"/>
      <c r="ALC692"/>
      <c r="ALD692"/>
      <c r="ALE692"/>
      <c r="ALF692"/>
      <c r="ALG692"/>
      <c r="ALH692"/>
      <c r="ALI692"/>
      <c r="ALJ692"/>
      <c r="ALK692"/>
      <c r="ALL692"/>
      <c r="ALM692"/>
      <c r="ALN692"/>
      <c r="ALO692"/>
      <c r="ALP692"/>
      <c r="ALQ692"/>
      <c r="ALR692"/>
      <c r="ALS692"/>
      <c r="ALT692"/>
      <c r="ALU692"/>
      <c r="ALV692"/>
      <c r="ALW692"/>
      <c r="ALX692"/>
      <c r="ALY692"/>
      <c r="ALZ692"/>
      <c r="AMA692"/>
      <c r="AMB692"/>
      <c r="AMC692"/>
      <c r="AMD692"/>
      <c r="AME692"/>
      <c r="AMF692"/>
      <c r="AMG692"/>
      <c r="AMH692"/>
      <c r="AMI692"/>
      <c r="AMJ692"/>
      <c r="AMK692"/>
    </row>
    <row r="693" spans="1:1025">
      <c r="A693" s="241"/>
      <c r="B693" s="734" t="s">
        <v>1511</v>
      </c>
      <c r="C693" s="238" t="s">
        <v>3139</v>
      </c>
      <c r="D693" s="331"/>
      <c r="E693" s="331"/>
      <c r="F693" s="261"/>
      <c r="G693" s="241"/>
      <c r="H693" s="241"/>
      <c r="I693" s="20">
        <v>188523.3504</v>
      </c>
      <c r="J693" s="244">
        <f>H693+I693</f>
        <v>188523.3504</v>
      </c>
      <c r="K693" s="241"/>
      <c r="L693" s="735"/>
      <c r="M693" s="736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  <c r="FK693"/>
      <c r="FL693"/>
      <c r="FM693"/>
      <c r="FN693"/>
      <c r="FO693"/>
      <c r="FP693"/>
      <c r="FQ693"/>
      <c r="FR693"/>
      <c r="FS693"/>
      <c r="FT693"/>
      <c r="FU693"/>
      <c r="FV693"/>
      <c r="FW693"/>
      <c r="FX693"/>
      <c r="FY693"/>
      <c r="FZ693"/>
      <c r="GA693"/>
      <c r="GB693"/>
      <c r="GC693"/>
      <c r="GD693"/>
      <c r="GE693"/>
      <c r="GF693"/>
      <c r="GG693"/>
      <c r="GH693"/>
      <c r="GI693"/>
      <c r="GJ693"/>
      <c r="GK693"/>
      <c r="GL693"/>
      <c r="GM693"/>
      <c r="GN693"/>
      <c r="GO693"/>
      <c r="GP693"/>
      <c r="GQ693"/>
      <c r="GR693"/>
      <c r="GS693"/>
      <c r="GT693"/>
      <c r="GU693"/>
      <c r="GV693"/>
      <c r="GW693"/>
      <c r="GX693"/>
      <c r="GY693"/>
      <c r="GZ693"/>
      <c r="HA693"/>
      <c r="HB693"/>
      <c r="HC693"/>
      <c r="HD693"/>
      <c r="HE693"/>
      <c r="HF693"/>
      <c r="HG693"/>
      <c r="HH693"/>
      <c r="HI693"/>
      <c r="HJ693"/>
      <c r="HK693"/>
      <c r="HL693"/>
      <c r="HM693"/>
      <c r="HN693"/>
      <c r="HO693"/>
      <c r="HP693"/>
      <c r="HQ693"/>
      <c r="HR693"/>
      <c r="HS693"/>
      <c r="HT693"/>
      <c r="HU693"/>
      <c r="HV693"/>
      <c r="HW693"/>
      <c r="HX693"/>
      <c r="HY693"/>
      <c r="HZ693"/>
      <c r="IA693"/>
      <c r="IB693"/>
      <c r="IC693"/>
      <c r="ID693"/>
      <c r="IE693"/>
      <c r="IF693"/>
      <c r="IG693"/>
      <c r="IH693"/>
      <c r="II693"/>
      <c r="IJ693"/>
      <c r="IK693"/>
      <c r="IL693"/>
      <c r="IM693"/>
      <c r="IN693"/>
      <c r="IO693"/>
      <c r="IP693"/>
      <c r="IQ693"/>
      <c r="IR693"/>
      <c r="IS693"/>
      <c r="IT693"/>
      <c r="IU693"/>
      <c r="IV693"/>
      <c r="IW693"/>
      <c r="IX693"/>
      <c r="IY693"/>
      <c r="IZ693"/>
      <c r="JA693"/>
      <c r="JB693"/>
      <c r="JC693"/>
      <c r="JD693"/>
      <c r="JE693"/>
      <c r="JF693"/>
      <c r="JG693"/>
      <c r="JH693"/>
      <c r="JI693"/>
      <c r="JJ693"/>
      <c r="JK693"/>
      <c r="JL693"/>
      <c r="JM693"/>
      <c r="JN693"/>
      <c r="JO693"/>
      <c r="JP693"/>
      <c r="JQ693"/>
      <c r="JR693"/>
      <c r="JS693"/>
      <c r="JT693"/>
      <c r="JU693"/>
      <c r="JV693"/>
      <c r="JW693"/>
      <c r="JX693"/>
      <c r="JY693"/>
      <c r="JZ693"/>
      <c r="KA693"/>
      <c r="KB693"/>
      <c r="KC693"/>
      <c r="KD693"/>
      <c r="KE693"/>
      <c r="KF693"/>
      <c r="KG693"/>
      <c r="KH693"/>
      <c r="KI693"/>
      <c r="KJ693"/>
      <c r="KK693"/>
      <c r="KL693"/>
      <c r="KM693"/>
      <c r="KN693"/>
      <c r="KO693"/>
      <c r="KP693"/>
      <c r="KQ693"/>
      <c r="KR693"/>
      <c r="KS693"/>
      <c r="KT693"/>
      <c r="KU693"/>
      <c r="KV693"/>
      <c r="KW693"/>
      <c r="KX693"/>
      <c r="KY693"/>
      <c r="KZ693"/>
      <c r="LA693"/>
      <c r="LB693"/>
      <c r="LC693"/>
      <c r="LD693"/>
      <c r="LE693"/>
      <c r="LF693"/>
      <c r="LG693"/>
      <c r="LH693"/>
      <c r="LI693"/>
      <c r="LJ693"/>
      <c r="LK693"/>
      <c r="LL693"/>
      <c r="LM693"/>
      <c r="LN693"/>
      <c r="LO693"/>
      <c r="LP693"/>
      <c r="LQ693"/>
      <c r="LR693"/>
      <c r="LS693"/>
      <c r="LT693"/>
      <c r="LU693"/>
      <c r="LV693"/>
      <c r="LW693"/>
      <c r="LX693"/>
      <c r="LY693"/>
      <c r="LZ693"/>
      <c r="MA693"/>
      <c r="MB693"/>
      <c r="MC693"/>
      <c r="MD693"/>
      <c r="ME693"/>
      <c r="MF693"/>
      <c r="MG693"/>
      <c r="MH693"/>
      <c r="MI693"/>
      <c r="MJ693"/>
      <c r="MK693"/>
      <c r="ML693"/>
      <c r="MM693"/>
      <c r="MN693"/>
      <c r="MO693"/>
      <c r="MP693"/>
      <c r="MQ693"/>
      <c r="MR693"/>
      <c r="MS693"/>
      <c r="MT693"/>
      <c r="MU693"/>
      <c r="MV693"/>
      <c r="MW693"/>
      <c r="MX693"/>
      <c r="MY693"/>
      <c r="MZ693"/>
      <c r="NA693"/>
      <c r="NB693"/>
      <c r="NC693"/>
      <c r="ND693"/>
      <c r="NE693"/>
      <c r="NF693"/>
      <c r="NG693"/>
      <c r="NH693"/>
      <c r="NI693"/>
      <c r="NJ693"/>
      <c r="NK693"/>
      <c r="NL693"/>
      <c r="NM693"/>
      <c r="NN693"/>
      <c r="NO693"/>
      <c r="NP693"/>
      <c r="NQ693"/>
      <c r="NR693"/>
      <c r="NS693"/>
      <c r="NT693"/>
      <c r="NU693"/>
      <c r="NV693"/>
      <c r="NW693"/>
      <c r="NX693"/>
      <c r="NY693"/>
      <c r="NZ693"/>
      <c r="OA693"/>
      <c r="OB693"/>
      <c r="OC693"/>
      <c r="OD693"/>
      <c r="OE693"/>
      <c r="OF693"/>
      <c r="OG693"/>
      <c r="OH693"/>
      <c r="OI693"/>
      <c r="OJ693"/>
      <c r="OK693"/>
      <c r="OL693"/>
      <c r="OM693"/>
      <c r="ON693"/>
      <c r="OO693"/>
      <c r="OP693"/>
      <c r="OQ693"/>
      <c r="OR693"/>
      <c r="OS693"/>
      <c r="OT693"/>
      <c r="OU693"/>
      <c r="OV693"/>
      <c r="OW693"/>
      <c r="OX693"/>
      <c r="OY693"/>
      <c r="OZ693"/>
      <c r="PA693"/>
      <c r="PB693"/>
      <c r="PC693"/>
      <c r="PD693"/>
      <c r="PE693"/>
      <c r="PF693"/>
      <c r="PG693"/>
      <c r="PH693"/>
      <c r="PI693"/>
      <c r="PJ693"/>
      <c r="PK693"/>
      <c r="PL693"/>
      <c r="PM693"/>
      <c r="PN693"/>
      <c r="PO693"/>
      <c r="PP693"/>
      <c r="PQ693"/>
      <c r="PR693"/>
      <c r="PS693"/>
      <c r="PT693"/>
      <c r="PU693"/>
      <c r="PV693"/>
      <c r="PW693"/>
      <c r="PX693"/>
      <c r="PY693"/>
      <c r="PZ693"/>
      <c r="QA693"/>
      <c r="QB693"/>
      <c r="QC693"/>
      <c r="QD693"/>
      <c r="QE693"/>
      <c r="QF693"/>
      <c r="QG693"/>
      <c r="QH693"/>
      <c r="QI693"/>
      <c r="QJ693"/>
      <c r="QK693"/>
      <c r="QL693"/>
      <c r="QM693"/>
      <c r="QN693"/>
      <c r="QO693"/>
      <c r="QP693"/>
      <c r="QQ693"/>
      <c r="QR693"/>
      <c r="QS693"/>
      <c r="QT693"/>
      <c r="QU693"/>
      <c r="QV693"/>
      <c r="QW693"/>
      <c r="QX693"/>
      <c r="QY693"/>
      <c r="QZ693"/>
      <c r="RA693"/>
      <c r="RB693"/>
      <c r="RC693"/>
      <c r="RD693"/>
      <c r="RE693"/>
      <c r="RF693"/>
      <c r="RG693"/>
      <c r="RH693"/>
      <c r="RI693"/>
      <c r="RJ693"/>
      <c r="RK693"/>
      <c r="RL693"/>
      <c r="RM693"/>
      <c r="RN693"/>
      <c r="RO693"/>
      <c r="RP693"/>
      <c r="RQ693"/>
      <c r="RR693"/>
      <c r="RS693"/>
      <c r="RT693"/>
      <c r="RU693"/>
      <c r="RV693"/>
      <c r="RW693"/>
      <c r="RX693"/>
      <c r="RY693"/>
      <c r="RZ693"/>
      <c r="SA693"/>
      <c r="SB693"/>
      <c r="SC693"/>
      <c r="SD693"/>
      <c r="SE693"/>
      <c r="SF693"/>
      <c r="SG693"/>
      <c r="SH693"/>
      <c r="SI693"/>
      <c r="SJ693"/>
      <c r="SK693"/>
      <c r="SL693"/>
      <c r="SM693"/>
      <c r="SN693"/>
      <c r="SO693"/>
      <c r="SP693"/>
      <c r="SQ693"/>
      <c r="SR693"/>
      <c r="SS693"/>
      <c r="ST693"/>
      <c r="SU693"/>
      <c r="SV693"/>
      <c r="SW693"/>
      <c r="SX693"/>
      <c r="SY693"/>
      <c r="SZ693"/>
      <c r="TA693"/>
      <c r="TB693"/>
      <c r="TC693"/>
      <c r="TD693"/>
      <c r="TE693"/>
      <c r="TF693"/>
      <c r="TG693"/>
      <c r="TH693"/>
      <c r="TI693"/>
      <c r="TJ693"/>
      <c r="TK693"/>
      <c r="TL693"/>
      <c r="TM693"/>
      <c r="TN693"/>
      <c r="TO693"/>
      <c r="TP693"/>
      <c r="TQ693"/>
      <c r="TR693"/>
      <c r="TS693"/>
      <c r="TT693"/>
      <c r="TU693"/>
      <c r="TV693"/>
      <c r="TW693"/>
      <c r="TX693"/>
      <c r="TY693"/>
      <c r="TZ693"/>
      <c r="UA693"/>
      <c r="UB693"/>
      <c r="UC693"/>
      <c r="UD693"/>
      <c r="UE693"/>
      <c r="UF693"/>
      <c r="UG693"/>
      <c r="UH693"/>
      <c r="UI693"/>
      <c r="UJ693"/>
      <c r="UK693"/>
      <c r="UL693"/>
      <c r="UM693"/>
      <c r="UN693"/>
      <c r="UO693"/>
      <c r="UP693"/>
      <c r="UQ693"/>
      <c r="UR693"/>
      <c r="US693"/>
      <c r="UT693"/>
      <c r="UU693"/>
      <c r="UV693"/>
      <c r="UW693"/>
      <c r="UX693"/>
      <c r="UY693"/>
      <c r="UZ693"/>
      <c r="VA693"/>
      <c r="VB693"/>
      <c r="VC693"/>
      <c r="VD693"/>
      <c r="VE693"/>
      <c r="VF693"/>
      <c r="VG693"/>
      <c r="VH693"/>
      <c r="VI693"/>
      <c r="VJ693"/>
      <c r="VK693"/>
      <c r="VL693"/>
      <c r="VM693"/>
      <c r="VN693"/>
      <c r="VO693"/>
      <c r="VP693"/>
      <c r="VQ693"/>
      <c r="VR693"/>
      <c r="VS693"/>
      <c r="VT693"/>
      <c r="VU693"/>
      <c r="VV693"/>
      <c r="VW693"/>
      <c r="VX693"/>
      <c r="VY693"/>
      <c r="VZ693"/>
      <c r="WA693"/>
      <c r="WB693"/>
      <c r="WC693"/>
      <c r="WD693"/>
      <c r="WE693"/>
      <c r="WF693"/>
      <c r="WG693"/>
      <c r="WH693"/>
      <c r="WI693"/>
      <c r="WJ693"/>
      <c r="WK693"/>
      <c r="WL693"/>
      <c r="WM693"/>
      <c r="WN693"/>
      <c r="WO693"/>
      <c r="WP693"/>
      <c r="WQ693"/>
      <c r="WR693"/>
      <c r="WS693"/>
      <c r="WT693"/>
      <c r="WU693"/>
      <c r="WV693"/>
      <c r="WW693"/>
      <c r="WX693"/>
      <c r="WY693"/>
      <c r="WZ693"/>
      <c r="XA693"/>
      <c r="XB693"/>
      <c r="XC693"/>
      <c r="XD693"/>
      <c r="XE693"/>
      <c r="XF693"/>
      <c r="XG693"/>
      <c r="XH693"/>
      <c r="XI693"/>
      <c r="XJ693"/>
      <c r="XK693"/>
      <c r="XL693"/>
      <c r="XM693"/>
      <c r="XN693"/>
      <c r="XO693"/>
      <c r="XP693"/>
      <c r="XQ693"/>
      <c r="XR693"/>
      <c r="XS693"/>
      <c r="XT693"/>
      <c r="XU693"/>
      <c r="XV693"/>
      <c r="XW693"/>
      <c r="XX693"/>
      <c r="XY693"/>
      <c r="XZ693"/>
      <c r="YA693"/>
      <c r="YB693"/>
      <c r="YC693"/>
      <c r="YD693"/>
      <c r="YE693"/>
      <c r="YF693"/>
      <c r="YG693"/>
      <c r="YH693"/>
      <c r="YI693"/>
      <c r="YJ693"/>
      <c r="YK693"/>
      <c r="YL693"/>
      <c r="YM693"/>
      <c r="YN693"/>
      <c r="YO693"/>
      <c r="YP693"/>
      <c r="YQ693"/>
      <c r="YR693"/>
      <c r="YS693"/>
      <c r="YT693"/>
      <c r="YU693"/>
      <c r="YV693"/>
      <c r="YW693"/>
      <c r="YX693"/>
      <c r="YY693"/>
      <c r="YZ693"/>
      <c r="ZA693"/>
      <c r="ZB693"/>
      <c r="ZC693"/>
      <c r="ZD693"/>
      <c r="ZE693"/>
      <c r="ZF693"/>
      <c r="ZG693"/>
      <c r="ZH693"/>
      <c r="ZI693"/>
      <c r="ZJ693"/>
      <c r="ZK693"/>
      <c r="ZL693"/>
      <c r="ZM693"/>
      <c r="ZN693"/>
      <c r="ZO693"/>
      <c r="ZP693"/>
      <c r="ZQ693"/>
      <c r="ZR693"/>
      <c r="ZS693"/>
      <c r="ZT693"/>
      <c r="ZU693"/>
      <c r="ZV693"/>
      <c r="ZW693"/>
      <c r="ZX693"/>
      <c r="ZY693"/>
      <c r="ZZ693"/>
      <c r="AAA693"/>
      <c r="AAB693"/>
      <c r="AAC693"/>
      <c r="AAD693"/>
      <c r="AAE693"/>
      <c r="AAF693"/>
      <c r="AAG693"/>
      <c r="AAH693"/>
      <c r="AAI693"/>
      <c r="AAJ693"/>
      <c r="AAK693"/>
      <c r="AAL693"/>
      <c r="AAM693"/>
      <c r="AAN693"/>
      <c r="AAO693"/>
      <c r="AAP693"/>
      <c r="AAQ693"/>
      <c r="AAR693"/>
      <c r="AAS693"/>
      <c r="AAT693"/>
      <c r="AAU693"/>
      <c r="AAV693"/>
      <c r="AAW693"/>
      <c r="AAX693"/>
      <c r="AAY693"/>
      <c r="AAZ693"/>
      <c r="ABA693"/>
      <c r="ABB693"/>
      <c r="ABC693"/>
      <c r="ABD693"/>
      <c r="ABE693"/>
      <c r="ABF693"/>
      <c r="ABG693"/>
      <c r="ABH693"/>
      <c r="ABI693"/>
      <c r="ABJ693"/>
      <c r="ABK693"/>
      <c r="ABL693"/>
      <c r="ABM693"/>
      <c r="ABN693"/>
      <c r="ABO693"/>
      <c r="ABP693"/>
      <c r="ABQ693"/>
      <c r="ABR693"/>
      <c r="ABS693"/>
      <c r="ABT693"/>
      <c r="ABU693"/>
      <c r="ABV693"/>
      <c r="ABW693"/>
      <c r="ABX693"/>
      <c r="ABY693"/>
      <c r="ABZ693"/>
      <c r="ACA693"/>
      <c r="ACB693"/>
      <c r="ACC693"/>
      <c r="ACD693"/>
      <c r="ACE693"/>
      <c r="ACF693"/>
      <c r="ACG693"/>
      <c r="ACH693"/>
      <c r="ACI693"/>
      <c r="ACJ693"/>
      <c r="ACK693"/>
      <c r="ACL693"/>
      <c r="ACM693"/>
      <c r="ACN693"/>
      <c r="ACO693"/>
      <c r="ACP693"/>
      <c r="ACQ693"/>
      <c r="ACR693"/>
      <c r="ACS693"/>
      <c r="ACT693"/>
      <c r="ACU693"/>
      <c r="ACV693"/>
      <c r="ACW693"/>
      <c r="ACX693"/>
      <c r="ACY693"/>
      <c r="ACZ693"/>
      <c r="ADA693"/>
      <c r="ADB693"/>
      <c r="ADC693"/>
      <c r="ADD693"/>
      <c r="ADE693"/>
      <c r="ADF693"/>
      <c r="ADG693"/>
      <c r="ADH693"/>
      <c r="ADI693"/>
      <c r="ADJ693"/>
      <c r="ADK693"/>
      <c r="ADL693"/>
      <c r="ADM693"/>
      <c r="ADN693"/>
      <c r="ADO693"/>
      <c r="ADP693"/>
      <c r="ADQ693"/>
      <c r="ADR693"/>
      <c r="ADS693"/>
      <c r="ADT693"/>
      <c r="ADU693"/>
      <c r="ADV693"/>
      <c r="ADW693"/>
      <c r="ADX693"/>
      <c r="ADY693"/>
      <c r="ADZ693"/>
      <c r="AEA693"/>
      <c r="AEB693"/>
      <c r="AEC693"/>
      <c r="AED693"/>
      <c r="AEE693"/>
      <c r="AEF693"/>
      <c r="AEG693"/>
      <c r="AEH693"/>
      <c r="AEI693"/>
      <c r="AEJ693"/>
      <c r="AEK693"/>
      <c r="AEL693"/>
      <c r="AEM693"/>
      <c r="AEN693"/>
      <c r="AEO693"/>
      <c r="AEP693"/>
      <c r="AEQ693"/>
      <c r="AER693"/>
      <c r="AES693"/>
      <c r="AET693"/>
      <c r="AEU693"/>
      <c r="AEV693"/>
      <c r="AEW693"/>
      <c r="AEX693"/>
      <c r="AEY693"/>
      <c r="AEZ693"/>
      <c r="AFA693"/>
      <c r="AFB693"/>
      <c r="AFC693"/>
      <c r="AFD693"/>
      <c r="AFE693"/>
      <c r="AFF693"/>
      <c r="AFG693"/>
      <c r="AFH693"/>
      <c r="AFI693"/>
      <c r="AFJ693"/>
      <c r="AFK693"/>
      <c r="AFL693"/>
      <c r="AFM693"/>
      <c r="AFN693"/>
      <c r="AFO693"/>
      <c r="AFP693"/>
      <c r="AFQ693"/>
      <c r="AFR693"/>
      <c r="AFS693"/>
      <c r="AFT693"/>
      <c r="AFU693"/>
      <c r="AFV693"/>
      <c r="AFW693"/>
      <c r="AFX693"/>
      <c r="AFY693"/>
      <c r="AFZ693"/>
      <c r="AGA693"/>
      <c r="AGB693"/>
      <c r="AGC693"/>
      <c r="AGD693"/>
      <c r="AGE693"/>
      <c r="AGF693"/>
      <c r="AGG693"/>
      <c r="AGH693"/>
      <c r="AGI693"/>
      <c r="AGJ693"/>
      <c r="AGK693"/>
      <c r="AGL693"/>
      <c r="AGM693"/>
      <c r="AGN693"/>
      <c r="AGO693"/>
      <c r="AGP693"/>
      <c r="AGQ693"/>
      <c r="AGR693"/>
      <c r="AGS693"/>
      <c r="AGT693"/>
      <c r="AGU693"/>
      <c r="AGV693"/>
      <c r="AGW693"/>
      <c r="AGX693"/>
      <c r="AGY693"/>
      <c r="AGZ693"/>
      <c r="AHA693"/>
      <c r="AHB693"/>
      <c r="AHC693"/>
      <c r="AHD693"/>
      <c r="AHE693"/>
      <c r="AHF693"/>
      <c r="AHG693"/>
      <c r="AHH693"/>
      <c r="AHI693"/>
      <c r="AHJ693"/>
      <c r="AHK693"/>
      <c r="AHL693"/>
      <c r="AHM693"/>
      <c r="AHN693"/>
      <c r="AHO693"/>
      <c r="AHP693"/>
      <c r="AHQ693"/>
      <c r="AHR693"/>
      <c r="AHS693"/>
      <c r="AHT693"/>
      <c r="AHU693"/>
      <c r="AHV693"/>
      <c r="AHW693"/>
      <c r="AHX693"/>
      <c r="AHY693"/>
      <c r="AHZ693"/>
      <c r="AIA693"/>
      <c r="AIB693"/>
      <c r="AIC693"/>
      <c r="AID693"/>
      <c r="AIE693"/>
      <c r="AIF693"/>
      <c r="AIG693"/>
      <c r="AIH693"/>
      <c r="AII693"/>
      <c r="AIJ693"/>
      <c r="AIK693"/>
      <c r="AIL693"/>
      <c r="AIM693"/>
      <c r="AIN693"/>
      <c r="AIO693"/>
      <c r="AIP693"/>
      <c r="AIQ693"/>
      <c r="AIR693"/>
      <c r="AIS693"/>
      <c r="AIT693"/>
      <c r="AIU693"/>
      <c r="AIV693"/>
      <c r="AIW693"/>
      <c r="AIX693"/>
      <c r="AIY693"/>
      <c r="AIZ693"/>
      <c r="AJA693"/>
      <c r="AJB693"/>
      <c r="AJC693"/>
      <c r="AJD693"/>
      <c r="AJE693"/>
      <c r="AJF693"/>
      <c r="AJG693"/>
      <c r="AJH693"/>
      <c r="AJI693"/>
      <c r="AJJ693"/>
      <c r="AJK693"/>
      <c r="AJL693"/>
      <c r="AJM693"/>
      <c r="AJN693"/>
      <c r="AJO693"/>
      <c r="AJP693"/>
      <c r="AJQ693"/>
      <c r="AJR693"/>
      <c r="AJS693"/>
      <c r="AJT693"/>
      <c r="AJU693"/>
      <c r="AJV693"/>
      <c r="AJW693"/>
      <c r="AJX693"/>
      <c r="AJY693"/>
      <c r="AJZ693"/>
      <c r="AKA693"/>
      <c r="AKB693"/>
      <c r="AKC693"/>
      <c r="AKD693"/>
      <c r="AKE693"/>
      <c r="AKF693"/>
      <c r="AKG693"/>
      <c r="AKH693"/>
      <c r="AKI693"/>
      <c r="AKJ693"/>
      <c r="AKK693"/>
      <c r="AKL693"/>
      <c r="AKM693"/>
      <c r="AKN693"/>
      <c r="AKO693"/>
      <c r="AKP693"/>
      <c r="AKQ693"/>
      <c r="AKR693"/>
      <c r="AKS693"/>
      <c r="AKT693"/>
      <c r="AKU693"/>
      <c r="AKV693"/>
      <c r="AKW693"/>
      <c r="AKX693"/>
      <c r="AKY693"/>
      <c r="AKZ693"/>
      <c r="ALA693"/>
      <c r="ALB693"/>
      <c r="ALC693"/>
      <c r="ALD693"/>
      <c r="ALE693"/>
      <c r="ALF693"/>
      <c r="ALG693"/>
      <c r="ALH693"/>
      <c r="ALI693"/>
      <c r="ALJ693"/>
      <c r="ALK693"/>
      <c r="ALL693"/>
      <c r="ALM693"/>
      <c r="ALN693"/>
      <c r="ALO693"/>
      <c r="ALP693"/>
      <c r="ALQ693"/>
      <c r="ALR693"/>
      <c r="ALS693"/>
      <c r="ALT693"/>
      <c r="ALU693"/>
      <c r="ALV693"/>
      <c r="ALW693"/>
      <c r="ALX693"/>
      <c r="ALY693"/>
      <c r="ALZ693"/>
      <c r="AMA693"/>
      <c r="AMB693"/>
      <c r="AMC693"/>
      <c r="AMD693"/>
      <c r="AME693"/>
      <c r="AMF693"/>
      <c r="AMG693"/>
      <c r="AMH693"/>
      <c r="AMI693"/>
      <c r="AMJ693"/>
      <c r="AMK693"/>
    </row>
    <row r="694" spans="1:1025">
      <c r="A694" s="153"/>
      <c r="B694" s="734"/>
      <c r="C694" s="238"/>
      <c r="D694" s="331"/>
      <c r="E694" s="331"/>
      <c r="F694" s="261"/>
      <c r="G694" s="153"/>
      <c r="H694" s="153"/>
      <c r="I694" s="14"/>
      <c r="J694" s="244">
        <f>SUM(J692+J693)</f>
        <v>430910.51520000002</v>
      </c>
      <c r="K694" s="743">
        <f>(J691-J694)/J691</f>
        <v>1.1266089750410341E-2</v>
      </c>
      <c r="L694" s="735">
        <v>703820.50815999997</v>
      </c>
      <c r="M694" s="736">
        <f t="shared" si="58"/>
        <v>0.61224489795918369</v>
      </c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/>
      <c r="FQ694"/>
      <c r="FR694"/>
      <c r="FS694"/>
      <c r="FT694"/>
      <c r="FU694"/>
      <c r="FV694"/>
      <c r="FW694"/>
      <c r="FX694"/>
      <c r="FY694"/>
      <c r="FZ694"/>
      <c r="GA694"/>
      <c r="GB694"/>
      <c r="GC694"/>
      <c r="GD694"/>
      <c r="GE694"/>
      <c r="GF694"/>
      <c r="GG694"/>
      <c r="GH694"/>
      <c r="GI694"/>
      <c r="GJ694"/>
      <c r="GK694"/>
      <c r="GL694"/>
      <c r="GM694"/>
      <c r="GN694"/>
      <c r="GO694"/>
      <c r="GP694"/>
      <c r="GQ694"/>
      <c r="GR694"/>
      <c r="GS694"/>
      <c r="GT694"/>
      <c r="GU694"/>
      <c r="GV694"/>
      <c r="GW694"/>
      <c r="GX694"/>
      <c r="GY694"/>
      <c r="GZ694"/>
      <c r="HA694"/>
      <c r="HB694"/>
      <c r="HC694"/>
      <c r="HD694"/>
      <c r="HE694"/>
      <c r="HF694"/>
      <c r="HG694"/>
      <c r="HH694"/>
      <c r="HI694"/>
      <c r="HJ694"/>
      <c r="HK694"/>
      <c r="HL694"/>
      <c r="HM694"/>
      <c r="HN694"/>
      <c r="HO694"/>
      <c r="HP694"/>
      <c r="HQ694"/>
      <c r="HR694"/>
      <c r="HS694"/>
      <c r="HT694"/>
      <c r="HU694"/>
      <c r="HV694"/>
      <c r="HW694"/>
      <c r="HX694"/>
      <c r="HY694"/>
      <c r="HZ694"/>
      <c r="IA694"/>
      <c r="IB694"/>
      <c r="IC694"/>
      <c r="ID694"/>
      <c r="IE694"/>
      <c r="IF694"/>
      <c r="IG694"/>
      <c r="IH694"/>
      <c r="II694"/>
      <c r="IJ694"/>
      <c r="IK694"/>
      <c r="IL694"/>
      <c r="IM694"/>
      <c r="IN694"/>
      <c r="IO694"/>
      <c r="IP694"/>
      <c r="IQ694"/>
      <c r="IR694"/>
      <c r="IS694"/>
      <c r="IT694"/>
      <c r="IU694"/>
      <c r="IV694"/>
      <c r="IW694"/>
      <c r="IX694"/>
      <c r="IY694"/>
      <c r="IZ694"/>
      <c r="JA694"/>
      <c r="JB694"/>
      <c r="JC694"/>
      <c r="JD694"/>
      <c r="JE694"/>
      <c r="JF694"/>
      <c r="JG694"/>
      <c r="JH694"/>
      <c r="JI694"/>
      <c r="JJ694"/>
      <c r="JK694"/>
      <c r="JL694"/>
      <c r="JM694"/>
      <c r="JN694"/>
      <c r="JO694"/>
      <c r="JP694"/>
      <c r="JQ694"/>
      <c r="JR694"/>
      <c r="JS694"/>
      <c r="JT694"/>
      <c r="JU694"/>
      <c r="JV694"/>
      <c r="JW694"/>
      <c r="JX694"/>
      <c r="JY694"/>
      <c r="JZ694"/>
      <c r="KA694"/>
      <c r="KB694"/>
      <c r="KC694"/>
      <c r="KD694"/>
      <c r="KE694"/>
      <c r="KF694"/>
      <c r="KG694"/>
      <c r="KH694"/>
      <c r="KI694"/>
      <c r="KJ694"/>
      <c r="KK694"/>
      <c r="KL694"/>
      <c r="KM694"/>
      <c r="KN694"/>
      <c r="KO694"/>
      <c r="KP694"/>
      <c r="KQ694"/>
      <c r="KR694"/>
      <c r="KS694"/>
      <c r="KT694"/>
      <c r="KU694"/>
      <c r="KV694"/>
      <c r="KW694"/>
      <c r="KX694"/>
      <c r="KY694"/>
      <c r="KZ694"/>
      <c r="LA694"/>
      <c r="LB694"/>
      <c r="LC694"/>
      <c r="LD694"/>
      <c r="LE694"/>
      <c r="LF694"/>
      <c r="LG694"/>
      <c r="LH694"/>
      <c r="LI694"/>
      <c r="LJ694"/>
      <c r="LK694"/>
      <c r="LL694"/>
      <c r="LM694"/>
      <c r="LN694"/>
      <c r="LO694"/>
      <c r="LP694"/>
      <c r="LQ694"/>
      <c r="LR694"/>
      <c r="LS694"/>
      <c r="LT694"/>
      <c r="LU694"/>
      <c r="LV694"/>
      <c r="LW694"/>
      <c r="LX694"/>
      <c r="LY694"/>
      <c r="LZ694"/>
      <c r="MA694"/>
      <c r="MB694"/>
      <c r="MC694"/>
      <c r="MD694"/>
      <c r="ME694"/>
      <c r="MF694"/>
      <c r="MG694"/>
      <c r="MH694"/>
      <c r="MI694"/>
      <c r="MJ694"/>
      <c r="MK694"/>
      <c r="ML694"/>
      <c r="MM694"/>
      <c r="MN694"/>
      <c r="MO694"/>
      <c r="MP694"/>
      <c r="MQ694"/>
      <c r="MR694"/>
      <c r="MS694"/>
      <c r="MT694"/>
      <c r="MU694"/>
      <c r="MV694"/>
      <c r="MW694"/>
      <c r="MX694"/>
      <c r="MY694"/>
      <c r="MZ694"/>
      <c r="NA694"/>
      <c r="NB694"/>
      <c r="NC694"/>
      <c r="ND694"/>
      <c r="NE694"/>
      <c r="NF694"/>
      <c r="NG694"/>
      <c r="NH694"/>
      <c r="NI694"/>
      <c r="NJ694"/>
      <c r="NK694"/>
      <c r="NL694"/>
      <c r="NM694"/>
      <c r="NN694"/>
      <c r="NO694"/>
      <c r="NP694"/>
      <c r="NQ694"/>
      <c r="NR694"/>
      <c r="NS694"/>
      <c r="NT694"/>
      <c r="NU694"/>
      <c r="NV694"/>
      <c r="NW694"/>
      <c r="NX694"/>
      <c r="NY694"/>
      <c r="NZ694"/>
      <c r="OA694"/>
      <c r="OB694"/>
      <c r="OC694"/>
      <c r="OD694"/>
      <c r="OE694"/>
      <c r="OF694"/>
      <c r="OG694"/>
      <c r="OH694"/>
      <c r="OI694"/>
      <c r="OJ694"/>
      <c r="OK694"/>
      <c r="OL694"/>
      <c r="OM694"/>
      <c r="ON694"/>
      <c r="OO694"/>
      <c r="OP694"/>
      <c r="OQ694"/>
      <c r="OR694"/>
      <c r="OS694"/>
      <c r="OT694"/>
      <c r="OU694"/>
      <c r="OV694"/>
      <c r="OW694"/>
      <c r="OX694"/>
      <c r="OY694"/>
      <c r="OZ694"/>
      <c r="PA694"/>
      <c r="PB694"/>
      <c r="PC694"/>
      <c r="PD694"/>
      <c r="PE694"/>
      <c r="PF694"/>
      <c r="PG694"/>
      <c r="PH694"/>
      <c r="PI694"/>
      <c r="PJ694"/>
      <c r="PK694"/>
      <c r="PL694"/>
      <c r="PM694"/>
      <c r="PN694"/>
      <c r="PO694"/>
      <c r="PP694"/>
      <c r="PQ694"/>
      <c r="PR694"/>
      <c r="PS694"/>
      <c r="PT694"/>
      <c r="PU694"/>
      <c r="PV694"/>
      <c r="PW694"/>
      <c r="PX694"/>
      <c r="PY694"/>
      <c r="PZ694"/>
      <c r="QA694"/>
      <c r="QB694"/>
      <c r="QC694"/>
      <c r="QD694"/>
      <c r="QE694"/>
      <c r="QF694"/>
      <c r="QG694"/>
      <c r="QH694"/>
      <c r="QI694"/>
      <c r="QJ694"/>
      <c r="QK694"/>
      <c r="QL694"/>
      <c r="QM694"/>
      <c r="QN694"/>
      <c r="QO694"/>
      <c r="QP694"/>
      <c r="QQ694"/>
      <c r="QR694"/>
      <c r="QS694"/>
      <c r="QT694"/>
      <c r="QU694"/>
      <c r="QV694"/>
      <c r="QW694"/>
      <c r="QX694"/>
      <c r="QY694"/>
      <c r="QZ694"/>
      <c r="RA694"/>
      <c r="RB694"/>
      <c r="RC694"/>
      <c r="RD694"/>
      <c r="RE694"/>
      <c r="RF694"/>
      <c r="RG694"/>
      <c r="RH694"/>
      <c r="RI694"/>
      <c r="RJ694"/>
      <c r="RK694"/>
      <c r="RL694"/>
      <c r="RM694"/>
      <c r="RN694"/>
      <c r="RO694"/>
      <c r="RP694"/>
      <c r="RQ694"/>
      <c r="RR694"/>
      <c r="RS694"/>
      <c r="RT694"/>
      <c r="RU694"/>
      <c r="RV694"/>
      <c r="RW694"/>
      <c r="RX694"/>
      <c r="RY694"/>
      <c r="RZ694"/>
      <c r="SA694"/>
      <c r="SB694"/>
      <c r="SC694"/>
      <c r="SD694"/>
      <c r="SE694"/>
      <c r="SF694"/>
      <c r="SG694"/>
      <c r="SH694"/>
      <c r="SI694"/>
      <c r="SJ694"/>
      <c r="SK694"/>
      <c r="SL694"/>
      <c r="SM694"/>
      <c r="SN694"/>
      <c r="SO694"/>
      <c r="SP694"/>
      <c r="SQ694"/>
      <c r="SR694"/>
      <c r="SS694"/>
      <c r="ST694"/>
      <c r="SU694"/>
      <c r="SV694"/>
      <c r="SW694"/>
      <c r="SX694"/>
      <c r="SY694"/>
      <c r="SZ694"/>
      <c r="TA694"/>
      <c r="TB694"/>
      <c r="TC694"/>
      <c r="TD694"/>
      <c r="TE694"/>
      <c r="TF694"/>
      <c r="TG694"/>
      <c r="TH694"/>
      <c r="TI694"/>
      <c r="TJ694"/>
      <c r="TK694"/>
      <c r="TL694"/>
      <c r="TM694"/>
      <c r="TN694"/>
      <c r="TO694"/>
      <c r="TP694"/>
      <c r="TQ694"/>
      <c r="TR694"/>
      <c r="TS694"/>
      <c r="TT694"/>
      <c r="TU694"/>
      <c r="TV694"/>
      <c r="TW694"/>
      <c r="TX694"/>
      <c r="TY694"/>
      <c r="TZ694"/>
      <c r="UA694"/>
      <c r="UB694"/>
      <c r="UC694"/>
      <c r="UD694"/>
      <c r="UE694"/>
      <c r="UF694"/>
      <c r="UG694"/>
      <c r="UH694"/>
      <c r="UI694"/>
      <c r="UJ694"/>
      <c r="UK694"/>
      <c r="UL694"/>
      <c r="UM694"/>
      <c r="UN694"/>
      <c r="UO694"/>
      <c r="UP694"/>
      <c r="UQ694"/>
      <c r="UR694"/>
      <c r="US694"/>
      <c r="UT694"/>
      <c r="UU694"/>
      <c r="UV694"/>
      <c r="UW694"/>
      <c r="UX694"/>
      <c r="UY694"/>
      <c r="UZ694"/>
      <c r="VA694"/>
      <c r="VB694"/>
      <c r="VC694"/>
      <c r="VD694"/>
      <c r="VE694"/>
      <c r="VF694"/>
      <c r="VG694"/>
      <c r="VH694"/>
      <c r="VI694"/>
      <c r="VJ694"/>
      <c r="VK694"/>
      <c r="VL694"/>
      <c r="VM694"/>
      <c r="VN694"/>
      <c r="VO694"/>
      <c r="VP694"/>
      <c r="VQ694"/>
      <c r="VR694"/>
      <c r="VS694"/>
      <c r="VT694"/>
      <c r="VU694"/>
      <c r="VV694"/>
      <c r="VW694"/>
      <c r="VX694"/>
      <c r="VY694"/>
      <c r="VZ694"/>
      <c r="WA694"/>
      <c r="WB694"/>
      <c r="WC694"/>
      <c r="WD694"/>
      <c r="WE694"/>
      <c r="WF694"/>
      <c r="WG694"/>
      <c r="WH694"/>
      <c r="WI694"/>
      <c r="WJ694"/>
      <c r="WK694"/>
      <c r="WL694"/>
      <c r="WM694"/>
      <c r="WN694"/>
      <c r="WO694"/>
      <c r="WP694"/>
      <c r="WQ694"/>
      <c r="WR694"/>
      <c r="WS694"/>
      <c r="WT694"/>
      <c r="WU694"/>
      <c r="WV694"/>
      <c r="WW694"/>
      <c r="WX694"/>
      <c r="WY694"/>
      <c r="WZ694"/>
      <c r="XA694"/>
      <c r="XB694"/>
      <c r="XC694"/>
      <c r="XD694"/>
      <c r="XE694"/>
      <c r="XF694"/>
      <c r="XG694"/>
      <c r="XH694"/>
      <c r="XI694"/>
      <c r="XJ694"/>
      <c r="XK694"/>
      <c r="XL694"/>
      <c r="XM694"/>
      <c r="XN694"/>
      <c r="XO694"/>
      <c r="XP694"/>
      <c r="XQ694"/>
      <c r="XR694"/>
      <c r="XS694"/>
      <c r="XT694"/>
      <c r="XU694"/>
      <c r="XV694"/>
      <c r="XW694"/>
      <c r="XX694"/>
      <c r="XY694"/>
      <c r="XZ694"/>
      <c r="YA694"/>
      <c r="YB694"/>
      <c r="YC694"/>
      <c r="YD694"/>
      <c r="YE694"/>
      <c r="YF694"/>
      <c r="YG694"/>
      <c r="YH694"/>
      <c r="YI694"/>
      <c r="YJ694"/>
      <c r="YK694"/>
      <c r="YL694"/>
      <c r="YM694"/>
      <c r="YN694"/>
      <c r="YO694"/>
      <c r="YP694"/>
      <c r="YQ694"/>
      <c r="YR694"/>
      <c r="YS694"/>
      <c r="YT694"/>
      <c r="YU694"/>
      <c r="YV694"/>
      <c r="YW694"/>
      <c r="YX694"/>
      <c r="YY694"/>
      <c r="YZ694"/>
      <c r="ZA694"/>
      <c r="ZB694"/>
      <c r="ZC694"/>
      <c r="ZD694"/>
      <c r="ZE694"/>
      <c r="ZF694"/>
      <c r="ZG694"/>
      <c r="ZH694"/>
      <c r="ZI694"/>
      <c r="ZJ694"/>
      <c r="ZK694"/>
      <c r="ZL694"/>
      <c r="ZM694"/>
      <c r="ZN694"/>
      <c r="ZO694"/>
      <c r="ZP694"/>
      <c r="ZQ694"/>
      <c r="ZR694"/>
      <c r="ZS694"/>
      <c r="ZT694"/>
      <c r="ZU694"/>
      <c r="ZV694"/>
      <c r="ZW694"/>
      <c r="ZX694"/>
      <c r="ZY694"/>
      <c r="ZZ694"/>
      <c r="AAA694"/>
      <c r="AAB694"/>
      <c r="AAC694"/>
      <c r="AAD694"/>
      <c r="AAE694"/>
      <c r="AAF694"/>
      <c r="AAG694"/>
      <c r="AAH694"/>
      <c r="AAI694"/>
      <c r="AAJ694"/>
      <c r="AAK694"/>
      <c r="AAL694"/>
      <c r="AAM694"/>
      <c r="AAN694"/>
      <c r="AAO694"/>
      <c r="AAP694"/>
      <c r="AAQ694"/>
      <c r="AAR694"/>
      <c r="AAS694"/>
      <c r="AAT694"/>
      <c r="AAU694"/>
      <c r="AAV694"/>
      <c r="AAW694"/>
      <c r="AAX694"/>
      <c r="AAY694"/>
      <c r="AAZ694"/>
      <c r="ABA694"/>
      <c r="ABB694"/>
      <c r="ABC694"/>
      <c r="ABD694"/>
      <c r="ABE694"/>
      <c r="ABF694"/>
      <c r="ABG694"/>
      <c r="ABH694"/>
      <c r="ABI694"/>
      <c r="ABJ694"/>
      <c r="ABK694"/>
      <c r="ABL694"/>
      <c r="ABM694"/>
      <c r="ABN694"/>
      <c r="ABO694"/>
      <c r="ABP694"/>
      <c r="ABQ694"/>
      <c r="ABR694"/>
      <c r="ABS694"/>
      <c r="ABT694"/>
      <c r="ABU694"/>
      <c r="ABV694"/>
      <c r="ABW694"/>
      <c r="ABX694"/>
      <c r="ABY694"/>
      <c r="ABZ694"/>
      <c r="ACA694"/>
      <c r="ACB694"/>
      <c r="ACC694"/>
      <c r="ACD694"/>
      <c r="ACE694"/>
      <c r="ACF694"/>
      <c r="ACG694"/>
      <c r="ACH694"/>
      <c r="ACI694"/>
      <c r="ACJ694"/>
      <c r="ACK694"/>
      <c r="ACL694"/>
      <c r="ACM694"/>
      <c r="ACN694"/>
      <c r="ACO694"/>
      <c r="ACP694"/>
      <c r="ACQ694"/>
      <c r="ACR694"/>
      <c r="ACS694"/>
      <c r="ACT694"/>
      <c r="ACU694"/>
      <c r="ACV694"/>
      <c r="ACW694"/>
      <c r="ACX694"/>
      <c r="ACY694"/>
      <c r="ACZ694"/>
      <c r="ADA694"/>
      <c r="ADB694"/>
      <c r="ADC694"/>
      <c r="ADD694"/>
      <c r="ADE694"/>
      <c r="ADF694"/>
      <c r="ADG694"/>
      <c r="ADH694"/>
      <c r="ADI694"/>
      <c r="ADJ694"/>
      <c r="ADK694"/>
      <c r="ADL694"/>
      <c r="ADM694"/>
      <c r="ADN694"/>
      <c r="ADO694"/>
      <c r="ADP694"/>
      <c r="ADQ694"/>
      <c r="ADR694"/>
      <c r="ADS694"/>
      <c r="ADT694"/>
      <c r="ADU694"/>
      <c r="ADV694"/>
      <c r="ADW694"/>
      <c r="ADX694"/>
      <c r="ADY694"/>
      <c r="ADZ694"/>
      <c r="AEA694"/>
      <c r="AEB694"/>
      <c r="AEC694"/>
      <c r="AED694"/>
      <c r="AEE694"/>
      <c r="AEF694"/>
      <c r="AEG694"/>
      <c r="AEH694"/>
      <c r="AEI694"/>
      <c r="AEJ694"/>
      <c r="AEK694"/>
      <c r="AEL694"/>
      <c r="AEM694"/>
      <c r="AEN694"/>
      <c r="AEO694"/>
      <c r="AEP694"/>
      <c r="AEQ694"/>
      <c r="AER694"/>
      <c r="AES694"/>
      <c r="AET694"/>
      <c r="AEU694"/>
      <c r="AEV694"/>
      <c r="AEW694"/>
      <c r="AEX694"/>
      <c r="AEY694"/>
      <c r="AEZ694"/>
      <c r="AFA694"/>
      <c r="AFB694"/>
      <c r="AFC694"/>
      <c r="AFD694"/>
      <c r="AFE694"/>
      <c r="AFF694"/>
      <c r="AFG694"/>
      <c r="AFH694"/>
      <c r="AFI694"/>
      <c r="AFJ694"/>
      <c r="AFK694"/>
      <c r="AFL694"/>
      <c r="AFM694"/>
      <c r="AFN694"/>
      <c r="AFO694"/>
      <c r="AFP694"/>
      <c r="AFQ694"/>
      <c r="AFR694"/>
      <c r="AFS694"/>
      <c r="AFT694"/>
      <c r="AFU694"/>
      <c r="AFV694"/>
      <c r="AFW694"/>
      <c r="AFX694"/>
      <c r="AFY694"/>
      <c r="AFZ694"/>
      <c r="AGA694"/>
      <c r="AGB694"/>
      <c r="AGC694"/>
      <c r="AGD694"/>
      <c r="AGE694"/>
      <c r="AGF694"/>
      <c r="AGG694"/>
      <c r="AGH694"/>
      <c r="AGI694"/>
      <c r="AGJ694"/>
      <c r="AGK694"/>
      <c r="AGL694"/>
      <c r="AGM694"/>
      <c r="AGN694"/>
      <c r="AGO694"/>
      <c r="AGP694"/>
      <c r="AGQ694"/>
      <c r="AGR694"/>
      <c r="AGS694"/>
      <c r="AGT694"/>
      <c r="AGU694"/>
      <c r="AGV694"/>
      <c r="AGW694"/>
      <c r="AGX694"/>
      <c r="AGY694"/>
      <c r="AGZ694"/>
      <c r="AHA694"/>
      <c r="AHB694"/>
      <c r="AHC694"/>
      <c r="AHD694"/>
      <c r="AHE694"/>
      <c r="AHF694"/>
      <c r="AHG694"/>
      <c r="AHH694"/>
      <c r="AHI694"/>
      <c r="AHJ694"/>
      <c r="AHK694"/>
      <c r="AHL694"/>
      <c r="AHM694"/>
      <c r="AHN694"/>
      <c r="AHO694"/>
      <c r="AHP694"/>
      <c r="AHQ694"/>
      <c r="AHR694"/>
      <c r="AHS694"/>
      <c r="AHT694"/>
      <c r="AHU694"/>
      <c r="AHV694"/>
      <c r="AHW694"/>
      <c r="AHX694"/>
      <c r="AHY694"/>
      <c r="AHZ694"/>
      <c r="AIA694"/>
      <c r="AIB694"/>
      <c r="AIC694"/>
      <c r="AID694"/>
      <c r="AIE694"/>
      <c r="AIF694"/>
      <c r="AIG694"/>
      <c r="AIH694"/>
      <c r="AII694"/>
      <c r="AIJ694"/>
      <c r="AIK694"/>
      <c r="AIL694"/>
      <c r="AIM694"/>
      <c r="AIN694"/>
      <c r="AIO694"/>
      <c r="AIP694"/>
      <c r="AIQ694"/>
      <c r="AIR694"/>
      <c r="AIS694"/>
      <c r="AIT694"/>
      <c r="AIU694"/>
      <c r="AIV694"/>
      <c r="AIW694"/>
      <c r="AIX694"/>
      <c r="AIY694"/>
      <c r="AIZ694"/>
      <c r="AJA694"/>
      <c r="AJB694"/>
      <c r="AJC694"/>
      <c r="AJD694"/>
      <c r="AJE694"/>
      <c r="AJF694"/>
      <c r="AJG694"/>
      <c r="AJH694"/>
      <c r="AJI694"/>
      <c r="AJJ694"/>
      <c r="AJK694"/>
      <c r="AJL694"/>
      <c r="AJM694"/>
      <c r="AJN694"/>
      <c r="AJO694"/>
      <c r="AJP694"/>
      <c r="AJQ694"/>
      <c r="AJR694"/>
      <c r="AJS694"/>
      <c r="AJT694"/>
      <c r="AJU694"/>
      <c r="AJV694"/>
      <c r="AJW694"/>
      <c r="AJX694"/>
      <c r="AJY694"/>
      <c r="AJZ694"/>
      <c r="AKA694"/>
      <c r="AKB694"/>
      <c r="AKC694"/>
      <c r="AKD694"/>
      <c r="AKE694"/>
      <c r="AKF694"/>
      <c r="AKG694"/>
      <c r="AKH694"/>
      <c r="AKI694"/>
      <c r="AKJ694"/>
      <c r="AKK694"/>
      <c r="AKL694"/>
      <c r="AKM694"/>
      <c r="AKN694"/>
      <c r="AKO694"/>
      <c r="AKP694"/>
      <c r="AKQ694"/>
      <c r="AKR694"/>
      <c r="AKS694"/>
      <c r="AKT694"/>
      <c r="AKU694"/>
      <c r="AKV694"/>
      <c r="AKW694"/>
      <c r="AKX694"/>
      <c r="AKY694"/>
      <c r="AKZ694"/>
      <c r="ALA694"/>
      <c r="ALB694"/>
      <c r="ALC694"/>
      <c r="ALD694"/>
      <c r="ALE694"/>
      <c r="ALF694"/>
      <c r="ALG694"/>
      <c r="ALH694"/>
      <c r="ALI694"/>
      <c r="ALJ694"/>
      <c r="ALK694"/>
      <c r="ALL694"/>
      <c r="ALM694"/>
      <c r="ALN694"/>
      <c r="ALO694"/>
      <c r="ALP694"/>
      <c r="ALQ694"/>
      <c r="ALR694"/>
      <c r="ALS694"/>
      <c r="ALT694"/>
      <c r="ALU694"/>
      <c r="ALV694"/>
      <c r="ALW694"/>
      <c r="ALX694"/>
      <c r="ALY694"/>
      <c r="ALZ694"/>
      <c r="AMA694"/>
      <c r="AMB694"/>
      <c r="AMC694"/>
      <c r="AMD694"/>
      <c r="AME694"/>
      <c r="AMF694"/>
      <c r="AMG694"/>
      <c r="AMH694"/>
      <c r="AMI694"/>
      <c r="AMJ694"/>
      <c r="AMK694"/>
    </row>
    <row r="695" spans="1:1025">
      <c r="A695" s="153" t="s">
        <v>2068</v>
      </c>
      <c r="B695" s="734" t="s">
        <v>2069</v>
      </c>
      <c r="C695" s="238">
        <v>3628907</v>
      </c>
      <c r="D695" s="839">
        <v>441220.3</v>
      </c>
      <c r="E695" s="839">
        <v>441220.3</v>
      </c>
      <c r="F695" s="261">
        <f>E695-D695</f>
        <v>0</v>
      </c>
      <c r="G695" s="153">
        <v>1</v>
      </c>
      <c r="H695" s="244">
        <f>F695*G695</f>
        <v>0</v>
      </c>
      <c r="I695" s="153">
        <v>0</v>
      </c>
      <c r="J695" s="244">
        <f>H695+I695</f>
        <v>0</v>
      </c>
      <c r="K695" s="743"/>
      <c r="L695" s="735">
        <v>0</v>
      </c>
      <c r="M695" s="736" t="e">
        <f t="shared" si="58"/>
        <v>#DIV/0!</v>
      </c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  <c r="FL695"/>
      <c r="FM695"/>
      <c r="FN695"/>
      <c r="FO695"/>
      <c r="FP695"/>
      <c r="FQ695"/>
      <c r="FR695"/>
      <c r="FS695"/>
      <c r="FT695"/>
      <c r="FU695"/>
      <c r="FV695"/>
      <c r="FW695"/>
      <c r="FX695"/>
      <c r="FY695"/>
      <c r="FZ695"/>
      <c r="GA695"/>
      <c r="GB695"/>
      <c r="GC695"/>
      <c r="GD695"/>
      <c r="GE695"/>
      <c r="GF695"/>
      <c r="GG695"/>
      <c r="GH695"/>
      <c r="GI695"/>
      <c r="GJ695"/>
      <c r="GK695"/>
      <c r="GL695"/>
      <c r="GM695"/>
      <c r="GN695"/>
      <c r="GO695"/>
      <c r="GP695"/>
      <c r="GQ695"/>
      <c r="GR695"/>
      <c r="GS695"/>
      <c r="GT695"/>
      <c r="GU695"/>
      <c r="GV695"/>
      <c r="GW695"/>
      <c r="GX695"/>
      <c r="GY695"/>
      <c r="GZ695"/>
      <c r="HA695"/>
      <c r="HB695"/>
      <c r="HC695"/>
      <c r="HD695"/>
      <c r="HE695"/>
      <c r="HF695"/>
      <c r="HG695"/>
      <c r="HH695"/>
      <c r="HI695"/>
      <c r="HJ695"/>
      <c r="HK695"/>
      <c r="HL695"/>
      <c r="HM695"/>
      <c r="HN695"/>
      <c r="HO695"/>
      <c r="HP695"/>
      <c r="HQ695"/>
      <c r="HR695"/>
      <c r="HS695"/>
      <c r="HT695"/>
      <c r="HU695"/>
      <c r="HV695"/>
      <c r="HW695"/>
      <c r="HX695"/>
      <c r="HY695"/>
      <c r="HZ695"/>
      <c r="IA695"/>
      <c r="IB695"/>
      <c r="IC695"/>
      <c r="ID695"/>
      <c r="IE695"/>
      <c r="IF695"/>
      <c r="IG695"/>
      <c r="IH695"/>
      <c r="II695"/>
      <c r="IJ695"/>
      <c r="IK695"/>
      <c r="IL695"/>
      <c r="IM695"/>
      <c r="IN695"/>
      <c r="IO695"/>
      <c r="IP695"/>
      <c r="IQ695"/>
      <c r="IR695"/>
      <c r="IS695"/>
      <c r="IT695"/>
      <c r="IU695"/>
      <c r="IV695"/>
      <c r="IW695"/>
      <c r="IX695"/>
      <c r="IY695"/>
      <c r="IZ695"/>
      <c r="JA695"/>
      <c r="JB695"/>
      <c r="JC695"/>
      <c r="JD695"/>
      <c r="JE695"/>
      <c r="JF695"/>
      <c r="JG695"/>
      <c r="JH695"/>
      <c r="JI695"/>
      <c r="JJ695"/>
      <c r="JK695"/>
      <c r="JL695"/>
      <c r="JM695"/>
      <c r="JN695"/>
      <c r="JO695"/>
      <c r="JP695"/>
      <c r="JQ695"/>
      <c r="JR695"/>
      <c r="JS695"/>
      <c r="JT695"/>
      <c r="JU695"/>
      <c r="JV695"/>
      <c r="JW695"/>
      <c r="JX695"/>
      <c r="JY695"/>
      <c r="JZ695"/>
      <c r="KA695"/>
      <c r="KB695"/>
      <c r="KC695"/>
      <c r="KD695"/>
      <c r="KE695"/>
      <c r="KF695"/>
      <c r="KG695"/>
      <c r="KH695"/>
      <c r="KI695"/>
      <c r="KJ695"/>
      <c r="KK695"/>
      <c r="KL695"/>
      <c r="KM695"/>
      <c r="KN695"/>
      <c r="KO695"/>
      <c r="KP695"/>
      <c r="KQ695"/>
      <c r="KR695"/>
      <c r="KS695"/>
      <c r="KT695"/>
      <c r="KU695"/>
      <c r="KV695"/>
      <c r="KW695"/>
      <c r="KX695"/>
      <c r="KY695"/>
      <c r="KZ695"/>
      <c r="LA695"/>
      <c r="LB695"/>
      <c r="LC695"/>
      <c r="LD695"/>
      <c r="LE695"/>
      <c r="LF695"/>
      <c r="LG695"/>
      <c r="LH695"/>
      <c r="LI695"/>
      <c r="LJ695"/>
      <c r="LK695"/>
      <c r="LL695"/>
      <c r="LM695"/>
      <c r="LN695"/>
      <c r="LO695"/>
      <c r="LP695"/>
      <c r="LQ695"/>
      <c r="LR695"/>
      <c r="LS695"/>
      <c r="LT695"/>
      <c r="LU695"/>
      <c r="LV695"/>
      <c r="LW695"/>
      <c r="LX695"/>
      <c r="LY695"/>
      <c r="LZ695"/>
      <c r="MA695"/>
      <c r="MB695"/>
      <c r="MC695"/>
      <c r="MD695"/>
      <c r="ME695"/>
      <c r="MF695"/>
      <c r="MG695"/>
      <c r="MH695"/>
      <c r="MI695"/>
      <c r="MJ695"/>
      <c r="MK695"/>
      <c r="ML695"/>
      <c r="MM695"/>
      <c r="MN695"/>
      <c r="MO695"/>
      <c r="MP695"/>
      <c r="MQ695"/>
      <c r="MR695"/>
      <c r="MS695"/>
      <c r="MT695"/>
      <c r="MU695"/>
      <c r="MV695"/>
      <c r="MW695"/>
      <c r="MX695"/>
      <c r="MY695"/>
      <c r="MZ695"/>
      <c r="NA695"/>
      <c r="NB695"/>
      <c r="NC695"/>
      <c r="ND695"/>
      <c r="NE695"/>
      <c r="NF695"/>
      <c r="NG695"/>
      <c r="NH695"/>
      <c r="NI695"/>
      <c r="NJ695"/>
      <c r="NK695"/>
      <c r="NL695"/>
      <c r="NM695"/>
      <c r="NN695"/>
      <c r="NO695"/>
      <c r="NP695"/>
      <c r="NQ695"/>
      <c r="NR695"/>
      <c r="NS695"/>
      <c r="NT695"/>
      <c r="NU695"/>
      <c r="NV695"/>
      <c r="NW695"/>
      <c r="NX695"/>
      <c r="NY695"/>
      <c r="NZ695"/>
      <c r="OA695"/>
      <c r="OB695"/>
      <c r="OC695"/>
      <c r="OD695"/>
      <c r="OE695"/>
      <c r="OF695"/>
      <c r="OG695"/>
      <c r="OH695"/>
      <c r="OI695"/>
      <c r="OJ695"/>
      <c r="OK695"/>
      <c r="OL695"/>
      <c r="OM695"/>
      <c r="ON695"/>
      <c r="OO695"/>
      <c r="OP695"/>
      <c r="OQ695"/>
      <c r="OR695"/>
      <c r="OS695"/>
      <c r="OT695"/>
      <c r="OU695"/>
      <c r="OV695"/>
      <c r="OW695"/>
      <c r="OX695"/>
      <c r="OY695"/>
      <c r="OZ695"/>
      <c r="PA695"/>
      <c r="PB695"/>
      <c r="PC695"/>
      <c r="PD695"/>
      <c r="PE695"/>
      <c r="PF695"/>
      <c r="PG695"/>
      <c r="PH695"/>
      <c r="PI695"/>
      <c r="PJ695"/>
      <c r="PK695"/>
      <c r="PL695"/>
      <c r="PM695"/>
      <c r="PN695"/>
      <c r="PO695"/>
      <c r="PP695"/>
      <c r="PQ695"/>
      <c r="PR695"/>
      <c r="PS695"/>
      <c r="PT695"/>
      <c r="PU695"/>
      <c r="PV695"/>
      <c r="PW695"/>
      <c r="PX695"/>
      <c r="PY695"/>
      <c r="PZ695"/>
      <c r="QA695"/>
      <c r="QB695"/>
      <c r="QC695"/>
      <c r="QD695"/>
      <c r="QE695"/>
      <c r="QF695"/>
      <c r="QG695"/>
      <c r="QH695"/>
      <c r="QI695"/>
      <c r="QJ695"/>
      <c r="QK695"/>
      <c r="QL695"/>
      <c r="QM695"/>
      <c r="QN695"/>
      <c r="QO695"/>
      <c r="QP695"/>
      <c r="QQ695"/>
      <c r="QR695"/>
      <c r="QS695"/>
      <c r="QT695"/>
      <c r="QU695"/>
      <c r="QV695"/>
      <c r="QW695"/>
      <c r="QX695"/>
      <c r="QY695"/>
      <c r="QZ695"/>
      <c r="RA695"/>
      <c r="RB695"/>
      <c r="RC695"/>
      <c r="RD695"/>
      <c r="RE695"/>
      <c r="RF695"/>
      <c r="RG695"/>
      <c r="RH695"/>
      <c r="RI695"/>
      <c r="RJ695"/>
      <c r="RK695"/>
      <c r="RL695"/>
      <c r="RM695"/>
      <c r="RN695"/>
      <c r="RO695"/>
      <c r="RP695"/>
      <c r="RQ695"/>
      <c r="RR695"/>
      <c r="RS695"/>
      <c r="RT695"/>
      <c r="RU695"/>
      <c r="RV695"/>
      <c r="RW695"/>
      <c r="RX695"/>
      <c r="RY695"/>
      <c r="RZ695"/>
      <c r="SA695"/>
      <c r="SB695"/>
      <c r="SC695"/>
      <c r="SD695"/>
      <c r="SE695"/>
      <c r="SF695"/>
      <c r="SG695"/>
      <c r="SH695"/>
      <c r="SI695"/>
      <c r="SJ695"/>
      <c r="SK695"/>
      <c r="SL695"/>
      <c r="SM695"/>
      <c r="SN695"/>
      <c r="SO695"/>
      <c r="SP695"/>
      <c r="SQ695"/>
      <c r="SR695"/>
      <c r="SS695"/>
      <c r="ST695"/>
      <c r="SU695"/>
      <c r="SV695"/>
      <c r="SW695"/>
      <c r="SX695"/>
      <c r="SY695"/>
      <c r="SZ695"/>
      <c r="TA695"/>
      <c r="TB695"/>
      <c r="TC695"/>
      <c r="TD695"/>
      <c r="TE695"/>
      <c r="TF695"/>
      <c r="TG695"/>
      <c r="TH695"/>
      <c r="TI695"/>
      <c r="TJ695"/>
      <c r="TK695"/>
      <c r="TL695"/>
      <c r="TM695"/>
      <c r="TN695"/>
      <c r="TO695"/>
      <c r="TP695"/>
      <c r="TQ695"/>
      <c r="TR695"/>
      <c r="TS695"/>
      <c r="TT695"/>
      <c r="TU695"/>
      <c r="TV695"/>
      <c r="TW695"/>
      <c r="TX695"/>
      <c r="TY695"/>
      <c r="TZ695"/>
      <c r="UA695"/>
      <c r="UB695"/>
      <c r="UC695"/>
      <c r="UD695"/>
      <c r="UE695"/>
      <c r="UF695"/>
      <c r="UG695"/>
      <c r="UH695"/>
      <c r="UI695"/>
      <c r="UJ695"/>
      <c r="UK695"/>
      <c r="UL695"/>
      <c r="UM695"/>
      <c r="UN695"/>
      <c r="UO695"/>
      <c r="UP695"/>
      <c r="UQ695"/>
      <c r="UR695"/>
      <c r="US695"/>
      <c r="UT695"/>
      <c r="UU695"/>
      <c r="UV695"/>
      <c r="UW695"/>
      <c r="UX695"/>
      <c r="UY695"/>
      <c r="UZ695"/>
      <c r="VA695"/>
      <c r="VB695"/>
      <c r="VC695"/>
      <c r="VD695"/>
      <c r="VE695"/>
      <c r="VF695"/>
      <c r="VG695"/>
      <c r="VH695"/>
      <c r="VI695"/>
      <c r="VJ695"/>
      <c r="VK695"/>
      <c r="VL695"/>
      <c r="VM695"/>
      <c r="VN695"/>
      <c r="VO695"/>
      <c r="VP695"/>
      <c r="VQ695"/>
      <c r="VR695"/>
      <c r="VS695"/>
      <c r="VT695"/>
      <c r="VU695"/>
      <c r="VV695"/>
      <c r="VW695"/>
      <c r="VX695"/>
      <c r="VY695"/>
      <c r="VZ695"/>
      <c r="WA695"/>
      <c r="WB695"/>
      <c r="WC695"/>
      <c r="WD695"/>
      <c r="WE695"/>
      <c r="WF695"/>
      <c r="WG695"/>
      <c r="WH695"/>
      <c r="WI695"/>
      <c r="WJ695"/>
      <c r="WK695"/>
      <c r="WL695"/>
      <c r="WM695"/>
      <c r="WN695"/>
      <c r="WO695"/>
      <c r="WP695"/>
      <c r="WQ695"/>
      <c r="WR695"/>
      <c r="WS695"/>
      <c r="WT695"/>
      <c r="WU695"/>
      <c r="WV695"/>
      <c r="WW695"/>
      <c r="WX695"/>
      <c r="WY695"/>
      <c r="WZ695"/>
      <c r="XA695"/>
      <c r="XB695"/>
      <c r="XC695"/>
      <c r="XD695"/>
      <c r="XE695"/>
      <c r="XF695"/>
      <c r="XG695"/>
      <c r="XH695"/>
      <c r="XI695"/>
      <c r="XJ695"/>
      <c r="XK695"/>
      <c r="XL695"/>
      <c r="XM695"/>
      <c r="XN695"/>
      <c r="XO695"/>
      <c r="XP695"/>
      <c r="XQ695"/>
      <c r="XR695"/>
      <c r="XS695"/>
      <c r="XT695"/>
      <c r="XU695"/>
      <c r="XV695"/>
      <c r="XW695"/>
      <c r="XX695"/>
      <c r="XY695"/>
      <c r="XZ695"/>
      <c r="YA695"/>
      <c r="YB695"/>
      <c r="YC695"/>
      <c r="YD695"/>
      <c r="YE695"/>
      <c r="YF695"/>
      <c r="YG695"/>
      <c r="YH695"/>
      <c r="YI695"/>
      <c r="YJ695"/>
      <c r="YK695"/>
      <c r="YL695"/>
      <c r="YM695"/>
      <c r="YN695"/>
      <c r="YO695"/>
      <c r="YP695"/>
      <c r="YQ695"/>
      <c r="YR695"/>
      <c r="YS695"/>
      <c r="YT695"/>
      <c r="YU695"/>
      <c r="YV695"/>
      <c r="YW695"/>
      <c r="YX695"/>
      <c r="YY695"/>
      <c r="YZ695"/>
      <c r="ZA695"/>
      <c r="ZB695"/>
      <c r="ZC695"/>
      <c r="ZD695"/>
      <c r="ZE695"/>
      <c r="ZF695"/>
      <c r="ZG695"/>
      <c r="ZH695"/>
      <c r="ZI695"/>
      <c r="ZJ695"/>
      <c r="ZK695"/>
      <c r="ZL695"/>
      <c r="ZM695"/>
      <c r="ZN695"/>
      <c r="ZO695"/>
      <c r="ZP695"/>
      <c r="ZQ695"/>
      <c r="ZR695"/>
      <c r="ZS695"/>
      <c r="ZT695"/>
      <c r="ZU695"/>
      <c r="ZV695"/>
      <c r="ZW695"/>
      <c r="ZX695"/>
      <c r="ZY695"/>
      <c r="ZZ695"/>
      <c r="AAA695"/>
      <c r="AAB695"/>
      <c r="AAC695"/>
      <c r="AAD695"/>
      <c r="AAE695"/>
      <c r="AAF695"/>
      <c r="AAG695"/>
      <c r="AAH695"/>
      <c r="AAI695"/>
      <c r="AAJ695"/>
      <c r="AAK695"/>
      <c r="AAL695"/>
      <c r="AAM695"/>
      <c r="AAN695"/>
      <c r="AAO695"/>
      <c r="AAP695"/>
      <c r="AAQ695"/>
      <c r="AAR695"/>
      <c r="AAS695"/>
      <c r="AAT695"/>
      <c r="AAU695"/>
      <c r="AAV695"/>
      <c r="AAW695"/>
      <c r="AAX695"/>
      <c r="AAY695"/>
      <c r="AAZ695"/>
      <c r="ABA695"/>
      <c r="ABB695"/>
      <c r="ABC695"/>
      <c r="ABD695"/>
      <c r="ABE695"/>
      <c r="ABF695"/>
      <c r="ABG695"/>
      <c r="ABH695"/>
      <c r="ABI695"/>
      <c r="ABJ695"/>
      <c r="ABK695"/>
      <c r="ABL695"/>
      <c r="ABM695"/>
      <c r="ABN695"/>
      <c r="ABO695"/>
      <c r="ABP695"/>
      <c r="ABQ695"/>
      <c r="ABR695"/>
      <c r="ABS695"/>
      <c r="ABT695"/>
      <c r="ABU695"/>
      <c r="ABV695"/>
      <c r="ABW695"/>
      <c r="ABX695"/>
      <c r="ABY695"/>
      <c r="ABZ695"/>
      <c r="ACA695"/>
      <c r="ACB695"/>
      <c r="ACC695"/>
      <c r="ACD695"/>
      <c r="ACE695"/>
      <c r="ACF695"/>
      <c r="ACG695"/>
      <c r="ACH695"/>
      <c r="ACI695"/>
      <c r="ACJ695"/>
      <c r="ACK695"/>
      <c r="ACL695"/>
      <c r="ACM695"/>
      <c r="ACN695"/>
      <c r="ACO695"/>
      <c r="ACP695"/>
      <c r="ACQ695"/>
      <c r="ACR695"/>
      <c r="ACS695"/>
      <c r="ACT695"/>
      <c r="ACU695"/>
      <c r="ACV695"/>
      <c r="ACW695"/>
      <c r="ACX695"/>
      <c r="ACY695"/>
      <c r="ACZ695"/>
      <c r="ADA695"/>
      <c r="ADB695"/>
      <c r="ADC695"/>
      <c r="ADD695"/>
      <c r="ADE695"/>
      <c r="ADF695"/>
      <c r="ADG695"/>
      <c r="ADH695"/>
      <c r="ADI695"/>
      <c r="ADJ695"/>
      <c r="ADK695"/>
      <c r="ADL695"/>
      <c r="ADM695"/>
      <c r="ADN695"/>
      <c r="ADO695"/>
      <c r="ADP695"/>
      <c r="ADQ695"/>
      <c r="ADR695"/>
      <c r="ADS695"/>
      <c r="ADT695"/>
      <c r="ADU695"/>
      <c r="ADV695"/>
      <c r="ADW695"/>
      <c r="ADX695"/>
      <c r="ADY695"/>
      <c r="ADZ695"/>
      <c r="AEA695"/>
      <c r="AEB695"/>
      <c r="AEC695"/>
      <c r="AED695"/>
      <c r="AEE695"/>
      <c r="AEF695"/>
      <c r="AEG695"/>
      <c r="AEH695"/>
      <c r="AEI695"/>
      <c r="AEJ695"/>
      <c r="AEK695"/>
      <c r="AEL695"/>
      <c r="AEM695"/>
      <c r="AEN695"/>
      <c r="AEO695"/>
      <c r="AEP695"/>
      <c r="AEQ695"/>
      <c r="AER695"/>
      <c r="AES695"/>
      <c r="AET695"/>
      <c r="AEU695"/>
      <c r="AEV695"/>
      <c r="AEW695"/>
      <c r="AEX695"/>
      <c r="AEY695"/>
      <c r="AEZ695"/>
      <c r="AFA695"/>
      <c r="AFB695"/>
      <c r="AFC695"/>
      <c r="AFD695"/>
      <c r="AFE695"/>
      <c r="AFF695"/>
      <c r="AFG695"/>
      <c r="AFH695"/>
      <c r="AFI695"/>
      <c r="AFJ695"/>
      <c r="AFK695"/>
      <c r="AFL695"/>
      <c r="AFM695"/>
      <c r="AFN695"/>
      <c r="AFO695"/>
      <c r="AFP695"/>
      <c r="AFQ695"/>
      <c r="AFR695"/>
      <c r="AFS695"/>
      <c r="AFT695"/>
      <c r="AFU695"/>
      <c r="AFV695"/>
      <c r="AFW695"/>
      <c r="AFX695"/>
      <c r="AFY695"/>
      <c r="AFZ695"/>
      <c r="AGA695"/>
      <c r="AGB695"/>
      <c r="AGC695"/>
      <c r="AGD695"/>
      <c r="AGE695"/>
      <c r="AGF695"/>
      <c r="AGG695"/>
      <c r="AGH695"/>
      <c r="AGI695"/>
      <c r="AGJ695"/>
      <c r="AGK695"/>
      <c r="AGL695"/>
      <c r="AGM695"/>
      <c r="AGN695"/>
      <c r="AGO695"/>
      <c r="AGP695"/>
      <c r="AGQ695"/>
      <c r="AGR695"/>
      <c r="AGS695"/>
      <c r="AGT695"/>
      <c r="AGU695"/>
      <c r="AGV695"/>
      <c r="AGW695"/>
      <c r="AGX695"/>
      <c r="AGY695"/>
      <c r="AGZ695"/>
      <c r="AHA695"/>
      <c r="AHB695"/>
      <c r="AHC695"/>
      <c r="AHD695"/>
      <c r="AHE695"/>
      <c r="AHF695"/>
      <c r="AHG695"/>
      <c r="AHH695"/>
      <c r="AHI695"/>
      <c r="AHJ695"/>
      <c r="AHK695"/>
      <c r="AHL695"/>
      <c r="AHM695"/>
      <c r="AHN695"/>
      <c r="AHO695"/>
      <c r="AHP695"/>
      <c r="AHQ695"/>
      <c r="AHR695"/>
      <c r="AHS695"/>
      <c r="AHT695"/>
      <c r="AHU695"/>
      <c r="AHV695"/>
      <c r="AHW695"/>
      <c r="AHX695"/>
      <c r="AHY695"/>
      <c r="AHZ695"/>
      <c r="AIA695"/>
      <c r="AIB695"/>
      <c r="AIC695"/>
      <c r="AID695"/>
      <c r="AIE695"/>
      <c r="AIF695"/>
      <c r="AIG695"/>
      <c r="AIH695"/>
      <c r="AII695"/>
      <c r="AIJ695"/>
      <c r="AIK695"/>
      <c r="AIL695"/>
      <c r="AIM695"/>
      <c r="AIN695"/>
      <c r="AIO695"/>
      <c r="AIP695"/>
      <c r="AIQ695"/>
      <c r="AIR695"/>
      <c r="AIS695"/>
      <c r="AIT695"/>
      <c r="AIU695"/>
      <c r="AIV695"/>
      <c r="AIW695"/>
      <c r="AIX695"/>
      <c r="AIY695"/>
      <c r="AIZ695"/>
      <c r="AJA695"/>
      <c r="AJB695"/>
      <c r="AJC695"/>
      <c r="AJD695"/>
      <c r="AJE695"/>
      <c r="AJF695"/>
      <c r="AJG695"/>
      <c r="AJH695"/>
      <c r="AJI695"/>
      <c r="AJJ695"/>
      <c r="AJK695"/>
      <c r="AJL695"/>
      <c r="AJM695"/>
      <c r="AJN695"/>
      <c r="AJO695"/>
      <c r="AJP695"/>
      <c r="AJQ695"/>
      <c r="AJR695"/>
      <c r="AJS695"/>
      <c r="AJT695"/>
      <c r="AJU695"/>
      <c r="AJV695"/>
      <c r="AJW695"/>
      <c r="AJX695"/>
      <c r="AJY695"/>
      <c r="AJZ695"/>
      <c r="AKA695"/>
      <c r="AKB695"/>
      <c r="AKC695"/>
      <c r="AKD695"/>
      <c r="AKE695"/>
      <c r="AKF695"/>
      <c r="AKG695"/>
      <c r="AKH695"/>
      <c r="AKI695"/>
      <c r="AKJ695"/>
      <c r="AKK695"/>
      <c r="AKL695"/>
      <c r="AKM695"/>
      <c r="AKN695"/>
      <c r="AKO695"/>
      <c r="AKP695"/>
      <c r="AKQ695"/>
      <c r="AKR695"/>
      <c r="AKS695"/>
      <c r="AKT695"/>
      <c r="AKU695"/>
      <c r="AKV695"/>
      <c r="AKW695"/>
      <c r="AKX695"/>
      <c r="AKY695"/>
      <c r="AKZ695"/>
      <c r="ALA695"/>
      <c r="ALB695"/>
      <c r="ALC695"/>
      <c r="ALD695"/>
      <c r="ALE695"/>
      <c r="ALF695"/>
      <c r="ALG695"/>
      <c r="ALH695"/>
      <c r="ALI695"/>
      <c r="ALJ695"/>
      <c r="ALK695"/>
      <c r="ALL695"/>
      <c r="ALM695"/>
      <c r="ALN695"/>
      <c r="ALO695"/>
      <c r="ALP695"/>
      <c r="ALQ695"/>
      <c r="ALR695"/>
      <c r="ALS695"/>
      <c r="ALT695"/>
      <c r="ALU695"/>
      <c r="ALV695"/>
      <c r="ALW695"/>
      <c r="ALX695"/>
      <c r="ALY695"/>
      <c r="ALZ695"/>
      <c r="AMA695"/>
      <c r="AMB695"/>
      <c r="AMC695"/>
      <c r="AMD695"/>
      <c r="AME695"/>
      <c r="AMF695"/>
      <c r="AMG695"/>
      <c r="AMH695"/>
      <c r="AMI695"/>
      <c r="AMJ695"/>
      <c r="AMK695"/>
    </row>
    <row r="696" spans="1:1025">
      <c r="A696" s="153"/>
      <c r="B696" s="734" t="s">
        <v>5</v>
      </c>
      <c r="C696" s="238"/>
      <c r="D696" s="839"/>
      <c r="E696" s="839"/>
      <c r="F696" s="261"/>
      <c r="G696" s="153"/>
      <c r="H696" s="153"/>
      <c r="I696" s="14"/>
      <c r="J696" s="153"/>
      <c r="K696" s="153"/>
      <c r="L696" s="735"/>
      <c r="M696" s="736" t="e">
        <f t="shared" si="58"/>
        <v>#DIV/0!</v>
      </c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  <c r="FK696"/>
      <c r="FL696"/>
      <c r="FM696"/>
      <c r="FN696"/>
      <c r="FO696"/>
      <c r="FP696"/>
      <c r="FQ696"/>
      <c r="FR696"/>
      <c r="FS696"/>
      <c r="FT696"/>
      <c r="FU696"/>
      <c r="FV696"/>
      <c r="FW696"/>
      <c r="FX696"/>
      <c r="FY696"/>
      <c r="FZ696"/>
      <c r="GA696"/>
      <c r="GB696"/>
      <c r="GC696"/>
      <c r="GD696"/>
      <c r="GE696"/>
      <c r="GF696"/>
      <c r="GG696"/>
      <c r="GH696"/>
      <c r="GI696"/>
      <c r="GJ696"/>
      <c r="GK696"/>
      <c r="GL696"/>
      <c r="GM696"/>
      <c r="GN696"/>
      <c r="GO696"/>
      <c r="GP696"/>
      <c r="GQ696"/>
      <c r="GR696"/>
      <c r="GS696"/>
      <c r="GT696"/>
      <c r="GU696"/>
      <c r="GV696"/>
      <c r="GW696"/>
      <c r="GX696"/>
      <c r="GY696"/>
      <c r="GZ696"/>
      <c r="HA696"/>
      <c r="HB696"/>
      <c r="HC696"/>
      <c r="HD696"/>
      <c r="HE696"/>
      <c r="HF696"/>
      <c r="HG696"/>
      <c r="HH696"/>
      <c r="HI696"/>
      <c r="HJ696"/>
      <c r="HK696"/>
      <c r="HL696"/>
      <c r="HM696"/>
      <c r="HN696"/>
      <c r="HO696"/>
      <c r="HP696"/>
      <c r="HQ696"/>
      <c r="HR696"/>
      <c r="HS696"/>
      <c r="HT696"/>
      <c r="HU696"/>
      <c r="HV696"/>
      <c r="HW696"/>
      <c r="HX696"/>
      <c r="HY696"/>
      <c r="HZ696"/>
      <c r="IA696"/>
      <c r="IB696"/>
      <c r="IC696"/>
      <c r="ID696"/>
      <c r="IE696"/>
      <c r="IF696"/>
      <c r="IG696"/>
      <c r="IH696"/>
      <c r="II696"/>
      <c r="IJ696"/>
      <c r="IK696"/>
      <c r="IL696"/>
      <c r="IM696"/>
      <c r="IN696"/>
      <c r="IO696"/>
      <c r="IP696"/>
      <c r="IQ696"/>
      <c r="IR696"/>
      <c r="IS696"/>
      <c r="IT696"/>
      <c r="IU696"/>
      <c r="IV696"/>
      <c r="IW696"/>
      <c r="IX696"/>
      <c r="IY696"/>
      <c r="IZ696"/>
      <c r="JA696"/>
      <c r="JB696"/>
      <c r="JC696"/>
      <c r="JD696"/>
      <c r="JE696"/>
      <c r="JF696"/>
      <c r="JG696"/>
      <c r="JH696"/>
      <c r="JI696"/>
      <c r="JJ696"/>
      <c r="JK696"/>
      <c r="JL696"/>
      <c r="JM696"/>
      <c r="JN696"/>
      <c r="JO696"/>
      <c r="JP696"/>
      <c r="JQ696"/>
      <c r="JR696"/>
      <c r="JS696"/>
      <c r="JT696"/>
      <c r="JU696"/>
      <c r="JV696"/>
      <c r="JW696"/>
      <c r="JX696"/>
      <c r="JY696"/>
      <c r="JZ696"/>
      <c r="KA696"/>
      <c r="KB696"/>
      <c r="KC696"/>
      <c r="KD696"/>
      <c r="KE696"/>
      <c r="KF696"/>
      <c r="KG696"/>
      <c r="KH696"/>
      <c r="KI696"/>
      <c r="KJ696"/>
      <c r="KK696"/>
      <c r="KL696"/>
      <c r="KM696"/>
      <c r="KN696"/>
      <c r="KO696"/>
      <c r="KP696"/>
      <c r="KQ696"/>
      <c r="KR696"/>
      <c r="KS696"/>
      <c r="KT696"/>
      <c r="KU696"/>
      <c r="KV696"/>
      <c r="KW696"/>
      <c r="KX696"/>
      <c r="KY696"/>
      <c r="KZ696"/>
      <c r="LA696"/>
      <c r="LB696"/>
      <c r="LC696"/>
      <c r="LD696"/>
      <c r="LE696"/>
      <c r="LF696"/>
      <c r="LG696"/>
      <c r="LH696"/>
      <c r="LI696"/>
      <c r="LJ696"/>
      <c r="LK696"/>
      <c r="LL696"/>
      <c r="LM696"/>
      <c r="LN696"/>
      <c r="LO696"/>
      <c r="LP696"/>
      <c r="LQ696"/>
      <c r="LR696"/>
      <c r="LS696"/>
      <c r="LT696"/>
      <c r="LU696"/>
      <c r="LV696"/>
      <c r="LW696"/>
      <c r="LX696"/>
      <c r="LY696"/>
      <c r="LZ696"/>
      <c r="MA696"/>
      <c r="MB696"/>
      <c r="MC696"/>
      <c r="MD696"/>
      <c r="ME696"/>
      <c r="MF696"/>
      <c r="MG696"/>
      <c r="MH696"/>
      <c r="MI696"/>
      <c r="MJ696"/>
      <c r="MK696"/>
      <c r="ML696"/>
      <c r="MM696"/>
      <c r="MN696"/>
      <c r="MO696"/>
      <c r="MP696"/>
      <c r="MQ696"/>
      <c r="MR696"/>
      <c r="MS696"/>
      <c r="MT696"/>
      <c r="MU696"/>
      <c r="MV696"/>
      <c r="MW696"/>
      <c r="MX696"/>
      <c r="MY696"/>
      <c r="MZ696"/>
      <c r="NA696"/>
      <c r="NB696"/>
      <c r="NC696"/>
      <c r="ND696"/>
      <c r="NE696"/>
      <c r="NF696"/>
      <c r="NG696"/>
      <c r="NH696"/>
      <c r="NI696"/>
      <c r="NJ696"/>
      <c r="NK696"/>
      <c r="NL696"/>
      <c r="NM696"/>
      <c r="NN696"/>
      <c r="NO696"/>
      <c r="NP696"/>
      <c r="NQ696"/>
      <c r="NR696"/>
      <c r="NS696"/>
      <c r="NT696"/>
      <c r="NU696"/>
      <c r="NV696"/>
      <c r="NW696"/>
      <c r="NX696"/>
      <c r="NY696"/>
      <c r="NZ696"/>
      <c r="OA696"/>
      <c r="OB696"/>
      <c r="OC696"/>
      <c r="OD696"/>
      <c r="OE696"/>
      <c r="OF696"/>
      <c r="OG696"/>
      <c r="OH696"/>
      <c r="OI696"/>
      <c r="OJ696"/>
      <c r="OK696"/>
      <c r="OL696"/>
      <c r="OM696"/>
      <c r="ON696"/>
      <c r="OO696"/>
      <c r="OP696"/>
      <c r="OQ696"/>
      <c r="OR696"/>
      <c r="OS696"/>
      <c r="OT696"/>
      <c r="OU696"/>
      <c r="OV696"/>
      <c r="OW696"/>
      <c r="OX696"/>
      <c r="OY696"/>
      <c r="OZ696"/>
      <c r="PA696"/>
      <c r="PB696"/>
      <c r="PC696"/>
      <c r="PD696"/>
      <c r="PE696"/>
      <c r="PF696"/>
      <c r="PG696"/>
      <c r="PH696"/>
      <c r="PI696"/>
      <c r="PJ696"/>
      <c r="PK696"/>
      <c r="PL696"/>
      <c r="PM696"/>
      <c r="PN696"/>
      <c r="PO696"/>
      <c r="PP696"/>
      <c r="PQ696"/>
      <c r="PR696"/>
      <c r="PS696"/>
      <c r="PT696"/>
      <c r="PU696"/>
      <c r="PV696"/>
      <c r="PW696"/>
      <c r="PX696"/>
      <c r="PY696"/>
      <c r="PZ696"/>
      <c r="QA696"/>
      <c r="QB696"/>
      <c r="QC696"/>
      <c r="QD696"/>
      <c r="QE696"/>
      <c r="QF696"/>
      <c r="QG696"/>
      <c r="QH696"/>
      <c r="QI696"/>
      <c r="QJ696"/>
      <c r="QK696"/>
      <c r="QL696"/>
      <c r="QM696"/>
      <c r="QN696"/>
      <c r="QO696"/>
      <c r="QP696"/>
      <c r="QQ696"/>
      <c r="QR696"/>
      <c r="QS696"/>
      <c r="QT696"/>
      <c r="QU696"/>
      <c r="QV696"/>
      <c r="QW696"/>
      <c r="QX696"/>
      <c r="QY696"/>
      <c r="QZ696"/>
      <c r="RA696"/>
      <c r="RB696"/>
      <c r="RC696"/>
      <c r="RD696"/>
      <c r="RE696"/>
      <c r="RF696"/>
      <c r="RG696"/>
      <c r="RH696"/>
      <c r="RI696"/>
      <c r="RJ696"/>
      <c r="RK696"/>
      <c r="RL696"/>
      <c r="RM696"/>
      <c r="RN696"/>
      <c r="RO696"/>
      <c r="RP696"/>
      <c r="RQ696"/>
      <c r="RR696"/>
      <c r="RS696"/>
      <c r="RT696"/>
      <c r="RU696"/>
      <c r="RV696"/>
      <c r="RW696"/>
      <c r="RX696"/>
      <c r="RY696"/>
      <c r="RZ696"/>
      <c r="SA696"/>
      <c r="SB696"/>
      <c r="SC696"/>
      <c r="SD696"/>
      <c r="SE696"/>
      <c r="SF696"/>
      <c r="SG696"/>
      <c r="SH696"/>
      <c r="SI696"/>
      <c r="SJ696"/>
      <c r="SK696"/>
      <c r="SL696"/>
      <c r="SM696"/>
      <c r="SN696"/>
      <c r="SO696"/>
      <c r="SP696"/>
      <c r="SQ696"/>
      <c r="SR696"/>
      <c r="SS696"/>
      <c r="ST696"/>
      <c r="SU696"/>
      <c r="SV696"/>
      <c r="SW696"/>
      <c r="SX696"/>
      <c r="SY696"/>
      <c r="SZ696"/>
      <c r="TA696"/>
      <c r="TB696"/>
      <c r="TC696"/>
      <c r="TD696"/>
      <c r="TE696"/>
      <c r="TF696"/>
      <c r="TG696"/>
      <c r="TH696"/>
      <c r="TI696"/>
      <c r="TJ696"/>
      <c r="TK696"/>
      <c r="TL696"/>
      <c r="TM696"/>
      <c r="TN696"/>
      <c r="TO696"/>
      <c r="TP696"/>
      <c r="TQ696"/>
      <c r="TR696"/>
      <c r="TS696"/>
      <c r="TT696"/>
      <c r="TU696"/>
      <c r="TV696"/>
      <c r="TW696"/>
      <c r="TX696"/>
      <c r="TY696"/>
      <c r="TZ696"/>
      <c r="UA696"/>
      <c r="UB696"/>
      <c r="UC696"/>
      <c r="UD696"/>
      <c r="UE696"/>
      <c r="UF696"/>
      <c r="UG696"/>
      <c r="UH696"/>
      <c r="UI696"/>
      <c r="UJ696"/>
      <c r="UK696"/>
      <c r="UL696"/>
      <c r="UM696"/>
      <c r="UN696"/>
      <c r="UO696"/>
      <c r="UP696"/>
      <c r="UQ696"/>
      <c r="UR696"/>
      <c r="US696"/>
      <c r="UT696"/>
      <c r="UU696"/>
      <c r="UV696"/>
      <c r="UW696"/>
      <c r="UX696"/>
      <c r="UY696"/>
      <c r="UZ696"/>
      <c r="VA696"/>
      <c r="VB696"/>
      <c r="VC696"/>
      <c r="VD696"/>
      <c r="VE696"/>
      <c r="VF696"/>
      <c r="VG696"/>
      <c r="VH696"/>
      <c r="VI696"/>
      <c r="VJ696"/>
      <c r="VK696"/>
      <c r="VL696"/>
      <c r="VM696"/>
      <c r="VN696"/>
      <c r="VO696"/>
      <c r="VP696"/>
      <c r="VQ696"/>
      <c r="VR696"/>
      <c r="VS696"/>
      <c r="VT696"/>
      <c r="VU696"/>
      <c r="VV696"/>
      <c r="VW696"/>
      <c r="VX696"/>
      <c r="VY696"/>
      <c r="VZ696"/>
      <c r="WA696"/>
      <c r="WB696"/>
      <c r="WC696"/>
      <c r="WD696"/>
      <c r="WE696"/>
      <c r="WF696"/>
      <c r="WG696"/>
      <c r="WH696"/>
      <c r="WI696"/>
      <c r="WJ696"/>
      <c r="WK696"/>
      <c r="WL696"/>
      <c r="WM696"/>
      <c r="WN696"/>
      <c r="WO696"/>
      <c r="WP696"/>
      <c r="WQ696"/>
      <c r="WR696"/>
      <c r="WS696"/>
      <c r="WT696"/>
      <c r="WU696"/>
      <c r="WV696"/>
      <c r="WW696"/>
      <c r="WX696"/>
      <c r="WY696"/>
      <c r="WZ696"/>
      <c r="XA696"/>
      <c r="XB696"/>
      <c r="XC696"/>
      <c r="XD696"/>
      <c r="XE696"/>
      <c r="XF696"/>
      <c r="XG696"/>
      <c r="XH696"/>
      <c r="XI696"/>
      <c r="XJ696"/>
      <c r="XK696"/>
      <c r="XL696"/>
      <c r="XM696"/>
      <c r="XN696"/>
      <c r="XO696"/>
      <c r="XP696"/>
      <c r="XQ696"/>
      <c r="XR696"/>
      <c r="XS696"/>
      <c r="XT696"/>
      <c r="XU696"/>
      <c r="XV696"/>
      <c r="XW696"/>
      <c r="XX696"/>
      <c r="XY696"/>
      <c r="XZ696"/>
      <c r="YA696"/>
      <c r="YB696"/>
      <c r="YC696"/>
      <c r="YD696"/>
      <c r="YE696"/>
      <c r="YF696"/>
      <c r="YG696"/>
      <c r="YH696"/>
      <c r="YI696"/>
      <c r="YJ696"/>
      <c r="YK696"/>
      <c r="YL696"/>
      <c r="YM696"/>
      <c r="YN696"/>
      <c r="YO696"/>
      <c r="YP696"/>
      <c r="YQ696"/>
      <c r="YR696"/>
      <c r="YS696"/>
      <c r="YT696"/>
      <c r="YU696"/>
      <c r="YV696"/>
      <c r="YW696"/>
      <c r="YX696"/>
      <c r="YY696"/>
      <c r="YZ696"/>
      <c r="ZA696"/>
      <c r="ZB696"/>
      <c r="ZC696"/>
      <c r="ZD696"/>
      <c r="ZE696"/>
      <c r="ZF696"/>
      <c r="ZG696"/>
      <c r="ZH696"/>
      <c r="ZI696"/>
      <c r="ZJ696"/>
      <c r="ZK696"/>
      <c r="ZL696"/>
      <c r="ZM696"/>
      <c r="ZN696"/>
      <c r="ZO696"/>
      <c r="ZP696"/>
      <c r="ZQ696"/>
      <c r="ZR696"/>
      <c r="ZS696"/>
      <c r="ZT696"/>
      <c r="ZU696"/>
      <c r="ZV696"/>
      <c r="ZW696"/>
      <c r="ZX696"/>
      <c r="ZY696"/>
      <c r="ZZ696"/>
      <c r="AAA696"/>
      <c r="AAB696"/>
      <c r="AAC696"/>
      <c r="AAD696"/>
      <c r="AAE696"/>
      <c r="AAF696"/>
      <c r="AAG696"/>
      <c r="AAH696"/>
      <c r="AAI696"/>
      <c r="AAJ696"/>
      <c r="AAK696"/>
      <c r="AAL696"/>
      <c r="AAM696"/>
      <c r="AAN696"/>
      <c r="AAO696"/>
      <c r="AAP696"/>
      <c r="AAQ696"/>
      <c r="AAR696"/>
      <c r="AAS696"/>
      <c r="AAT696"/>
      <c r="AAU696"/>
      <c r="AAV696"/>
      <c r="AAW696"/>
      <c r="AAX696"/>
      <c r="AAY696"/>
      <c r="AAZ696"/>
      <c r="ABA696"/>
      <c r="ABB696"/>
      <c r="ABC696"/>
      <c r="ABD696"/>
      <c r="ABE696"/>
      <c r="ABF696"/>
      <c r="ABG696"/>
      <c r="ABH696"/>
      <c r="ABI696"/>
      <c r="ABJ696"/>
      <c r="ABK696"/>
      <c r="ABL696"/>
      <c r="ABM696"/>
      <c r="ABN696"/>
      <c r="ABO696"/>
      <c r="ABP696"/>
      <c r="ABQ696"/>
      <c r="ABR696"/>
      <c r="ABS696"/>
      <c r="ABT696"/>
      <c r="ABU696"/>
      <c r="ABV696"/>
      <c r="ABW696"/>
      <c r="ABX696"/>
      <c r="ABY696"/>
      <c r="ABZ696"/>
      <c r="ACA696"/>
      <c r="ACB696"/>
      <c r="ACC696"/>
      <c r="ACD696"/>
      <c r="ACE696"/>
      <c r="ACF696"/>
      <c r="ACG696"/>
      <c r="ACH696"/>
      <c r="ACI696"/>
      <c r="ACJ696"/>
      <c r="ACK696"/>
      <c r="ACL696"/>
      <c r="ACM696"/>
      <c r="ACN696"/>
      <c r="ACO696"/>
      <c r="ACP696"/>
      <c r="ACQ696"/>
      <c r="ACR696"/>
      <c r="ACS696"/>
      <c r="ACT696"/>
      <c r="ACU696"/>
      <c r="ACV696"/>
      <c r="ACW696"/>
      <c r="ACX696"/>
      <c r="ACY696"/>
      <c r="ACZ696"/>
      <c r="ADA696"/>
      <c r="ADB696"/>
      <c r="ADC696"/>
      <c r="ADD696"/>
      <c r="ADE696"/>
      <c r="ADF696"/>
      <c r="ADG696"/>
      <c r="ADH696"/>
      <c r="ADI696"/>
      <c r="ADJ696"/>
      <c r="ADK696"/>
      <c r="ADL696"/>
      <c r="ADM696"/>
      <c r="ADN696"/>
      <c r="ADO696"/>
      <c r="ADP696"/>
      <c r="ADQ696"/>
      <c r="ADR696"/>
      <c r="ADS696"/>
      <c r="ADT696"/>
      <c r="ADU696"/>
      <c r="ADV696"/>
      <c r="ADW696"/>
      <c r="ADX696"/>
      <c r="ADY696"/>
      <c r="ADZ696"/>
      <c r="AEA696"/>
      <c r="AEB696"/>
      <c r="AEC696"/>
      <c r="AED696"/>
      <c r="AEE696"/>
      <c r="AEF696"/>
      <c r="AEG696"/>
      <c r="AEH696"/>
      <c r="AEI696"/>
      <c r="AEJ696"/>
      <c r="AEK696"/>
      <c r="AEL696"/>
      <c r="AEM696"/>
      <c r="AEN696"/>
      <c r="AEO696"/>
      <c r="AEP696"/>
      <c r="AEQ696"/>
      <c r="AER696"/>
      <c r="AES696"/>
      <c r="AET696"/>
      <c r="AEU696"/>
      <c r="AEV696"/>
      <c r="AEW696"/>
      <c r="AEX696"/>
      <c r="AEY696"/>
      <c r="AEZ696"/>
      <c r="AFA696"/>
      <c r="AFB696"/>
      <c r="AFC696"/>
      <c r="AFD696"/>
      <c r="AFE696"/>
      <c r="AFF696"/>
      <c r="AFG696"/>
      <c r="AFH696"/>
      <c r="AFI696"/>
      <c r="AFJ696"/>
      <c r="AFK696"/>
      <c r="AFL696"/>
      <c r="AFM696"/>
      <c r="AFN696"/>
      <c r="AFO696"/>
      <c r="AFP696"/>
      <c r="AFQ696"/>
      <c r="AFR696"/>
      <c r="AFS696"/>
      <c r="AFT696"/>
      <c r="AFU696"/>
      <c r="AFV696"/>
      <c r="AFW696"/>
      <c r="AFX696"/>
      <c r="AFY696"/>
      <c r="AFZ696"/>
      <c r="AGA696"/>
      <c r="AGB696"/>
      <c r="AGC696"/>
      <c r="AGD696"/>
      <c r="AGE696"/>
      <c r="AGF696"/>
      <c r="AGG696"/>
      <c r="AGH696"/>
      <c r="AGI696"/>
      <c r="AGJ696"/>
      <c r="AGK696"/>
      <c r="AGL696"/>
      <c r="AGM696"/>
      <c r="AGN696"/>
      <c r="AGO696"/>
      <c r="AGP696"/>
      <c r="AGQ696"/>
      <c r="AGR696"/>
      <c r="AGS696"/>
      <c r="AGT696"/>
      <c r="AGU696"/>
      <c r="AGV696"/>
      <c r="AGW696"/>
      <c r="AGX696"/>
      <c r="AGY696"/>
      <c r="AGZ696"/>
      <c r="AHA696"/>
      <c r="AHB696"/>
      <c r="AHC696"/>
      <c r="AHD696"/>
      <c r="AHE696"/>
      <c r="AHF696"/>
      <c r="AHG696"/>
      <c r="AHH696"/>
      <c r="AHI696"/>
      <c r="AHJ696"/>
      <c r="AHK696"/>
      <c r="AHL696"/>
      <c r="AHM696"/>
      <c r="AHN696"/>
      <c r="AHO696"/>
      <c r="AHP696"/>
      <c r="AHQ696"/>
      <c r="AHR696"/>
      <c r="AHS696"/>
      <c r="AHT696"/>
      <c r="AHU696"/>
      <c r="AHV696"/>
      <c r="AHW696"/>
      <c r="AHX696"/>
      <c r="AHY696"/>
      <c r="AHZ696"/>
      <c r="AIA696"/>
      <c r="AIB696"/>
      <c r="AIC696"/>
      <c r="AID696"/>
      <c r="AIE696"/>
      <c r="AIF696"/>
      <c r="AIG696"/>
      <c r="AIH696"/>
      <c r="AII696"/>
      <c r="AIJ696"/>
      <c r="AIK696"/>
      <c r="AIL696"/>
      <c r="AIM696"/>
      <c r="AIN696"/>
      <c r="AIO696"/>
      <c r="AIP696"/>
      <c r="AIQ696"/>
      <c r="AIR696"/>
      <c r="AIS696"/>
      <c r="AIT696"/>
      <c r="AIU696"/>
      <c r="AIV696"/>
      <c r="AIW696"/>
      <c r="AIX696"/>
      <c r="AIY696"/>
      <c r="AIZ696"/>
      <c r="AJA696"/>
      <c r="AJB696"/>
      <c r="AJC696"/>
      <c r="AJD696"/>
      <c r="AJE696"/>
      <c r="AJF696"/>
      <c r="AJG696"/>
      <c r="AJH696"/>
      <c r="AJI696"/>
      <c r="AJJ696"/>
      <c r="AJK696"/>
      <c r="AJL696"/>
      <c r="AJM696"/>
      <c r="AJN696"/>
      <c r="AJO696"/>
      <c r="AJP696"/>
      <c r="AJQ696"/>
      <c r="AJR696"/>
      <c r="AJS696"/>
      <c r="AJT696"/>
      <c r="AJU696"/>
      <c r="AJV696"/>
      <c r="AJW696"/>
      <c r="AJX696"/>
      <c r="AJY696"/>
      <c r="AJZ696"/>
      <c r="AKA696"/>
      <c r="AKB696"/>
      <c r="AKC696"/>
      <c r="AKD696"/>
      <c r="AKE696"/>
      <c r="AKF696"/>
      <c r="AKG696"/>
      <c r="AKH696"/>
      <c r="AKI696"/>
      <c r="AKJ696"/>
      <c r="AKK696"/>
      <c r="AKL696"/>
      <c r="AKM696"/>
      <c r="AKN696"/>
      <c r="AKO696"/>
      <c r="AKP696"/>
      <c r="AKQ696"/>
      <c r="AKR696"/>
      <c r="AKS696"/>
      <c r="AKT696"/>
      <c r="AKU696"/>
      <c r="AKV696"/>
      <c r="AKW696"/>
      <c r="AKX696"/>
      <c r="AKY696"/>
      <c r="AKZ696"/>
      <c r="ALA696"/>
      <c r="ALB696"/>
      <c r="ALC696"/>
      <c r="ALD696"/>
      <c r="ALE696"/>
      <c r="ALF696"/>
      <c r="ALG696"/>
      <c r="ALH696"/>
      <c r="ALI696"/>
      <c r="ALJ696"/>
      <c r="ALK696"/>
      <c r="ALL696"/>
      <c r="ALM696"/>
      <c r="ALN696"/>
      <c r="ALO696"/>
      <c r="ALP696"/>
      <c r="ALQ696"/>
      <c r="ALR696"/>
      <c r="ALS696"/>
      <c r="ALT696"/>
      <c r="ALU696"/>
      <c r="ALV696"/>
      <c r="ALW696"/>
      <c r="ALX696"/>
      <c r="ALY696"/>
      <c r="ALZ696"/>
      <c r="AMA696"/>
      <c r="AMB696"/>
      <c r="AMC696"/>
      <c r="AMD696"/>
      <c r="AME696"/>
      <c r="AMF696"/>
      <c r="AMG696"/>
      <c r="AMH696"/>
      <c r="AMI696"/>
      <c r="AMJ696"/>
      <c r="AMK696"/>
    </row>
    <row r="697" spans="1:1025">
      <c r="A697" s="153">
        <v>1</v>
      </c>
      <c r="B697" s="840" t="s">
        <v>2070</v>
      </c>
      <c r="C697" s="238" t="s">
        <v>338</v>
      </c>
      <c r="D697" s="153">
        <v>40360</v>
      </c>
      <c r="E697" s="153">
        <v>41400</v>
      </c>
      <c r="F697" s="261">
        <f>E697-D697</f>
        <v>1040</v>
      </c>
      <c r="G697" s="153">
        <v>20</v>
      </c>
      <c r="H697" s="153">
        <f>F697*G697</f>
        <v>20800</v>
      </c>
      <c r="I697" s="14"/>
      <c r="J697" s="244">
        <f>SUM(H697:I697)</f>
        <v>20800</v>
      </c>
      <c r="K697" s="247"/>
      <c r="L697" s="735">
        <v>20000</v>
      </c>
      <c r="M697" s="736">
        <f t="shared" si="58"/>
        <v>1.04</v>
      </c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  <c r="FK697"/>
      <c r="FL697"/>
      <c r="FM697"/>
      <c r="FN697"/>
      <c r="FO697"/>
      <c r="FP697"/>
      <c r="FQ697"/>
      <c r="FR697"/>
      <c r="FS697"/>
      <c r="FT697"/>
      <c r="FU697"/>
      <c r="FV697"/>
      <c r="FW697"/>
      <c r="FX697"/>
      <c r="FY697"/>
      <c r="FZ697"/>
      <c r="GA697"/>
      <c r="GB697"/>
      <c r="GC697"/>
      <c r="GD697"/>
      <c r="GE697"/>
      <c r="GF697"/>
      <c r="GG697"/>
      <c r="GH697"/>
      <c r="GI697"/>
      <c r="GJ697"/>
      <c r="GK697"/>
      <c r="GL697"/>
      <c r="GM697"/>
      <c r="GN697"/>
      <c r="GO697"/>
      <c r="GP697"/>
      <c r="GQ697"/>
      <c r="GR697"/>
      <c r="GS697"/>
      <c r="GT697"/>
      <c r="GU697"/>
      <c r="GV697"/>
      <c r="GW697"/>
      <c r="GX697"/>
      <c r="GY697"/>
      <c r="GZ697"/>
      <c r="HA697"/>
      <c r="HB697"/>
      <c r="HC697"/>
      <c r="HD697"/>
      <c r="HE697"/>
      <c r="HF697"/>
      <c r="HG697"/>
      <c r="HH697"/>
      <c r="HI697"/>
      <c r="HJ697"/>
      <c r="HK697"/>
      <c r="HL697"/>
      <c r="HM697"/>
      <c r="HN697"/>
      <c r="HO697"/>
      <c r="HP697"/>
      <c r="HQ697"/>
      <c r="HR697"/>
      <c r="HS697"/>
      <c r="HT697"/>
      <c r="HU697"/>
      <c r="HV697"/>
      <c r="HW697"/>
      <c r="HX697"/>
      <c r="HY697"/>
      <c r="HZ697"/>
      <c r="IA697"/>
      <c r="IB697"/>
      <c r="IC697"/>
      <c r="ID697"/>
      <c r="IE697"/>
      <c r="IF697"/>
      <c r="IG697"/>
      <c r="IH697"/>
      <c r="II697"/>
      <c r="IJ697"/>
      <c r="IK697"/>
      <c r="IL697"/>
      <c r="IM697"/>
      <c r="IN697"/>
      <c r="IO697"/>
      <c r="IP697"/>
      <c r="IQ697"/>
      <c r="IR697"/>
      <c r="IS697"/>
      <c r="IT697"/>
      <c r="IU697"/>
      <c r="IV697"/>
      <c r="IW697"/>
      <c r="IX697"/>
      <c r="IY697"/>
      <c r="IZ697"/>
      <c r="JA697"/>
      <c r="JB697"/>
      <c r="JC697"/>
      <c r="JD697"/>
      <c r="JE697"/>
      <c r="JF697"/>
      <c r="JG697"/>
      <c r="JH697"/>
      <c r="JI697"/>
      <c r="JJ697"/>
      <c r="JK697"/>
      <c r="JL697"/>
      <c r="JM697"/>
      <c r="JN697"/>
      <c r="JO697"/>
      <c r="JP697"/>
      <c r="JQ697"/>
      <c r="JR697"/>
      <c r="JS697"/>
      <c r="JT697"/>
      <c r="JU697"/>
      <c r="JV697"/>
      <c r="JW697"/>
      <c r="JX697"/>
      <c r="JY697"/>
      <c r="JZ697"/>
      <c r="KA697"/>
      <c r="KB697"/>
      <c r="KC697"/>
      <c r="KD697"/>
      <c r="KE697"/>
      <c r="KF697"/>
      <c r="KG697"/>
      <c r="KH697"/>
      <c r="KI697"/>
      <c r="KJ697"/>
      <c r="KK697"/>
      <c r="KL697"/>
      <c r="KM697"/>
      <c r="KN697"/>
      <c r="KO697"/>
      <c r="KP697"/>
      <c r="KQ697"/>
      <c r="KR697"/>
      <c r="KS697"/>
      <c r="KT697"/>
      <c r="KU697"/>
      <c r="KV697"/>
      <c r="KW697"/>
      <c r="KX697"/>
      <c r="KY697"/>
      <c r="KZ697"/>
      <c r="LA697"/>
      <c r="LB697"/>
      <c r="LC697"/>
      <c r="LD697"/>
      <c r="LE697"/>
      <c r="LF697"/>
      <c r="LG697"/>
      <c r="LH697"/>
      <c r="LI697"/>
      <c r="LJ697"/>
      <c r="LK697"/>
      <c r="LL697"/>
      <c r="LM697"/>
      <c r="LN697"/>
      <c r="LO697"/>
      <c r="LP697"/>
      <c r="LQ697"/>
      <c r="LR697"/>
      <c r="LS697"/>
      <c r="LT697"/>
      <c r="LU697"/>
      <c r="LV697"/>
      <c r="LW697"/>
      <c r="LX697"/>
      <c r="LY697"/>
      <c r="LZ697"/>
      <c r="MA697"/>
      <c r="MB697"/>
      <c r="MC697"/>
      <c r="MD697"/>
      <c r="ME697"/>
      <c r="MF697"/>
      <c r="MG697"/>
      <c r="MH697"/>
      <c r="MI697"/>
      <c r="MJ697"/>
      <c r="MK697"/>
      <c r="ML697"/>
      <c r="MM697"/>
      <c r="MN697"/>
      <c r="MO697"/>
      <c r="MP697"/>
      <c r="MQ697"/>
      <c r="MR697"/>
      <c r="MS697"/>
      <c r="MT697"/>
      <c r="MU697"/>
      <c r="MV697"/>
      <c r="MW697"/>
      <c r="MX697"/>
      <c r="MY697"/>
      <c r="MZ697"/>
      <c r="NA697"/>
      <c r="NB697"/>
      <c r="NC697"/>
      <c r="ND697"/>
      <c r="NE697"/>
      <c r="NF697"/>
      <c r="NG697"/>
      <c r="NH697"/>
      <c r="NI697"/>
      <c r="NJ697"/>
      <c r="NK697"/>
      <c r="NL697"/>
      <c r="NM697"/>
      <c r="NN697"/>
      <c r="NO697"/>
      <c r="NP697"/>
      <c r="NQ697"/>
      <c r="NR697"/>
      <c r="NS697"/>
      <c r="NT697"/>
      <c r="NU697"/>
      <c r="NV697"/>
      <c r="NW697"/>
      <c r="NX697"/>
      <c r="NY697"/>
      <c r="NZ697"/>
      <c r="OA697"/>
      <c r="OB697"/>
      <c r="OC697"/>
      <c r="OD697"/>
      <c r="OE697"/>
      <c r="OF697"/>
      <c r="OG697"/>
      <c r="OH697"/>
      <c r="OI697"/>
      <c r="OJ697"/>
      <c r="OK697"/>
      <c r="OL697"/>
      <c r="OM697"/>
      <c r="ON697"/>
      <c r="OO697"/>
      <c r="OP697"/>
      <c r="OQ697"/>
      <c r="OR697"/>
      <c r="OS697"/>
      <c r="OT697"/>
      <c r="OU697"/>
      <c r="OV697"/>
      <c r="OW697"/>
      <c r="OX697"/>
      <c r="OY697"/>
      <c r="OZ697"/>
      <c r="PA697"/>
      <c r="PB697"/>
      <c r="PC697"/>
      <c r="PD697"/>
      <c r="PE697"/>
      <c r="PF697"/>
      <c r="PG697"/>
      <c r="PH697"/>
      <c r="PI697"/>
      <c r="PJ697"/>
      <c r="PK697"/>
      <c r="PL697"/>
      <c r="PM697"/>
      <c r="PN697"/>
      <c r="PO697"/>
      <c r="PP697"/>
      <c r="PQ697"/>
      <c r="PR697"/>
      <c r="PS697"/>
      <c r="PT697"/>
      <c r="PU697"/>
      <c r="PV697"/>
      <c r="PW697"/>
      <c r="PX697"/>
      <c r="PY697"/>
      <c r="PZ697"/>
      <c r="QA697"/>
      <c r="QB697"/>
      <c r="QC697"/>
      <c r="QD697"/>
      <c r="QE697"/>
      <c r="QF697"/>
      <c r="QG697"/>
      <c r="QH697"/>
      <c r="QI697"/>
      <c r="QJ697"/>
      <c r="QK697"/>
      <c r="QL697"/>
      <c r="QM697"/>
      <c r="QN697"/>
      <c r="QO697"/>
      <c r="QP697"/>
      <c r="QQ697"/>
      <c r="QR697"/>
      <c r="QS697"/>
      <c r="QT697"/>
      <c r="QU697"/>
      <c r="QV697"/>
      <c r="QW697"/>
      <c r="QX697"/>
      <c r="QY697"/>
      <c r="QZ697"/>
      <c r="RA697"/>
      <c r="RB697"/>
      <c r="RC697"/>
      <c r="RD697"/>
      <c r="RE697"/>
      <c r="RF697"/>
      <c r="RG697"/>
      <c r="RH697"/>
      <c r="RI697"/>
      <c r="RJ697"/>
      <c r="RK697"/>
      <c r="RL697"/>
      <c r="RM697"/>
      <c r="RN697"/>
      <c r="RO697"/>
      <c r="RP697"/>
      <c r="RQ697"/>
      <c r="RR697"/>
      <c r="RS697"/>
      <c r="RT697"/>
      <c r="RU697"/>
      <c r="RV697"/>
      <c r="RW697"/>
      <c r="RX697"/>
      <c r="RY697"/>
      <c r="RZ697"/>
      <c r="SA697"/>
      <c r="SB697"/>
      <c r="SC697"/>
      <c r="SD697"/>
      <c r="SE697"/>
      <c r="SF697"/>
      <c r="SG697"/>
      <c r="SH697"/>
      <c r="SI697"/>
      <c r="SJ697"/>
      <c r="SK697"/>
      <c r="SL697"/>
      <c r="SM697"/>
      <c r="SN697"/>
      <c r="SO697"/>
      <c r="SP697"/>
      <c r="SQ697"/>
      <c r="SR697"/>
      <c r="SS697"/>
      <c r="ST697"/>
      <c r="SU697"/>
      <c r="SV697"/>
      <c r="SW697"/>
      <c r="SX697"/>
      <c r="SY697"/>
      <c r="SZ697"/>
      <c r="TA697"/>
      <c r="TB697"/>
      <c r="TC697"/>
      <c r="TD697"/>
      <c r="TE697"/>
      <c r="TF697"/>
      <c r="TG697"/>
      <c r="TH697"/>
      <c r="TI697"/>
      <c r="TJ697"/>
      <c r="TK697"/>
      <c r="TL697"/>
      <c r="TM697"/>
      <c r="TN697"/>
      <c r="TO697"/>
      <c r="TP697"/>
      <c r="TQ697"/>
      <c r="TR697"/>
      <c r="TS697"/>
      <c r="TT697"/>
      <c r="TU697"/>
      <c r="TV697"/>
      <c r="TW697"/>
      <c r="TX697"/>
      <c r="TY697"/>
      <c r="TZ697"/>
      <c r="UA697"/>
      <c r="UB697"/>
      <c r="UC697"/>
      <c r="UD697"/>
      <c r="UE697"/>
      <c r="UF697"/>
      <c r="UG697"/>
      <c r="UH697"/>
      <c r="UI697"/>
      <c r="UJ697"/>
      <c r="UK697"/>
      <c r="UL697"/>
      <c r="UM697"/>
      <c r="UN697"/>
      <c r="UO697"/>
      <c r="UP697"/>
      <c r="UQ697"/>
      <c r="UR697"/>
      <c r="US697"/>
      <c r="UT697"/>
      <c r="UU697"/>
      <c r="UV697"/>
      <c r="UW697"/>
      <c r="UX697"/>
      <c r="UY697"/>
      <c r="UZ697"/>
      <c r="VA697"/>
      <c r="VB697"/>
      <c r="VC697"/>
      <c r="VD697"/>
      <c r="VE697"/>
      <c r="VF697"/>
      <c r="VG697"/>
      <c r="VH697"/>
      <c r="VI697"/>
      <c r="VJ697"/>
      <c r="VK697"/>
      <c r="VL697"/>
      <c r="VM697"/>
      <c r="VN697"/>
      <c r="VO697"/>
      <c r="VP697"/>
      <c r="VQ697"/>
      <c r="VR697"/>
      <c r="VS697"/>
      <c r="VT697"/>
      <c r="VU697"/>
      <c r="VV697"/>
      <c r="VW697"/>
      <c r="VX697"/>
      <c r="VY697"/>
      <c r="VZ697"/>
      <c r="WA697"/>
      <c r="WB697"/>
      <c r="WC697"/>
      <c r="WD697"/>
      <c r="WE697"/>
      <c r="WF697"/>
      <c r="WG697"/>
      <c r="WH697"/>
      <c r="WI697"/>
      <c r="WJ697"/>
      <c r="WK697"/>
      <c r="WL697"/>
      <c r="WM697"/>
      <c r="WN697"/>
      <c r="WO697"/>
      <c r="WP697"/>
      <c r="WQ697"/>
      <c r="WR697"/>
      <c r="WS697"/>
      <c r="WT697"/>
      <c r="WU697"/>
      <c r="WV697"/>
      <c r="WW697"/>
      <c r="WX697"/>
      <c r="WY697"/>
      <c r="WZ697"/>
      <c r="XA697"/>
      <c r="XB697"/>
      <c r="XC697"/>
      <c r="XD697"/>
      <c r="XE697"/>
      <c r="XF697"/>
      <c r="XG697"/>
      <c r="XH697"/>
      <c r="XI697"/>
      <c r="XJ697"/>
      <c r="XK697"/>
      <c r="XL697"/>
      <c r="XM697"/>
      <c r="XN697"/>
      <c r="XO697"/>
      <c r="XP697"/>
      <c r="XQ697"/>
      <c r="XR697"/>
      <c r="XS697"/>
      <c r="XT697"/>
      <c r="XU697"/>
      <c r="XV697"/>
      <c r="XW697"/>
      <c r="XX697"/>
      <c r="XY697"/>
      <c r="XZ697"/>
      <c r="YA697"/>
      <c r="YB697"/>
      <c r="YC697"/>
      <c r="YD697"/>
      <c r="YE697"/>
      <c r="YF697"/>
      <c r="YG697"/>
      <c r="YH697"/>
      <c r="YI697"/>
      <c r="YJ697"/>
      <c r="YK697"/>
      <c r="YL697"/>
      <c r="YM697"/>
      <c r="YN697"/>
      <c r="YO697"/>
      <c r="YP697"/>
      <c r="YQ697"/>
      <c r="YR697"/>
      <c r="YS697"/>
      <c r="YT697"/>
      <c r="YU697"/>
      <c r="YV697"/>
      <c r="YW697"/>
      <c r="YX697"/>
      <c r="YY697"/>
      <c r="YZ697"/>
      <c r="ZA697"/>
      <c r="ZB697"/>
      <c r="ZC697"/>
      <c r="ZD697"/>
      <c r="ZE697"/>
      <c r="ZF697"/>
      <c r="ZG697"/>
      <c r="ZH697"/>
      <c r="ZI697"/>
      <c r="ZJ697"/>
      <c r="ZK697"/>
      <c r="ZL697"/>
      <c r="ZM697"/>
      <c r="ZN697"/>
      <c r="ZO697"/>
      <c r="ZP697"/>
      <c r="ZQ697"/>
      <c r="ZR697"/>
      <c r="ZS697"/>
      <c r="ZT697"/>
      <c r="ZU697"/>
      <c r="ZV697"/>
      <c r="ZW697"/>
      <c r="ZX697"/>
      <c r="ZY697"/>
      <c r="ZZ697"/>
      <c r="AAA697"/>
      <c r="AAB697"/>
      <c r="AAC697"/>
      <c r="AAD697"/>
      <c r="AAE697"/>
      <c r="AAF697"/>
      <c r="AAG697"/>
      <c r="AAH697"/>
      <c r="AAI697"/>
      <c r="AAJ697"/>
      <c r="AAK697"/>
      <c r="AAL697"/>
      <c r="AAM697"/>
      <c r="AAN697"/>
      <c r="AAO697"/>
      <c r="AAP697"/>
      <c r="AAQ697"/>
      <c r="AAR697"/>
      <c r="AAS697"/>
      <c r="AAT697"/>
      <c r="AAU697"/>
      <c r="AAV697"/>
      <c r="AAW697"/>
      <c r="AAX697"/>
      <c r="AAY697"/>
      <c r="AAZ697"/>
      <c r="ABA697"/>
      <c r="ABB697"/>
      <c r="ABC697"/>
      <c r="ABD697"/>
      <c r="ABE697"/>
      <c r="ABF697"/>
      <c r="ABG697"/>
      <c r="ABH697"/>
      <c r="ABI697"/>
      <c r="ABJ697"/>
      <c r="ABK697"/>
      <c r="ABL697"/>
      <c r="ABM697"/>
      <c r="ABN697"/>
      <c r="ABO697"/>
      <c r="ABP697"/>
      <c r="ABQ697"/>
      <c r="ABR697"/>
      <c r="ABS697"/>
      <c r="ABT697"/>
      <c r="ABU697"/>
      <c r="ABV697"/>
      <c r="ABW697"/>
      <c r="ABX697"/>
      <c r="ABY697"/>
      <c r="ABZ697"/>
      <c r="ACA697"/>
      <c r="ACB697"/>
      <c r="ACC697"/>
      <c r="ACD697"/>
      <c r="ACE697"/>
      <c r="ACF697"/>
      <c r="ACG697"/>
      <c r="ACH697"/>
      <c r="ACI697"/>
      <c r="ACJ697"/>
      <c r="ACK697"/>
      <c r="ACL697"/>
      <c r="ACM697"/>
      <c r="ACN697"/>
      <c r="ACO697"/>
      <c r="ACP697"/>
      <c r="ACQ697"/>
      <c r="ACR697"/>
      <c r="ACS697"/>
      <c r="ACT697"/>
      <c r="ACU697"/>
      <c r="ACV697"/>
      <c r="ACW697"/>
      <c r="ACX697"/>
      <c r="ACY697"/>
      <c r="ACZ697"/>
      <c r="ADA697"/>
      <c r="ADB697"/>
      <c r="ADC697"/>
      <c r="ADD697"/>
      <c r="ADE697"/>
      <c r="ADF697"/>
      <c r="ADG697"/>
      <c r="ADH697"/>
      <c r="ADI697"/>
      <c r="ADJ697"/>
      <c r="ADK697"/>
      <c r="ADL697"/>
      <c r="ADM697"/>
      <c r="ADN697"/>
      <c r="ADO697"/>
      <c r="ADP697"/>
      <c r="ADQ697"/>
      <c r="ADR697"/>
      <c r="ADS697"/>
      <c r="ADT697"/>
      <c r="ADU697"/>
      <c r="ADV697"/>
      <c r="ADW697"/>
      <c r="ADX697"/>
      <c r="ADY697"/>
      <c r="ADZ697"/>
      <c r="AEA697"/>
      <c r="AEB697"/>
      <c r="AEC697"/>
      <c r="AED697"/>
      <c r="AEE697"/>
      <c r="AEF697"/>
      <c r="AEG697"/>
      <c r="AEH697"/>
      <c r="AEI697"/>
      <c r="AEJ697"/>
      <c r="AEK697"/>
      <c r="AEL697"/>
      <c r="AEM697"/>
      <c r="AEN697"/>
      <c r="AEO697"/>
      <c r="AEP697"/>
      <c r="AEQ697"/>
      <c r="AER697"/>
      <c r="AES697"/>
      <c r="AET697"/>
      <c r="AEU697"/>
      <c r="AEV697"/>
      <c r="AEW697"/>
      <c r="AEX697"/>
      <c r="AEY697"/>
      <c r="AEZ697"/>
      <c r="AFA697"/>
      <c r="AFB697"/>
      <c r="AFC697"/>
      <c r="AFD697"/>
      <c r="AFE697"/>
      <c r="AFF697"/>
      <c r="AFG697"/>
      <c r="AFH697"/>
      <c r="AFI697"/>
      <c r="AFJ697"/>
      <c r="AFK697"/>
      <c r="AFL697"/>
      <c r="AFM697"/>
      <c r="AFN697"/>
      <c r="AFO697"/>
      <c r="AFP697"/>
      <c r="AFQ697"/>
      <c r="AFR697"/>
      <c r="AFS697"/>
      <c r="AFT697"/>
      <c r="AFU697"/>
      <c r="AFV697"/>
      <c r="AFW697"/>
      <c r="AFX697"/>
      <c r="AFY697"/>
      <c r="AFZ697"/>
      <c r="AGA697"/>
      <c r="AGB697"/>
      <c r="AGC697"/>
      <c r="AGD697"/>
      <c r="AGE697"/>
      <c r="AGF697"/>
      <c r="AGG697"/>
      <c r="AGH697"/>
      <c r="AGI697"/>
      <c r="AGJ697"/>
      <c r="AGK697"/>
      <c r="AGL697"/>
      <c r="AGM697"/>
      <c r="AGN697"/>
      <c r="AGO697"/>
      <c r="AGP697"/>
      <c r="AGQ697"/>
      <c r="AGR697"/>
      <c r="AGS697"/>
      <c r="AGT697"/>
      <c r="AGU697"/>
      <c r="AGV697"/>
      <c r="AGW697"/>
      <c r="AGX697"/>
      <c r="AGY697"/>
      <c r="AGZ697"/>
      <c r="AHA697"/>
      <c r="AHB697"/>
      <c r="AHC697"/>
      <c r="AHD697"/>
      <c r="AHE697"/>
      <c r="AHF697"/>
      <c r="AHG697"/>
      <c r="AHH697"/>
      <c r="AHI697"/>
      <c r="AHJ697"/>
      <c r="AHK697"/>
      <c r="AHL697"/>
      <c r="AHM697"/>
      <c r="AHN697"/>
      <c r="AHO697"/>
      <c r="AHP697"/>
      <c r="AHQ697"/>
      <c r="AHR697"/>
      <c r="AHS697"/>
      <c r="AHT697"/>
      <c r="AHU697"/>
      <c r="AHV697"/>
      <c r="AHW697"/>
      <c r="AHX697"/>
      <c r="AHY697"/>
      <c r="AHZ697"/>
      <c r="AIA697"/>
      <c r="AIB697"/>
      <c r="AIC697"/>
      <c r="AID697"/>
      <c r="AIE697"/>
      <c r="AIF697"/>
      <c r="AIG697"/>
      <c r="AIH697"/>
      <c r="AII697"/>
      <c r="AIJ697"/>
      <c r="AIK697"/>
      <c r="AIL697"/>
      <c r="AIM697"/>
      <c r="AIN697"/>
      <c r="AIO697"/>
      <c r="AIP697"/>
      <c r="AIQ697"/>
      <c r="AIR697"/>
      <c r="AIS697"/>
      <c r="AIT697"/>
      <c r="AIU697"/>
      <c r="AIV697"/>
      <c r="AIW697"/>
      <c r="AIX697"/>
      <c r="AIY697"/>
      <c r="AIZ697"/>
      <c r="AJA697"/>
      <c r="AJB697"/>
      <c r="AJC697"/>
      <c r="AJD697"/>
      <c r="AJE697"/>
      <c r="AJF697"/>
      <c r="AJG697"/>
      <c r="AJH697"/>
      <c r="AJI697"/>
      <c r="AJJ697"/>
      <c r="AJK697"/>
      <c r="AJL697"/>
      <c r="AJM697"/>
      <c r="AJN697"/>
      <c r="AJO697"/>
      <c r="AJP697"/>
      <c r="AJQ697"/>
      <c r="AJR697"/>
      <c r="AJS697"/>
      <c r="AJT697"/>
      <c r="AJU697"/>
      <c r="AJV697"/>
      <c r="AJW697"/>
      <c r="AJX697"/>
      <c r="AJY697"/>
      <c r="AJZ697"/>
      <c r="AKA697"/>
      <c r="AKB697"/>
      <c r="AKC697"/>
      <c r="AKD697"/>
      <c r="AKE697"/>
      <c r="AKF697"/>
      <c r="AKG697"/>
      <c r="AKH697"/>
      <c r="AKI697"/>
      <c r="AKJ697"/>
      <c r="AKK697"/>
      <c r="AKL697"/>
      <c r="AKM697"/>
      <c r="AKN697"/>
      <c r="AKO697"/>
      <c r="AKP697"/>
      <c r="AKQ697"/>
      <c r="AKR697"/>
      <c r="AKS697"/>
      <c r="AKT697"/>
      <c r="AKU697"/>
      <c r="AKV697"/>
      <c r="AKW697"/>
      <c r="AKX697"/>
      <c r="AKY697"/>
      <c r="AKZ697"/>
      <c r="ALA697"/>
      <c r="ALB697"/>
      <c r="ALC697"/>
      <c r="ALD697"/>
      <c r="ALE697"/>
      <c r="ALF697"/>
      <c r="ALG697"/>
      <c r="ALH697"/>
      <c r="ALI697"/>
      <c r="ALJ697"/>
      <c r="ALK697"/>
      <c r="ALL697"/>
      <c r="ALM697"/>
      <c r="ALN697"/>
      <c r="ALO697"/>
      <c r="ALP697"/>
      <c r="ALQ697"/>
      <c r="ALR697"/>
      <c r="ALS697"/>
      <c r="ALT697"/>
      <c r="ALU697"/>
      <c r="ALV697"/>
      <c r="ALW697"/>
      <c r="ALX697"/>
      <c r="ALY697"/>
      <c r="ALZ697"/>
      <c r="AMA697"/>
      <c r="AMB697"/>
      <c r="AMC697"/>
      <c r="AMD697"/>
      <c r="AME697"/>
      <c r="AMF697"/>
      <c r="AMG697"/>
      <c r="AMH697"/>
      <c r="AMI697"/>
      <c r="AMJ697"/>
      <c r="AMK697"/>
    </row>
    <row r="698" spans="1:1025">
      <c r="A698" s="153">
        <v>2</v>
      </c>
      <c r="B698" s="734" t="s">
        <v>2071</v>
      </c>
      <c r="C698" s="238" t="s">
        <v>2072</v>
      </c>
      <c r="D698" s="153">
        <v>26601.3</v>
      </c>
      <c r="E698" s="153">
        <v>26601.3</v>
      </c>
      <c r="F698" s="153">
        <f>E698-D698</f>
        <v>0</v>
      </c>
      <c r="G698" s="153">
        <v>2000</v>
      </c>
      <c r="H698" s="153">
        <f>F698*G698</f>
        <v>0</v>
      </c>
      <c r="I698" s="244">
        <v>311760.00000000023</v>
      </c>
      <c r="J698" s="244">
        <f>H698+I698</f>
        <v>311760.00000000023</v>
      </c>
      <c r="K698" s="247"/>
      <c r="L698" s="735">
        <v>325152.00000000006</v>
      </c>
      <c r="M698" s="736">
        <f t="shared" si="58"/>
        <v>0.95881310894597038</v>
      </c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/>
      <c r="GN698"/>
      <c r="GO698"/>
      <c r="GP698"/>
      <c r="GQ698"/>
      <c r="GR698"/>
      <c r="GS698"/>
      <c r="GT698"/>
      <c r="GU698"/>
      <c r="GV698"/>
      <c r="GW698"/>
      <c r="GX698"/>
      <c r="GY698"/>
      <c r="GZ698"/>
      <c r="HA698"/>
      <c r="HB698"/>
      <c r="HC698"/>
      <c r="HD698"/>
      <c r="HE698"/>
      <c r="HF698"/>
      <c r="HG698"/>
      <c r="HH698"/>
      <c r="HI698"/>
      <c r="HJ698"/>
      <c r="HK698"/>
      <c r="HL698"/>
      <c r="HM698"/>
      <c r="HN698"/>
      <c r="HO698"/>
      <c r="HP698"/>
      <c r="HQ698"/>
      <c r="HR698"/>
      <c r="HS698"/>
      <c r="HT698"/>
      <c r="HU698"/>
      <c r="HV698"/>
      <c r="HW698"/>
      <c r="HX698"/>
      <c r="HY698"/>
      <c r="HZ698"/>
      <c r="IA698"/>
      <c r="IB698"/>
      <c r="IC698"/>
      <c r="ID698"/>
      <c r="IE698"/>
      <c r="IF698"/>
      <c r="IG698"/>
      <c r="IH698"/>
      <c r="II698"/>
      <c r="IJ698"/>
      <c r="IK698"/>
      <c r="IL698"/>
      <c r="IM698"/>
      <c r="IN698"/>
      <c r="IO698"/>
      <c r="IP698"/>
      <c r="IQ698"/>
      <c r="IR698"/>
      <c r="IS698"/>
      <c r="IT698"/>
      <c r="IU698"/>
      <c r="IV698"/>
      <c r="IW698"/>
      <c r="IX698"/>
      <c r="IY698"/>
      <c r="IZ698"/>
      <c r="JA698"/>
      <c r="JB698"/>
      <c r="JC698"/>
      <c r="JD698"/>
      <c r="JE698"/>
      <c r="JF698"/>
      <c r="JG698"/>
      <c r="JH698"/>
      <c r="JI698"/>
      <c r="JJ698"/>
      <c r="JK698"/>
      <c r="JL698"/>
      <c r="JM698"/>
      <c r="JN698"/>
      <c r="JO698"/>
      <c r="JP698"/>
      <c r="JQ698"/>
      <c r="JR698"/>
      <c r="JS698"/>
      <c r="JT698"/>
      <c r="JU698"/>
      <c r="JV698"/>
      <c r="JW698"/>
      <c r="JX698"/>
      <c r="JY698"/>
      <c r="JZ698"/>
      <c r="KA698"/>
      <c r="KB698"/>
      <c r="KC698"/>
      <c r="KD698"/>
      <c r="KE698"/>
      <c r="KF698"/>
      <c r="KG698"/>
      <c r="KH698"/>
      <c r="KI698"/>
      <c r="KJ698"/>
      <c r="KK698"/>
      <c r="KL698"/>
      <c r="KM698"/>
      <c r="KN698"/>
      <c r="KO698"/>
      <c r="KP698"/>
      <c r="KQ698"/>
      <c r="KR698"/>
      <c r="KS698"/>
      <c r="KT698"/>
      <c r="KU698"/>
      <c r="KV698"/>
      <c r="KW698"/>
      <c r="KX698"/>
      <c r="KY698"/>
      <c r="KZ698"/>
      <c r="LA698"/>
      <c r="LB698"/>
      <c r="LC698"/>
      <c r="LD698"/>
      <c r="LE698"/>
      <c r="LF698"/>
      <c r="LG698"/>
      <c r="LH698"/>
      <c r="LI698"/>
      <c r="LJ698"/>
      <c r="LK698"/>
      <c r="LL698"/>
      <c r="LM698"/>
      <c r="LN698"/>
      <c r="LO698"/>
      <c r="LP698"/>
      <c r="LQ698"/>
      <c r="LR698"/>
      <c r="LS698"/>
      <c r="LT698"/>
      <c r="LU698"/>
      <c r="LV698"/>
      <c r="LW698"/>
      <c r="LX698"/>
      <c r="LY698"/>
      <c r="LZ698"/>
      <c r="MA698"/>
      <c r="MB698"/>
      <c r="MC698"/>
      <c r="MD698"/>
      <c r="ME698"/>
      <c r="MF698"/>
      <c r="MG698"/>
      <c r="MH698"/>
      <c r="MI698"/>
      <c r="MJ698"/>
      <c r="MK698"/>
      <c r="ML698"/>
      <c r="MM698"/>
      <c r="MN698"/>
      <c r="MO698"/>
      <c r="MP698"/>
      <c r="MQ698"/>
      <c r="MR698"/>
      <c r="MS698"/>
      <c r="MT698"/>
      <c r="MU698"/>
      <c r="MV698"/>
      <c r="MW698"/>
      <c r="MX698"/>
      <c r="MY698"/>
      <c r="MZ698"/>
      <c r="NA698"/>
      <c r="NB698"/>
      <c r="NC698"/>
      <c r="ND698"/>
      <c r="NE698"/>
      <c r="NF698"/>
      <c r="NG698"/>
      <c r="NH698"/>
      <c r="NI698"/>
      <c r="NJ698"/>
      <c r="NK698"/>
      <c r="NL698"/>
      <c r="NM698"/>
      <c r="NN698"/>
      <c r="NO698"/>
      <c r="NP698"/>
      <c r="NQ698"/>
      <c r="NR698"/>
      <c r="NS698"/>
      <c r="NT698"/>
      <c r="NU698"/>
      <c r="NV698"/>
      <c r="NW698"/>
      <c r="NX698"/>
      <c r="NY698"/>
      <c r="NZ698"/>
      <c r="OA698"/>
      <c r="OB698"/>
      <c r="OC698"/>
      <c r="OD698"/>
      <c r="OE698"/>
      <c r="OF698"/>
      <c r="OG698"/>
      <c r="OH698"/>
      <c r="OI698"/>
      <c r="OJ698"/>
      <c r="OK698"/>
      <c r="OL698"/>
      <c r="OM698"/>
      <c r="ON698"/>
      <c r="OO698"/>
      <c r="OP698"/>
      <c r="OQ698"/>
      <c r="OR698"/>
      <c r="OS698"/>
      <c r="OT698"/>
      <c r="OU698"/>
      <c r="OV698"/>
      <c r="OW698"/>
      <c r="OX698"/>
      <c r="OY698"/>
      <c r="OZ698"/>
      <c r="PA698"/>
      <c r="PB698"/>
      <c r="PC698"/>
      <c r="PD698"/>
      <c r="PE698"/>
      <c r="PF698"/>
      <c r="PG698"/>
      <c r="PH698"/>
      <c r="PI698"/>
      <c r="PJ698"/>
      <c r="PK698"/>
      <c r="PL698"/>
      <c r="PM698"/>
      <c r="PN698"/>
      <c r="PO698"/>
      <c r="PP698"/>
      <c r="PQ698"/>
      <c r="PR698"/>
      <c r="PS698"/>
      <c r="PT698"/>
      <c r="PU698"/>
      <c r="PV698"/>
      <c r="PW698"/>
      <c r="PX698"/>
      <c r="PY698"/>
      <c r="PZ698"/>
      <c r="QA698"/>
      <c r="QB698"/>
      <c r="QC698"/>
      <c r="QD698"/>
      <c r="QE698"/>
      <c r="QF698"/>
      <c r="QG698"/>
      <c r="QH698"/>
      <c r="QI698"/>
      <c r="QJ698"/>
      <c r="QK698"/>
      <c r="QL698"/>
      <c r="QM698"/>
      <c r="QN698"/>
      <c r="QO698"/>
      <c r="QP698"/>
      <c r="QQ698"/>
      <c r="QR698"/>
      <c r="QS698"/>
      <c r="QT698"/>
      <c r="QU698"/>
      <c r="QV698"/>
      <c r="QW698"/>
      <c r="QX698"/>
      <c r="QY698"/>
      <c r="QZ698"/>
      <c r="RA698"/>
      <c r="RB698"/>
      <c r="RC698"/>
      <c r="RD698"/>
      <c r="RE698"/>
      <c r="RF698"/>
      <c r="RG698"/>
      <c r="RH698"/>
      <c r="RI698"/>
      <c r="RJ698"/>
      <c r="RK698"/>
      <c r="RL698"/>
      <c r="RM698"/>
      <c r="RN698"/>
      <c r="RO698"/>
      <c r="RP698"/>
      <c r="RQ698"/>
      <c r="RR698"/>
      <c r="RS698"/>
      <c r="RT698"/>
      <c r="RU698"/>
      <c r="RV698"/>
      <c r="RW698"/>
      <c r="RX698"/>
      <c r="RY698"/>
      <c r="RZ698"/>
      <c r="SA698"/>
      <c r="SB698"/>
      <c r="SC698"/>
      <c r="SD698"/>
      <c r="SE698"/>
      <c r="SF698"/>
      <c r="SG698"/>
      <c r="SH698"/>
      <c r="SI698"/>
      <c r="SJ698"/>
      <c r="SK698"/>
      <c r="SL698"/>
      <c r="SM698"/>
      <c r="SN698"/>
      <c r="SO698"/>
      <c r="SP698"/>
      <c r="SQ698"/>
      <c r="SR698"/>
      <c r="SS698"/>
      <c r="ST698"/>
      <c r="SU698"/>
      <c r="SV698"/>
      <c r="SW698"/>
      <c r="SX698"/>
      <c r="SY698"/>
      <c r="SZ698"/>
      <c r="TA698"/>
      <c r="TB698"/>
      <c r="TC698"/>
      <c r="TD698"/>
      <c r="TE698"/>
      <c r="TF698"/>
      <c r="TG698"/>
      <c r="TH698"/>
      <c r="TI698"/>
      <c r="TJ698"/>
      <c r="TK698"/>
      <c r="TL698"/>
      <c r="TM698"/>
      <c r="TN698"/>
      <c r="TO698"/>
      <c r="TP698"/>
      <c r="TQ698"/>
      <c r="TR698"/>
      <c r="TS698"/>
      <c r="TT698"/>
      <c r="TU698"/>
      <c r="TV698"/>
      <c r="TW698"/>
      <c r="TX698"/>
      <c r="TY698"/>
      <c r="TZ698"/>
      <c r="UA698"/>
      <c r="UB698"/>
      <c r="UC698"/>
      <c r="UD698"/>
      <c r="UE698"/>
      <c r="UF698"/>
      <c r="UG698"/>
      <c r="UH698"/>
      <c r="UI698"/>
      <c r="UJ698"/>
      <c r="UK698"/>
      <c r="UL698"/>
      <c r="UM698"/>
      <c r="UN698"/>
      <c r="UO698"/>
      <c r="UP698"/>
      <c r="UQ698"/>
      <c r="UR698"/>
      <c r="US698"/>
      <c r="UT698"/>
      <c r="UU698"/>
      <c r="UV698"/>
      <c r="UW698"/>
      <c r="UX698"/>
      <c r="UY698"/>
      <c r="UZ698"/>
      <c r="VA698"/>
      <c r="VB698"/>
      <c r="VC698"/>
      <c r="VD698"/>
      <c r="VE698"/>
      <c r="VF698"/>
      <c r="VG698"/>
      <c r="VH698"/>
      <c r="VI698"/>
      <c r="VJ698"/>
      <c r="VK698"/>
      <c r="VL698"/>
      <c r="VM698"/>
      <c r="VN698"/>
      <c r="VO698"/>
      <c r="VP698"/>
      <c r="VQ698"/>
      <c r="VR698"/>
      <c r="VS698"/>
      <c r="VT698"/>
      <c r="VU698"/>
      <c r="VV698"/>
      <c r="VW698"/>
      <c r="VX698"/>
      <c r="VY698"/>
      <c r="VZ698"/>
      <c r="WA698"/>
      <c r="WB698"/>
      <c r="WC698"/>
      <c r="WD698"/>
      <c r="WE698"/>
      <c r="WF698"/>
      <c r="WG698"/>
      <c r="WH698"/>
      <c r="WI698"/>
      <c r="WJ698"/>
      <c r="WK698"/>
      <c r="WL698"/>
      <c r="WM698"/>
      <c r="WN698"/>
      <c r="WO698"/>
      <c r="WP698"/>
      <c r="WQ698"/>
      <c r="WR698"/>
      <c r="WS698"/>
      <c r="WT698"/>
      <c r="WU698"/>
      <c r="WV698"/>
      <c r="WW698"/>
      <c r="WX698"/>
      <c r="WY698"/>
      <c r="WZ698"/>
      <c r="XA698"/>
      <c r="XB698"/>
      <c r="XC698"/>
      <c r="XD698"/>
      <c r="XE698"/>
      <c r="XF698"/>
      <c r="XG698"/>
      <c r="XH698"/>
      <c r="XI698"/>
      <c r="XJ698"/>
      <c r="XK698"/>
      <c r="XL698"/>
      <c r="XM698"/>
      <c r="XN698"/>
      <c r="XO698"/>
      <c r="XP698"/>
      <c r="XQ698"/>
      <c r="XR698"/>
      <c r="XS698"/>
      <c r="XT698"/>
      <c r="XU698"/>
      <c r="XV698"/>
      <c r="XW698"/>
      <c r="XX698"/>
      <c r="XY698"/>
      <c r="XZ698"/>
      <c r="YA698"/>
      <c r="YB698"/>
      <c r="YC698"/>
      <c r="YD698"/>
      <c r="YE698"/>
      <c r="YF698"/>
      <c r="YG698"/>
      <c r="YH698"/>
      <c r="YI698"/>
      <c r="YJ698"/>
      <c r="YK698"/>
      <c r="YL698"/>
      <c r="YM698"/>
      <c r="YN698"/>
      <c r="YO698"/>
      <c r="YP698"/>
      <c r="YQ698"/>
      <c r="YR698"/>
      <c r="YS698"/>
      <c r="YT698"/>
      <c r="YU698"/>
      <c r="YV698"/>
      <c r="YW698"/>
      <c r="YX698"/>
      <c r="YY698"/>
      <c r="YZ698"/>
      <c r="ZA698"/>
      <c r="ZB698"/>
      <c r="ZC698"/>
      <c r="ZD698"/>
      <c r="ZE698"/>
      <c r="ZF698"/>
      <c r="ZG698"/>
      <c r="ZH698"/>
      <c r="ZI698"/>
      <c r="ZJ698"/>
      <c r="ZK698"/>
      <c r="ZL698"/>
      <c r="ZM698"/>
      <c r="ZN698"/>
      <c r="ZO698"/>
      <c r="ZP698"/>
      <c r="ZQ698"/>
      <c r="ZR698"/>
      <c r="ZS698"/>
      <c r="ZT698"/>
      <c r="ZU698"/>
      <c r="ZV698"/>
      <c r="ZW698"/>
      <c r="ZX698"/>
      <c r="ZY698"/>
      <c r="ZZ698"/>
      <c r="AAA698"/>
      <c r="AAB698"/>
      <c r="AAC698"/>
      <c r="AAD698"/>
      <c r="AAE698"/>
      <c r="AAF698"/>
      <c r="AAG698"/>
      <c r="AAH698"/>
      <c r="AAI698"/>
      <c r="AAJ698"/>
      <c r="AAK698"/>
      <c r="AAL698"/>
      <c r="AAM698"/>
      <c r="AAN698"/>
      <c r="AAO698"/>
      <c r="AAP698"/>
      <c r="AAQ698"/>
      <c r="AAR698"/>
      <c r="AAS698"/>
      <c r="AAT698"/>
      <c r="AAU698"/>
      <c r="AAV698"/>
      <c r="AAW698"/>
      <c r="AAX698"/>
      <c r="AAY698"/>
      <c r="AAZ698"/>
      <c r="ABA698"/>
      <c r="ABB698"/>
      <c r="ABC698"/>
      <c r="ABD698"/>
      <c r="ABE698"/>
      <c r="ABF698"/>
      <c r="ABG698"/>
      <c r="ABH698"/>
      <c r="ABI698"/>
      <c r="ABJ698"/>
      <c r="ABK698"/>
      <c r="ABL698"/>
      <c r="ABM698"/>
      <c r="ABN698"/>
      <c r="ABO698"/>
      <c r="ABP698"/>
      <c r="ABQ698"/>
      <c r="ABR698"/>
      <c r="ABS698"/>
      <c r="ABT698"/>
      <c r="ABU698"/>
      <c r="ABV698"/>
      <c r="ABW698"/>
      <c r="ABX698"/>
      <c r="ABY698"/>
      <c r="ABZ698"/>
      <c r="ACA698"/>
      <c r="ACB698"/>
      <c r="ACC698"/>
      <c r="ACD698"/>
      <c r="ACE698"/>
      <c r="ACF698"/>
      <c r="ACG698"/>
      <c r="ACH698"/>
      <c r="ACI698"/>
      <c r="ACJ698"/>
      <c r="ACK698"/>
      <c r="ACL698"/>
      <c r="ACM698"/>
      <c r="ACN698"/>
      <c r="ACO698"/>
      <c r="ACP698"/>
      <c r="ACQ698"/>
      <c r="ACR698"/>
      <c r="ACS698"/>
      <c r="ACT698"/>
      <c r="ACU698"/>
      <c r="ACV698"/>
      <c r="ACW698"/>
      <c r="ACX698"/>
      <c r="ACY698"/>
      <c r="ACZ698"/>
      <c r="ADA698"/>
      <c r="ADB698"/>
      <c r="ADC698"/>
      <c r="ADD698"/>
      <c r="ADE698"/>
      <c r="ADF698"/>
      <c r="ADG698"/>
      <c r="ADH698"/>
      <c r="ADI698"/>
      <c r="ADJ698"/>
      <c r="ADK698"/>
      <c r="ADL698"/>
      <c r="ADM698"/>
      <c r="ADN698"/>
      <c r="ADO698"/>
      <c r="ADP698"/>
      <c r="ADQ698"/>
      <c r="ADR698"/>
      <c r="ADS698"/>
      <c r="ADT698"/>
      <c r="ADU698"/>
      <c r="ADV698"/>
      <c r="ADW698"/>
      <c r="ADX698"/>
      <c r="ADY698"/>
      <c r="ADZ698"/>
      <c r="AEA698"/>
      <c r="AEB698"/>
      <c r="AEC698"/>
      <c r="AED698"/>
      <c r="AEE698"/>
      <c r="AEF698"/>
      <c r="AEG698"/>
      <c r="AEH698"/>
      <c r="AEI698"/>
      <c r="AEJ698"/>
      <c r="AEK698"/>
      <c r="AEL698"/>
      <c r="AEM698"/>
      <c r="AEN698"/>
      <c r="AEO698"/>
      <c r="AEP698"/>
      <c r="AEQ698"/>
      <c r="AER698"/>
      <c r="AES698"/>
      <c r="AET698"/>
      <c r="AEU698"/>
      <c r="AEV698"/>
      <c r="AEW698"/>
      <c r="AEX698"/>
      <c r="AEY698"/>
      <c r="AEZ698"/>
      <c r="AFA698"/>
      <c r="AFB698"/>
      <c r="AFC698"/>
      <c r="AFD698"/>
      <c r="AFE698"/>
      <c r="AFF698"/>
      <c r="AFG698"/>
      <c r="AFH698"/>
      <c r="AFI698"/>
      <c r="AFJ698"/>
      <c r="AFK698"/>
      <c r="AFL698"/>
      <c r="AFM698"/>
      <c r="AFN698"/>
      <c r="AFO698"/>
      <c r="AFP698"/>
      <c r="AFQ698"/>
      <c r="AFR698"/>
      <c r="AFS698"/>
      <c r="AFT698"/>
      <c r="AFU698"/>
      <c r="AFV698"/>
      <c r="AFW698"/>
      <c r="AFX698"/>
      <c r="AFY698"/>
      <c r="AFZ698"/>
      <c r="AGA698"/>
      <c r="AGB698"/>
      <c r="AGC698"/>
      <c r="AGD698"/>
      <c r="AGE698"/>
      <c r="AGF698"/>
      <c r="AGG698"/>
      <c r="AGH698"/>
      <c r="AGI698"/>
      <c r="AGJ698"/>
      <c r="AGK698"/>
      <c r="AGL698"/>
      <c r="AGM698"/>
      <c r="AGN698"/>
      <c r="AGO698"/>
      <c r="AGP698"/>
      <c r="AGQ698"/>
      <c r="AGR698"/>
      <c r="AGS698"/>
      <c r="AGT698"/>
      <c r="AGU698"/>
      <c r="AGV698"/>
      <c r="AGW698"/>
      <c r="AGX698"/>
      <c r="AGY698"/>
      <c r="AGZ698"/>
      <c r="AHA698"/>
      <c r="AHB698"/>
      <c r="AHC698"/>
      <c r="AHD698"/>
      <c r="AHE698"/>
      <c r="AHF698"/>
      <c r="AHG698"/>
      <c r="AHH698"/>
      <c r="AHI698"/>
      <c r="AHJ698"/>
      <c r="AHK698"/>
      <c r="AHL698"/>
      <c r="AHM698"/>
      <c r="AHN698"/>
      <c r="AHO698"/>
      <c r="AHP698"/>
      <c r="AHQ698"/>
      <c r="AHR698"/>
      <c r="AHS698"/>
      <c r="AHT698"/>
      <c r="AHU698"/>
      <c r="AHV698"/>
      <c r="AHW698"/>
      <c r="AHX698"/>
      <c r="AHY698"/>
      <c r="AHZ698"/>
      <c r="AIA698"/>
      <c r="AIB698"/>
      <c r="AIC698"/>
      <c r="AID698"/>
      <c r="AIE698"/>
      <c r="AIF698"/>
      <c r="AIG698"/>
      <c r="AIH698"/>
      <c r="AII698"/>
      <c r="AIJ698"/>
      <c r="AIK698"/>
      <c r="AIL698"/>
      <c r="AIM698"/>
      <c r="AIN698"/>
      <c r="AIO698"/>
      <c r="AIP698"/>
      <c r="AIQ698"/>
      <c r="AIR698"/>
      <c r="AIS698"/>
      <c r="AIT698"/>
      <c r="AIU698"/>
      <c r="AIV698"/>
      <c r="AIW698"/>
      <c r="AIX698"/>
      <c r="AIY698"/>
      <c r="AIZ698"/>
      <c r="AJA698"/>
      <c r="AJB698"/>
      <c r="AJC698"/>
      <c r="AJD698"/>
      <c r="AJE698"/>
      <c r="AJF698"/>
      <c r="AJG698"/>
      <c r="AJH698"/>
      <c r="AJI698"/>
      <c r="AJJ698"/>
      <c r="AJK698"/>
      <c r="AJL698"/>
      <c r="AJM698"/>
      <c r="AJN698"/>
      <c r="AJO698"/>
      <c r="AJP698"/>
      <c r="AJQ698"/>
      <c r="AJR698"/>
      <c r="AJS698"/>
      <c r="AJT698"/>
      <c r="AJU698"/>
      <c r="AJV698"/>
      <c r="AJW698"/>
      <c r="AJX698"/>
      <c r="AJY698"/>
      <c r="AJZ698"/>
      <c r="AKA698"/>
      <c r="AKB698"/>
      <c r="AKC698"/>
      <c r="AKD698"/>
      <c r="AKE698"/>
      <c r="AKF698"/>
      <c r="AKG698"/>
      <c r="AKH698"/>
      <c r="AKI698"/>
      <c r="AKJ698"/>
      <c r="AKK698"/>
      <c r="AKL698"/>
      <c r="AKM698"/>
      <c r="AKN698"/>
      <c r="AKO698"/>
      <c r="AKP698"/>
      <c r="AKQ698"/>
      <c r="AKR698"/>
      <c r="AKS698"/>
      <c r="AKT698"/>
      <c r="AKU698"/>
      <c r="AKV698"/>
      <c r="AKW698"/>
      <c r="AKX698"/>
      <c r="AKY698"/>
      <c r="AKZ698"/>
      <c r="ALA698"/>
      <c r="ALB698"/>
      <c r="ALC698"/>
      <c r="ALD698"/>
      <c r="ALE698"/>
      <c r="ALF698"/>
      <c r="ALG698"/>
      <c r="ALH698"/>
      <c r="ALI698"/>
      <c r="ALJ698"/>
      <c r="ALK698"/>
      <c r="ALL698"/>
      <c r="ALM698"/>
      <c r="ALN698"/>
      <c r="ALO698"/>
      <c r="ALP698"/>
      <c r="ALQ698"/>
      <c r="ALR698"/>
      <c r="ALS698"/>
      <c r="ALT698"/>
      <c r="ALU698"/>
      <c r="ALV698"/>
      <c r="ALW698"/>
      <c r="ALX698"/>
      <c r="ALY698"/>
      <c r="ALZ698"/>
      <c r="AMA698"/>
      <c r="AMB698"/>
      <c r="AMC698"/>
      <c r="AMD698"/>
      <c r="AME698"/>
      <c r="AMF698"/>
      <c r="AMG698"/>
      <c r="AMH698"/>
      <c r="AMI698"/>
      <c r="AMJ698"/>
      <c r="AMK698"/>
    </row>
    <row r="699" spans="1:1025">
      <c r="A699" s="153">
        <v>3</v>
      </c>
      <c r="B699" s="734" t="s">
        <v>2073</v>
      </c>
      <c r="C699" s="238" t="s">
        <v>2074</v>
      </c>
      <c r="D699" s="261">
        <v>47960.5</v>
      </c>
      <c r="E699" s="261">
        <v>47960.5</v>
      </c>
      <c r="F699" s="153">
        <f>E699-D699</f>
        <v>0</v>
      </c>
      <c r="G699" s="153">
        <v>2000</v>
      </c>
      <c r="H699" s="153">
        <f>F699*G699</f>
        <v>0</v>
      </c>
      <c r="I699" s="153"/>
      <c r="J699" s="153">
        <f>H699+I699</f>
        <v>0</v>
      </c>
      <c r="K699" s="153"/>
      <c r="L699" s="735">
        <v>0</v>
      </c>
      <c r="M699" s="736" t="e">
        <f t="shared" si="58"/>
        <v>#DIV/0!</v>
      </c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  <c r="FK699"/>
      <c r="FL699"/>
      <c r="FM699"/>
      <c r="FN699"/>
      <c r="FO699"/>
      <c r="FP699"/>
      <c r="FQ699"/>
      <c r="FR699"/>
      <c r="FS699"/>
      <c r="FT699"/>
      <c r="FU699"/>
      <c r="FV699"/>
      <c r="FW699"/>
      <c r="FX699"/>
      <c r="FY699"/>
      <c r="FZ699"/>
      <c r="GA699"/>
      <c r="GB699"/>
      <c r="GC699"/>
      <c r="GD699"/>
      <c r="GE699"/>
      <c r="GF699"/>
      <c r="GG699"/>
      <c r="GH699"/>
      <c r="GI699"/>
      <c r="GJ699"/>
      <c r="GK699"/>
      <c r="GL699"/>
      <c r="GM699"/>
      <c r="GN699"/>
      <c r="GO699"/>
      <c r="GP699"/>
      <c r="GQ699"/>
      <c r="GR699"/>
      <c r="GS699"/>
      <c r="GT699"/>
      <c r="GU699"/>
      <c r="GV699"/>
      <c r="GW699"/>
      <c r="GX699"/>
      <c r="GY699"/>
      <c r="GZ699"/>
      <c r="HA699"/>
      <c r="HB699"/>
      <c r="HC699"/>
      <c r="HD699"/>
      <c r="HE699"/>
      <c r="HF699"/>
      <c r="HG699"/>
      <c r="HH699"/>
      <c r="HI699"/>
      <c r="HJ699"/>
      <c r="HK699"/>
      <c r="HL699"/>
      <c r="HM699"/>
      <c r="HN699"/>
      <c r="HO699"/>
      <c r="HP699"/>
      <c r="HQ699"/>
      <c r="HR699"/>
      <c r="HS699"/>
      <c r="HT699"/>
      <c r="HU699"/>
      <c r="HV699"/>
      <c r="HW699"/>
      <c r="HX699"/>
      <c r="HY699"/>
      <c r="HZ699"/>
      <c r="IA699"/>
      <c r="IB699"/>
      <c r="IC699"/>
      <c r="ID699"/>
      <c r="IE699"/>
      <c r="IF699"/>
      <c r="IG699"/>
      <c r="IH699"/>
      <c r="II699"/>
      <c r="IJ699"/>
      <c r="IK699"/>
      <c r="IL699"/>
      <c r="IM699"/>
      <c r="IN699"/>
      <c r="IO699"/>
      <c r="IP699"/>
      <c r="IQ699"/>
      <c r="IR699"/>
      <c r="IS699"/>
      <c r="IT699"/>
      <c r="IU699"/>
      <c r="IV699"/>
      <c r="IW699"/>
      <c r="IX699"/>
      <c r="IY699"/>
      <c r="IZ699"/>
      <c r="JA699"/>
      <c r="JB699"/>
      <c r="JC699"/>
      <c r="JD699"/>
      <c r="JE699"/>
      <c r="JF699"/>
      <c r="JG699"/>
      <c r="JH699"/>
      <c r="JI699"/>
      <c r="JJ699"/>
      <c r="JK699"/>
      <c r="JL699"/>
      <c r="JM699"/>
      <c r="JN699"/>
      <c r="JO699"/>
      <c r="JP699"/>
      <c r="JQ699"/>
      <c r="JR699"/>
      <c r="JS699"/>
      <c r="JT699"/>
      <c r="JU699"/>
      <c r="JV699"/>
      <c r="JW699"/>
      <c r="JX699"/>
      <c r="JY699"/>
      <c r="JZ699"/>
      <c r="KA699"/>
      <c r="KB699"/>
      <c r="KC699"/>
      <c r="KD699"/>
      <c r="KE699"/>
      <c r="KF699"/>
      <c r="KG699"/>
      <c r="KH699"/>
      <c r="KI699"/>
      <c r="KJ699"/>
      <c r="KK699"/>
      <c r="KL699"/>
      <c r="KM699"/>
      <c r="KN699"/>
      <c r="KO699"/>
      <c r="KP699"/>
      <c r="KQ699"/>
      <c r="KR699"/>
      <c r="KS699"/>
      <c r="KT699"/>
      <c r="KU699"/>
      <c r="KV699"/>
      <c r="KW699"/>
      <c r="KX699"/>
      <c r="KY699"/>
      <c r="KZ699"/>
      <c r="LA699"/>
      <c r="LB699"/>
      <c r="LC699"/>
      <c r="LD699"/>
      <c r="LE699"/>
      <c r="LF699"/>
      <c r="LG699"/>
      <c r="LH699"/>
      <c r="LI699"/>
      <c r="LJ699"/>
      <c r="LK699"/>
      <c r="LL699"/>
      <c r="LM699"/>
      <c r="LN699"/>
      <c r="LO699"/>
      <c r="LP699"/>
      <c r="LQ699"/>
      <c r="LR699"/>
      <c r="LS699"/>
      <c r="LT699"/>
      <c r="LU699"/>
      <c r="LV699"/>
      <c r="LW699"/>
      <c r="LX699"/>
      <c r="LY699"/>
      <c r="LZ699"/>
      <c r="MA699"/>
      <c r="MB699"/>
      <c r="MC699"/>
      <c r="MD699"/>
      <c r="ME699"/>
      <c r="MF699"/>
      <c r="MG699"/>
      <c r="MH699"/>
      <c r="MI699"/>
      <c r="MJ699"/>
      <c r="MK699"/>
      <c r="ML699"/>
      <c r="MM699"/>
      <c r="MN699"/>
      <c r="MO699"/>
      <c r="MP699"/>
      <c r="MQ699"/>
      <c r="MR699"/>
      <c r="MS699"/>
      <c r="MT699"/>
      <c r="MU699"/>
      <c r="MV699"/>
      <c r="MW699"/>
      <c r="MX699"/>
      <c r="MY699"/>
      <c r="MZ699"/>
      <c r="NA699"/>
      <c r="NB699"/>
      <c r="NC699"/>
      <c r="ND699"/>
      <c r="NE699"/>
      <c r="NF699"/>
      <c r="NG699"/>
      <c r="NH699"/>
      <c r="NI699"/>
      <c r="NJ699"/>
      <c r="NK699"/>
      <c r="NL699"/>
      <c r="NM699"/>
      <c r="NN699"/>
      <c r="NO699"/>
      <c r="NP699"/>
      <c r="NQ699"/>
      <c r="NR699"/>
      <c r="NS699"/>
      <c r="NT699"/>
      <c r="NU699"/>
      <c r="NV699"/>
      <c r="NW699"/>
      <c r="NX699"/>
      <c r="NY699"/>
      <c r="NZ699"/>
      <c r="OA699"/>
      <c r="OB699"/>
      <c r="OC699"/>
      <c r="OD699"/>
      <c r="OE699"/>
      <c r="OF699"/>
      <c r="OG699"/>
      <c r="OH699"/>
      <c r="OI699"/>
      <c r="OJ699"/>
      <c r="OK699"/>
      <c r="OL699"/>
      <c r="OM699"/>
      <c r="ON699"/>
      <c r="OO699"/>
      <c r="OP699"/>
      <c r="OQ699"/>
      <c r="OR699"/>
      <c r="OS699"/>
      <c r="OT699"/>
      <c r="OU699"/>
      <c r="OV699"/>
      <c r="OW699"/>
      <c r="OX699"/>
      <c r="OY699"/>
      <c r="OZ699"/>
      <c r="PA699"/>
      <c r="PB699"/>
      <c r="PC699"/>
      <c r="PD699"/>
      <c r="PE699"/>
      <c r="PF699"/>
      <c r="PG699"/>
      <c r="PH699"/>
      <c r="PI699"/>
      <c r="PJ699"/>
      <c r="PK699"/>
      <c r="PL699"/>
      <c r="PM699"/>
      <c r="PN699"/>
      <c r="PO699"/>
      <c r="PP699"/>
      <c r="PQ699"/>
      <c r="PR699"/>
      <c r="PS699"/>
      <c r="PT699"/>
      <c r="PU699"/>
      <c r="PV699"/>
      <c r="PW699"/>
      <c r="PX699"/>
      <c r="PY699"/>
      <c r="PZ699"/>
      <c r="QA699"/>
      <c r="QB699"/>
      <c r="QC699"/>
      <c r="QD699"/>
      <c r="QE699"/>
      <c r="QF699"/>
      <c r="QG699"/>
      <c r="QH699"/>
      <c r="QI699"/>
      <c r="QJ699"/>
      <c r="QK699"/>
      <c r="QL699"/>
      <c r="QM699"/>
      <c r="QN699"/>
      <c r="QO699"/>
      <c r="QP699"/>
      <c r="QQ699"/>
      <c r="QR699"/>
      <c r="QS699"/>
      <c r="QT699"/>
      <c r="QU699"/>
      <c r="QV699"/>
      <c r="QW699"/>
      <c r="QX699"/>
      <c r="QY699"/>
      <c r="QZ699"/>
      <c r="RA699"/>
      <c r="RB699"/>
      <c r="RC699"/>
      <c r="RD699"/>
      <c r="RE699"/>
      <c r="RF699"/>
      <c r="RG699"/>
      <c r="RH699"/>
      <c r="RI699"/>
      <c r="RJ699"/>
      <c r="RK699"/>
      <c r="RL699"/>
      <c r="RM699"/>
      <c r="RN699"/>
      <c r="RO699"/>
      <c r="RP699"/>
      <c r="RQ699"/>
      <c r="RR699"/>
      <c r="RS699"/>
      <c r="RT699"/>
      <c r="RU699"/>
      <c r="RV699"/>
      <c r="RW699"/>
      <c r="RX699"/>
      <c r="RY699"/>
      <c r="RZ699"/>
      <c r="SA699"/>
      <c r="SB699"/>
      <c r="SC699"/>
      <c r="SD699"/>
      <c r="SE699"/>
      <c r="SF699"/>
      <c r="SG699"/>
      <c r="SH699"/>
      <c r="SI699"/>
      <c r="SJ699"/>
      <c r="SK699"/>
      <c r="SL699"/>
      <c r="SM699"/>
      <c r="SN699"/>
      <c r="SO699"/>
      <c r="SP699"/>
      <c r="SQ699"/>
      <c r="SR699"/>
      <c r="SS699"/>
      <c r="ST699"/>
      <c r="SU699"/>
      <c r="SV699"/>
      <c r="SW699"/>
      <c r="SX699"/>
      <c r="SY699"/>
      <c r="SZ699"/>
      <c r="TA699"/>
      <c r="TB699"/>
      <c r="TC699"/>
      <c r="TD699"/>
      <c r="TE699"/>
      <c r="TF699"/>
      <c r="TG699"/>
      <c r="TH699"/>
      <c r="TI699"/>
      <c r="TJ699"/>
      <c r="TK699"/>
      <c r="TL699"/>
      <c r="TM699"/>
      <c r="TN699"/>
      <c r="TO699"/>
      <c r="TP699"/>
      <c r="TQ699"/>
      <c r="TR699"/>
      <c r="TS699"/>
      <c r="TT699"/>
      <c r="TU699"/>
      <c r="TV699"/>
      <c r="TW699"/>
      <c r="TX699"/>
      <c r="TY699"/>
      <c r="TZ699"/>
      <c r="UA699"/>
      <c r="UB699"/>
      <c r="UC699"/>
      <c r="UD699"/>
      <c r="UE699"/>
      <c r="UF699"/>
      <c r="UG699"/>
      <c r="UH699"/>
      <c r="UI699"/>
      <c r="UJ699"/>
      <c r="UK699"/>
      <c r="UL699"/>
      <c r="UM699"/>
      <c r="UN699"/>
      <c r="UO699"/>
      <c r="UP699"/>
      <c r="UQ699"/>
      <c r="UR699"/>
      <c r="US699"/>
      <c r="UT699"/>
      <c r="UU699"/>
      <c r="UV699"/>
      <c r="UW699"/>
      <c r="UX699"/>
      <c r="UY699"/>
      <c r="UZ699"/>
      <c r="VA699"/>
      <c r="VB699"/>
      <c r="VC699"/>
      <c r="VD699"/>
      <c r="VE699"/>
      <c r="VF699"/>
      <c r="VG699"/>
      <c r="VH699"/>
      <c r="VI699"/>
      <c r="VJ699"/>
      <c r="VK699"/>
      <c r="VL699"/>
      <c r="VM699"/>
      <c r="VN699"/>
      <c r="VO699"/>
      <c r="VP699"/>
      <c r="VQ699"/>
      <c r="VR699"/>
      <c r="VS699"/>
      <c r="VT699"/>
      <c r="VU699"/>
      <c r="VV699"/>
      <c r="VW699"/>
      <c r="VX699"/>
      <c r="VY699"/>
      <c r="VZ699"/>
      <c r="WA699"/>
      <c r="WB699"/>
      <c r="WC699"/>
      <c r="WD699"/>
      <c r="WE699"/>
      <c r="WF699"/>
      <c r="WG699"/>
      <c r="WH699"/>
      <c r="WI699"/>
      <c r="WJ699"/>
      <c r="WK699"/>
      <c r="WL699"/>
      <c r="WM699"/>
      <c r="WN699"/>
      <c r="WO699"/>
      <c r="WP699"/>
      <c r="WQ699"/>
      <c r="WR699"/>
      <c r="WS699"/>
      <c r="WT699"/>
      <c r="WU699"/>
      <c r="WV699"/>
      <c r="WW699"/>
      <c r="WX699"/>
      <c r="WY699"/>
      <c r="WZ699"/>
      <c r="XA699"/>
      <c r="XB699"/>
      <c r="XC699"/>
      <c r="XD699"/>
      <c r="XE699"/>
      <c r="XF699"/>
      <c r="XG699"/>
      <c r="XH699"/>
      <c r="XI699"/>
      <c r="XJ699"/>
      <c r="XK699"/>
      <c r="XL699"/>
      <c r="XM699"/>
      <c r="XN699"/>
      <c r="XO699"/>
      <c r="XP699"/>
      <c r="XQ699"/>
      <c r="XR699"/>
      <c r="XS699"/>
      <c r="XT699"/>
      <c r="XU699"/>
      <c r="XV699"/>
      <c r="XW699"/>
      <c r="XX699"/>
      <c r="XY699"/>
      <c r="XZ699"/>
      <c r="YA699"/>
      <c r="YB699"/>
      <c r="YC699"/>
      <c r="YD699"/>
      <c r="YE699"/>
      <c r="YF699"/>
      <c r="YG699"/>
      <c r="YH699"/>
      <c r="YI699"/>
      <c r="YJ699"/>
      <c r="YK699"/>
      <c r="YL699"/>
      <c r="YM699"/>
      <c r="YN699"/>
      <c r="YO699"/>
      <c r="YP699"/>
      <c r="YQ699"/>
      <c r="YR699"/>
      <c r="YS699"/>
      <c r="YT699"/>
      <c r="YU699"/>
      <c r="YV699"/>
      <c r="YW699"/>
      <c r="YX699"/>
      <c r="YY699"/>
      <c r="YZ699"/>
      <c r="ZA699"/>
      <c r="ZB699"/>
      <c r="ZC699"/>
      <c r="ZD699"/>
      <c r="ZE699"/>
      <c r="ZF699"/>
      <c r="ZG699"/>
      <c r="ZH699"/>
      <c r="ZI699"/>
      <c r="ZJ699"/>
      <c r="ZK699"/>
      <c r="ZL699"/>
      <c r="ZM699"/>
      <c r="ZN699"/>
      <c r="ZO699"/>
      <c r="ZP699"/>
      <c r="ZQ699"/>
      <c r="ZR699"/>
      <c r="ZS699"/>
      <c r="ZT699"/>
      <c r="ZU699"/>
      <c r="ZV699"/>
      <c r="ZW699"/>
      <c r="ZX699"/>
      <c r="ZY699"/>
      <c r="ZZ699"/>
      <c r="AAA699"/>
      <c r="AAB699"/>
      <c r="AAC699"/>
      <c r="AAD699"/>
      <c r="AAE699"/>
      <c r="AAF699"/>
      <c r="AAG699"/>
      <c r="AAH699"/>
      <c r="AAI699"/>
      <c r="AAJ699"/>
      <c r="AAK699"/>
      <c r="AAL699"/>
      <c r="AAM699"/>
      <c r="AAN699"/>
      <c r="AAO699"/>
      <c r="AAP699"/>
      <c r="AAQ699"/>
      <c r="AAR699"/>
      <c r="AAS699"/>
      <c r="AAT699"/>
      <c r="AAU699"/>
      <c r="AAV699"/>
      <c r="AAW699"/>
      <c r="AAX699"/>
      <c r="AAY699"/>
      <c r="AAZ699"/>
      <c r="ABA699"/>
      <c r="ABB699"/>
      <c r="ABC699"/>
      <c r="ABD699"/>
      <c r="ABE699"/>
      <c r="ABF699"/>
      <c r="ABG699"/>
      <c r="ABH699"/>
      <c r="ABI699"/>
      <c r="ABJ699"/>
      <c r="ABK699"/>
      <c r="ABL699"/>
      <c r="ABM699"/>
      <c r="ABN699"/>
      <c r="ABO699"/>
      <c r="ABP699"/>
      <c r="ABQ699"/>
      <c r="ABR699"/>
      <c r="ABS699"/>
      <c r="ABT699"/>
      <c r="ABU699"/>
      <c r="ABV699"/>
      <c r="ABW699"/>
      <c r="ABX699"/>
      <c r="ABY699"/>
      <c r="ABZ699"/>
      <c r="ACA699"/>
      <c r="ACB699"/>
      <c r="ACC699"/>
      <c r="ACD699"/>
      <c r="ACE699"/>
      <c r="ACF699"/>
      <c r="ACG699"/>
      <c r="ACH699"/>
      <c r="ACI699"/>
      <c r="ACJ699"/>
      <c r="ACK699"/>
      <c r="ACL699"/>
      <c r="ACM699"/>
      <c r="ACN699"/>
      <c r="ACO699"/>
      <c r="ACP699"/>
      <c r="ACQ699"/>
      <c r="ACR699"/>
      <c r="ACS699"/>
      <c r="ACT699"/>
      <c r="ACU699"/>
      <c r="ACV699"/>
      <c r="ACW699"/>
      <c r="ACX699"/>
      <c r="ACY699"/>
      <c r="ACZ699"/>
      <c r="ADA699"/>
      <c r="ADB699"/>
      <c r="ADC699"/>
      <c r="ADD699"/>
      <c r="ADE699"/>
      <c r="ADF699"/>
      <c r="ADG699"/>
      <c r="ADH699"/>
      <c r="ADI699"/>
      <c r="ADJ699"/>
      <c r="ADK699"/>
      <c r="ADL699"/>
      <c r="ADM699"/>
      <c r="ADN699"/>
      <c r="ADO699"/>
      <c r="ADP699"/>
      <c r="ADQ699"/>
      <c r="ADR699"/>
      <c r="ADS699"/>
      <c r="ADT699"/>
      <c r="ADU699"/>
      <c r="ADV699"/>
      <c r="ADW699"/>
      <c r="ADX699"/>
      <c r="ADY699"/>
      <c r="ADZ699"/>
      <c r="AEA699"/>
      <c r="AEB699"/>
      <c r="AEC699"/>
      <c r="AED699"/>
      <c r="AEE699"/>
      <c r="AEF699"/>
      <c r="AEG699"/>
      <c r="AEH699"/>
      <c r="AEI699"/>
      <c r="AEJ699"/>
      <c r="AEK699"/>
      <c r="AEL699"/>
      <c r="AEM699"/>
      <c r="AEN699"/>
      <c r="AEO699"/>
      <c r="AEP699"/>
      <c r="AEQ699"/>
      <c r="AER699"/>
      <c r="AES699"/>
      <c r="AET699"/>
      <c r="AEU699"/>
      <c r="AEV699"/>
      <c r="AEW699"/>
      <c r="AEX699"/>
      <c r="AEY699"/>
      <c r="AEZ699"/>
      <c r="AFA699"/>
      <c r="AFB699"/>
      <c r="AFC699"/>
      <c r="AFD699"/>
      <c r="AFE699"/>
      <c r="AFF699"/>
      <c r="AFG699"/>
      <c r="AFH699"/>
      <c r="AFI699"/>
      <c r="AFJ699"/>
      <c r="AFK699"/>
      <c r="AFL699"/>
      <c r="AFM699"/>
      <c r="AFN699"/>
      <c r="AFO699"/>
      <c r="AFP699"/>
      <c r="AFQ699"/>
      <c r="AFR699"/>
      <c r="AFS699"/>
      <c r="AFT699"/>
      <c r="AFU699"/>
      <c r="AFV699"/>
      <c r="AFW699"/>
      <c r="AFX699"/>
      <c r="AFY699"/>
      <c r="AFZ699"/>
      <c r="AGA699"/>
      <c r="AGB699"/>
      <c r="AGC699"/>
      <c r="AGD699"/>
      <c r="AGE699"/>
      <c r="AGF699"/>
      <c r="AGG699"/>
      <c r="AGH699"/>
      <c r="AGI699"/>
      <c r="AGJ699"/>
      <c r="AGK699"/>
      <c r="AGL699"/>
      <c r="AGM699"/>
      <c r="AGN699"/>
      <c r="AGO699"/>
      <c r="AGP699"/>
      <c r="AGQ699"/>
      <c r="AGR699"/>
      <c r="AGS699"/>
      <c r="AGT699"/>
      <c r="AGU699"/>
      <c r="AGV699"/>
      <c r="AGW699"/>
      <c r="AGX699"/>
      <c r="AGY699"/>
      <c r="AGZ699"/>
      <c r="AHA699"/>
      <c r="AHB699"/>
      <c r="AHC699"/>
      <c r="AHD699"/>
      <c r="AHE699"/>
      <c r="AHF699"/>
      <c r="AHG699"/>
      <c r="AHH699"/>
      <c r="AHI699"/>
      <c r="AHJ699"/>
      <c r="AHK699"/>
      <c r="AHL699"/>
      <c r="AHM699"/>
      <c r="AHN699"/>
      <c r="AHO699"/>
      <c r="AHP699"/>
      <c r="AHQ699"/>
      <c r="AHR699"/>
      <c r="AHS699"/>
      <c r="AHT699"/>
      <c r="AHU699"/>
      <c r="AHV699"/>
      <c r="AHW699"/>
      <c r="AHX699"/>
      <c r="AHY699"/>
      <c r="AHZ699"/>
      <c r="AIA699"/>
      <c r="AIB699"/>
      <c r="AIC699"/>
      <c r="AID699"/>
      <c r="AIE699"/>
      <c r="AIF699"/>
      <c r="AIG699"/>
      <c r="AIH699"/>
      <c r="AII699"/>
      <c r="AIJ699"/>
      <c r="AIK699"/>
      <c r="AIL699"/>
      <c r="AIM699"/>
      <c r="AIN699"/>
      <c r="AIO699"/>
      <c r="AIP699"/>
      <c r="AIQ699"/>
      <c r="AIR699"/>
      <c r="AIS699"/>
      <c r="AIT699"/>
      <c r="AIU699"/>
      <c r="AIV699"/>
      <c r="AIW699"/>
      <c r="AIX699"/>
      <c r="AIY699"/>
      <c r="AIZ699"/>
      <c r="AJA699"/>
      <c r="AJB699"/>
      <c r="AJC699"/>
      <c r="AJD699"/>
      <c r="AJE699"/>
      <c r="AJF699"/>
      <c r="AJG699"/>
      <c r="AJH699"/>
      <c r="AJI699"/>
      <c r="AJJ699"/>
      <c r="AJK699"/>
      <c r="AJL699"/>
      <c r="AJM699"/>
      <c r="AJN699"/>
      <c r="AJO699"/>
      <c r="AJP699"/>
      <c r="AJQ699"/>
      <c r="AJR699"/>
      <c r="AJS699"/>
      <c r="AJT699"/>
      <c r="AJU699"/>
      <c r="AJV699"/>
      <c r="AJW699"/>
      <c r="AJX699"/>
      <c r="AJY699"/>
      <c r="AJZ699"/>
      <c r="AKA699"/>
      <c r="AKB699"/>
      <c r="AKC699"/>
      <c r="AKD699"/>
      <c r="AKE699"/>
      <c r="AKF699"/>
      <c r="AKG699"/>
      <c r="AKH699"/>
      <c r="AKI699"/>
      <c r="AKJ699"/>
      <c r="AKK699"/>
      <c r="AKL699"/>
      <c r="AKM699"/>
      <c r="AKN699"/>
      <c r="AKO699"/>
      <c r="AKP699"/>
      <c r="AKQ699"/>
      <c r="AKR699"/>
      <c r="AKS699"/>
      <c r="AKT699"/>
      <c r="AKU699"/>
      <c r="AKV699"/>
      <c r="AKW699"/>
      <c r="AKX699"/>
      <c r="AKY699"/>
      <c r="AKZ699"/>
      <c r="ALA699"/>
      <c r="ALB699"/>
      <c r="ALC699"/>
      <c r="ALD699"/>
      <c r="ALE699"/>
      <c r="ALF699"/>
      <c r="ALG699"/>
      <c r="ALH699"/>
      <c r="ALI699"/>
      <c r="ALJ699"/>
      <c r="ALK699"/>
      <c r="ALL699"/>
      <c r="ALM699"/>
      <c r="ALN699"/>
      <c r="ALO699"/>
      <c r="ALP699"/>
      <c r="ALQ699"/>
      <c r="ALR699"/>
      <c r="ALS699"/>
      <c r="ALT699"/>
      <c r="ALU699"/>
      <c r="ALV699"/>
      <c r="ALW699"/>
      <c r="ALX699"/>
      <c r="ALY699"/>
      <c r="ALZ699"/>
      <c r="AMA699"/>
      <c r="AMB699"/>
      <c r="AMC699"/>
      <c r="AMD699"/>
      <c r="AME699"/>
      <c r="AMF699"/>
      <c r="AMG699"/>
      <c r="AMH699"/>
      <c r="AMI699"/>
      <c r="AMJ699"/>
      <c r="AMK699"/>
    </row>
    <row r="700" spans="1:1025">
      <c r="A700" s="153"/>
      <c r="B700" s="734" t="s">
        <v>2001</v>
      </c>
      <c r="C700" s="238"/>
      <c r="D700" s="261"/>
      <c r="E700" s="261"/>
      <c r="F700" s="153"/>
      <c r="G700" s="153"/>
      <c r="H700" s="153"/>
      <c r="I700" s="153"/>
      <c r="J700" s="244">
        <f>J620</f>
        <v>0</v>
      </c>
      <c r="K700" s="244"/>
      <c r="L700" s="735">
        <v>0</v>
      </c>
      <c r="M700" s="736" t="e">
        <f t="shared" si="58"/>
        <v>#DIV/0!</v>
      </c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  <c r="FK700"/>
      <c r="FL700"/>
      <c r="FM700"/>
      <c r="FN700"/>
      <c r="FO700"/>
      <c r="FP700"/>
      <c r="FQ700"/>
      <c r="FR700"/>
      <c r="FS700"/>
      <c r="FT700"/>
      <c r="FU700"/>
      <c r="FV700"/>
      <c r="FW700"/>
      <c r="FX700"/>
      <c r="FY700"/>
      <c r="FZ700"/>
      <c r="GA700"/>
      <c r="GB700"/>
      <c r="GC700"/>
      <c r="GD700"/>
      <c r="GE700"/>
      <c r="GF700"/>
      <c r="GG700"/>
      <c r="GH700"/>
      <c r="GI700"/>
      <c r="GJ700"/>
      <c r="GK700"/>
      <c r="GL700"/>
      <c r="GM700"/>
      <c r="GN700"/>
      <c r="GO700"/>
      <c r="GP700"/>
      <c r="GQ700"/>
      <c r="GR700"/>
      <c r="GS700"/>
      <c r="GT700"/>
      <c r="GU700"/>
      <c r="GV700"/>
      <c r="GW700"/>
      <c r="GX700"/>
      <c r="GY700"/>
      <c r="GZ700"/>
      <c r="HA700"/>
      <c r="HB700"/>
      <c r="HC700"/>
      <c r="HD700"/>
      <c r="HE700"/>
      <c r="HF700"/>
      <c r="HG700"/>
      <c r="HH700"/>
      <c r="HI700"/>
      <c r="HJ700"/>
      <c r="HK700"/>
      <c r="HL700"/>
      <c r="HM700"/>
      <c r="HN700"/>
      <c r="HO700"/>
      <c r="HP700"/>
      <c r="HQ700"/>
      <c r="HR700"/>
      <c r="HS700"/>
      <c r="HT700"/>
      <c r="HU700"/>
      <c r="HV700"/>
      <c r="HW700"/>
      <c r="HX700"/>
      <c r="HY700"/>
      <c r="HZ700"/>
      <c r="IA700"/>
      <c r="IB700"/>
      <c r="IC700"/>
      <c r="ID700"/>
      <c r="IE700"/>
      <c r="IF700"/>
      <c r="IG700"/>
      <c r="IH700"/>
      <c r="II700"/>
      <c r="IJ700"/>
      <c r="IK700"/>
      <c r="IL700"/>
      <c r="IM700"/>
      <c r="IN700"/>
      <c r="IO700"/>
      <c r="IP700"/>
      <c r="IQ700"/>
      <c r="IR700"/>
      <c r="IS700"/>
      <c r="IT700"/>
      <c r="IU700"/>
      <c r="IV700"/>
      <c r="IW700"/>
      <c r="IX700"/>
      <c r="IY700"/>
      <c r="IZ700"/>
      <c r="JA700"/>
      <c r="JB700"/>
      <c r="JC700"/>
      <c r="JD700"/>
      <c r="JE700"/>
      <c r="JF700"/>
      <c r="JG700"/>
      <c r="JH700"/>
      <c r="JI700"/>
      <c r="JJ700"/>
      <c r="JK700"/>
      <c r="JL700"/>
      <c r="JM700"/>
      <c r="JN700"/>
      <c r="JO700"/>
      <c r="JP700"/>
      <c r="JQ700"/>
      <c r="JR700"/>
      <c r="JS700"/>
      <c r="JT700"/>
      <c r="JU700"/>
      <c r="JV700"/>
      <c r="JW700"/>
      <c r="JX700"/>
      <c r="JY700"/>
      <c r="JZ700"/>
      <c r="KA700"/>
      <c r="KB700"/>
      <c r="KC700"/>
      <c r="KD700"/>
      <c r="KE700"/>
      <c r="KF700"/>
      <c r="KG700"/>
      <c r="KH700"/>
      <c r="KI700"/>
      <c r="KJ700"/>
      <c r="KK700"/>
      <c r="KL700"/>
      <c r="KM700"/>
      <c r="KN700"/>
      <c r="KO700"/>
      <c r="KP700"/>
      <c r="KQ700"/>
      <c r="KR700"/>
      <c r="KS700"/>
      <c r="KT700"/>
      <c r="KU700"/>
      <c r="KV700"/>
      <c r="KW700"/>
      <c r="KX700"/>
      <c r="KY700"/>
      <c r="KZ700"/>
      <c r="LA700"/>
      <c r="LB700"/>
      <c r="LC700"/>
      <c r="LD700"/>
      <c r="LE700"/>
      <c r="LF700"/>
      <c r="LG700"/>
      <c r="LH700"/>
      <c r="LI700"/>
      <c r="LJ700"/>
      <c r="LK700"/>
      <c r="LL700"/>
      <c r="LM700"/>
      <c r="LN700"/>
      <c r="LO700"/>
      <c r="LP700"/>
      <c r="LQ700"/>
      <c r="LR700"/>
      <c r="LS700"/>
      <c r="LT700"/>
      <c r="LU700"/>
      <c r="LV700"/>
      <c r="LW700"/>
      <c r="LX700"/>
      <c r="LY700"/>
      <c r="LZ700"/>
      <c r="MA700"/>
      <c r="MB700"/>
      <c r="MC700"/>
      <c r="MD700"/>
      <c r="ME700"/>
      <c r="MF700"/>
      <c r="MG700"/>
      <c r="MH700"/>
      <c r="MI700"/>
      <c r="MJ700"/>
      <c r="MK700"/>
      <c r="ML700"/>
      <c r="MM700"/>
      <c r="MN700"/>
      <c r="MO700"/>
      <c r="MP700"/>
      <c r="MQ700"/>
      <c r="MR700"/>
      <c r="MS700"/>
      <c r="MT700"/>
      <c r="MU700"/>
      <c r="MV700"/>
      <c r="MW700"/>
      <c r="MX700"/>
      <c r="MY700"/>
      <c r="MZ700"/>
      <c r="NA700"/>
      <c r="NB700"/>
      <c r="NC700"/>
      <c r="ND700"/>
      <c r="NE700"/>
      <c r="NF700"/>
      <c r="NG700"/>
      <c r="NH700"/>
      <c r="NI700"/>
      <c r="NJ700"/>
      <c r="NK700"/>
      <c r="NL700"/>
      <c r="NM700"/>
      <c r="NN700"/>
      <c r="NO700"/>
      <c r="NP700"/>
      <c r="NQ700"/>
      <c r="NR700"/>
      <c r="NS700"/>
      <c r="NT700"/>
      <c r="NU700"/>
      <c r="NV700"/>
      <c r="NW700"/>
      <c r="NX700"/>
      <c r="NY700"/>
      <c r="NZ700"/>
      <c r="OA700"/>
      <c r="OB700"/>
      <c r="OC700"/>
      <c r="OD700"/>
      <c r="OE700"/>
      <c r="OF700"/>
      <c r="OG700"/>
      <c r="OH700"/>
      <c r="OI700"/>
      <c r="OJ700"/>
      <c r="OK700"/>
      <c r="OL700"/>
      <c r="OM700"/>
      <c r="ON700"/>
      <c r="OO700"/>
      <c r="OP700"/>
      <c r="OQ700"/>
      <c r="OR700"/>
      <c r="OS700"/>
      <c r="OT700"/>
      <c r="OU700"/>
      <c r="OV700"/>
      <c r="OW700"/>
      <c r="OX700"/>
      <c r="OY700"/>
      <c r="OZ700"/>
      <c r="PA700"/>
      <c r="PB700"/>
      <c r="PC700"/>
      <c r="PD700"/>
      <c r="PE700"/>
      <c r="PF700"/>
      <c r="PG700"/>
      <c r="PH700"/>
      <c r="PI700"/>
      <c r="PJ700"/>
      <c r="PK700"/>
      <c r="PL700"/>
      <c r="PM700"/>
      <c r="PN700"/>
      <c r="PO700"/>
      <c r="PP700"/>
      <c r="PQ700"/>
      <c r="PR700"/>
      <c r="PS700"/>
      <c r="PT700"/>
      <c r="PU700"/>
      <c r="PV700"/>
      <c r="PW700"/>
      <c r="PX700"/>
      <c r="PY700"/>
      <c r="PZ700"/>
      <c r="QA700"/>
      <c r="QB700"/>
      <c r="QC700"/>
      <c r="QD700"/>
      <c r="QE700"/>
      <c r="QF700"/>
      <c r="QG700"/>
      <c r="QH700"/>
      <c r="QI700"/>
      <c r="QJ700"/>
      <c r="QK700"/>
      <c r="QL700"/>
      <c r="QM700"/>
      <c r="QN700"/>
      <c r="QO700"/>
      <c r="QP700"/>
      <c r="QQ700"/>
      <c r="QR700"/>
      <c r="QS700"/>
      <c r="QT700"/>
      <c r="QU700"/>
      <c r="QV700"/>
      <c r="QW700"/>
      <c r="QX700"/>
      <c r="QY700"/>
      <c r="QZ700"/>
      <c r="RA700"/>
      <c r="RB700"/>
      <c r="RC700"/>
      <c r="RD700"/>
      <c r="RE700"/>
      <c r="RF700"/>
      <c r="RG700"/>
      <c r="RH700"/>
      <c r="RI700"/>
      <c r="RJ700"/>
      <c r="RK700"/>
      <c r="RL700"/>
      <c r="RM700"/>
      <c r="RN700"/>
      <c r="RO700"/>
      <c r="RP700"/>
      <c r="RQ700"/>
      <c r="RR700"/>
      <c r="RS700"/>
      <c r="RT700"/>
      <c r="RU700"/>
      <c r="RV700"/>
      <c r="RW700"/>
      <c r="RX700"/>
      <c r="RY700"/>
      <c r="RZ700"/>
      <c r="SA700"/>
      <c r="SB700"/>
      <c r="SC700"/>
      <c r="SD700"/>
      <c r="SE700"/>
      <c r="SF700"/>
      <c r="SG700"/>
      <c r="SH700"/>
      <c r="SI700"/>
      <c r="SJ700"/>
      <c r="SK700"/>
      <c r="SL700"/>
      <c r="SM700"/>
      <c r="SN700"/>
      <c r="SO700"/>
      <c r="SP700"/>
      <c r="SQ700"/>
      <c r="SR700"/>
      <c r="SS700"/>
      <c r="ST700"/>
      <c r="SU700"/>
      <c r="SV700"/>
      <c r="SW700"/>
      <c r="SX700"/>
      <c r="SY700"/>
      <c r="SZ700"/>
      <c r="TA700"/>
      <c r="TB700"/>
      <c r="TC700"/>
      <c r="TD700"/>
      <c r="TE700"/>
      <c r="TF700"/>
      <c r="TG700"/>
      <c r="TH700"/>
      <c r="TI700"/>
      <c r="TJ700"/>
      <c r="TK700"/>
      <c r="TL700"/>
      <c r="TM700"/>
      <c r="TN700"/>
      <c r="TO700"/>
      <c r="TP700"/>
      <c r="TQ700"/>
      <c r="TR700"/>
      <c r="TS700"/>
      <c r="TT700"/>
      <c r="TU700"/>
      <c r="TV700"/>
      <c r="TW700"/>
      <c r="TX700"/>
      <c r="TY700"/>
      <c r="TZ700"/>
      <c r="UA700"/>
      <c r="UB700"/>
      <c r="UC700"/>
      <c r="UD700"/>
      <c r="UE700"/>
      <c r="UF700"/>
      <c r="UG700"/>
      <c r="UH700"/>
      <c r="UI700"/>
      <c r="UJ700"/>
      <c r="UK700"/>
      <c r="UL700"/>
      <c r="UM700"/>
      <c r="UN700"/>
      <c r="UO700"/>
      <c r="UP700"/>
      <c r="UQ700"/>
      <c r="UR700"/>
      <c r="US700"/>
      <c r="UT700"/>
      <c r="UU700"/>
      <c r="UV700"/>
      <c r="UW700"/>
      <c r="UX700"/>
      <c r="UY700"/>
      <c r="UZ700"/>
      <c r="VA700"/>
      <c r="VB700"/>
      <c r="VC700"/>
      <c r="VD700"/>
      <c r="VE700"/>
      <c r="VF700"/>
      <c r="VG700"/>
      <c r="VH700"/>
      <c r="VI700"/>
      <c r="VJ700"/>
      <c r="VK700"/>
      <c r="VL700"/>
      <c r="VM700"/>
      <c r="VN700"/>
      <c r="VO700"/>
      <c r="VP700"/>
      <c r="VQ700"/>
      <c r="VR700"/>
      <c r="VS700"/>
      <c r="VT700"/>
      <c r="VU700"/>
      <c r="VV700"/>
      <c r="VW700"/>
      <c r="VX700"/>
      <c r="VY700"/>
      <c r="VZ700"/>
      <c r="WA700"/>
      <c r="WB700"/>
      <c r="WC700"/>
      <c r="WD700"/>
      <c r="WE700"/>
      <c r="WF700"/>
      <c r="WG700"/>
      <c r="WH700"/>
      <c r="WI700"/>
      <c r="WJ700"/>
      <c r="WK700"/>
      <c r="WL700"/>
      <c r="WM700"/>
      <c r="WN700"/>
      <c r="WO700"/>
      <c r="WP700"/>
      <c r="WQ700"/>
      <c r="WR700"/>
      <c r="WS700"/>
      <c r="WT700"/>
      <c r="WU700"/>
      <c r="WV700"/>
      <c r="WW700"/>
      <c r="WX700"/>
      <c r="WY700"/>
      <c r="WZ700"/>
      <c r="XA700"/>
      <c r="XB700"/>
      <c r="XC700"/>
      <c r="XD700"/>
      <c r="XE700"/>
      <c r="XF700"/>
      <c r="XG700"/>
      <c r="XH700"/>
      <c r="XI700"/>
      <c r="XJ700"/>
      <c r="XK700"/>
      <c r="XL700"/>
      <c r="XM700"/>
      <c r="XN700"/>
      <c r="XO700"/>
      <c r="XP700"/>
      <c r="XQ700"/>
      <c r="XR700"/>
      <c r="XS700"/>
      <c r="XT700"/>
      <c r="XU700"/>
      <c r="XV700"/>
      <c r="XW700"/>
      <c r="XX700"/>
      <c r="XY700"/>
      <c r="XZ700"/>
      <c r="YA700"/>
      <c r="YB700"/>
      <c r="YC700"/>
      <c r="YD700"/>
      <c r="YE700"/>
      <c r="YF700"/>
      <c r="YG700"/>
      <c r="YH700"/>
      <c r="YI700"/>
      <c r="YJ700"/>
      <c r="YK700"/>
      <c r="YL700"/>
      <c r="YM700"/>
      <c r="YN700"/>
      <c r="YO700"/>
      <c r="YP700"/>
      <c r="YQ700"/>
      <c r="YR700"/>
      <c r="YS700"/>
      <c r="YT700"/>
      <c r="YU700"/>
      <c r="YV700"/>
      <c r="YW700"/>
      <c r="YX700"/>
      <c r="YY700"/>
      <c r="YZ700"/>
      <c r="ZA700"/>
      <c r="ZB700"/>
      <c r="ZC700"/>
      <c r="ZD700"/>
      <c r="ZE700"/>
      <c r="ZF700"/>
      <c r="ZG700"/>
      <c r="ZH700"/>
      <c r="ZI700"/>
      <c r="ZJ700"/>
      <c r="ZK700"/>
      <c r="ZL700"/>
      <c r="ZM700"/>
      <c r="ZN700"/>
      <c r="ZO700"/>
      <c r="ZP700"/>
      <c r="ZQ700"/>
      <c r="ZR700"/>
      <c r="ZS700"/>
      <c r="ZT700"/>
      <c r="ZU700"/>
      <c r="ZV700"/>
      <c r="ZW700"/>
      <c r="ZX700"/>
      <c r="ZY700"/>
      <c r="ZZ700"/>
      <c r="AAA700"/>
      <c r="AAB700"/>
      <c r="AAC700"/>
      <c r="AAD700"/>
      <c r="AAE700"/>
      <c r="AAF700"/>
      <c r="AAG700"/>
      <c r="AAH700"/>
      <c r="AAI700"/>
      <c r="AAJ700"/>
      <c r="AAK700"/>
      <c r="AAL700"/>
      <c r="AAM700"/>
      <c r="AAN700"/>
      <c r="AAO700"/>
      <c r="AAP700"/>
      <c r="AAQ700"/>
      <c r="AAR700"/>
      <c r="AAS700"/>
      <c r="AAT700"/>
      <c r="AAU700"/>
      <c r="AAV700"/>
      <c r="AAW700"/>
      <c r="AAX700"/>
      <c r="AAY700"/>
      <c r="AAZ700"/>
      <c r="ABA700"/>
      <c r="ABB700"/>
      <c r="ABC700"/>
      <c r="ABD700"/>
      <c r="ABE700"/>
      <c r="ABF700"/>
      <c r="ABG700"/>
      <c r="ABH700"/>
      <c r="ABI700"/>
      <c r="ABJ700"/>
      <c r="ABK700"/>
      <c r="ABL700"/>
      <c r="ABM700"/>
      <c r="ABN700"/>
      <c r="ABO700"/>
      <c r="ABP700"/>
      <c r="ABQ700"/>
      <c r="ABR700"/>
      <c r="ABS700"/>
      <c r="ABT700"/>
      <c r="ABU700"/>
      <c r="ABV700"/>
      <c r="ABW700"/>
      <c r="ABX700"/>
      <c r="ABY700"/>
      <c r="ABZ700"/>
      <c r="ACA700"/>
      <c r="ACB700"/>
      <c r="ACC700"/>
      <c r="ACD700"/>
      <c r="ACE700"/>
      <c r="ACF700"/>
      <c r="ACG700"/>
      <c r="ACH700"/>
      <c r="ACI700"/>
      <c r="ACJ700"/>
      <c r="ACK700"/>
      <c r="ACL700"/>
      <c r="ACM700"/>
      <c r="ACN700"/>
      <c r="ACO700"/>
      <c r="ACP700"/>
      <c r="ACQ700"/>
      <c r="ACR700"/>
      <c r="ACS700"/>
      <c r="ACT700"/>
      <c r="ACU700"/>
      <c r="ACV700"/>
      <c r="ACW700"/>
      <c r="ACX700"/>
      <c r="ACY700"/>
      <c r="ACZ700"/>
      <c r="ADA700"/>
      <c r="ADB700"/>
      <c r="ADC700"/>
      <c r="ADD700"/>
      <c r="ADE700"/>
      <c r="ADF700"/>
      <c r="ADG700"/>
      <c r="ADH700"/>
      <c r="ADI700"/>
      <c r="ADJ700"/>
      <c r="ADK700"/>
      <c r="ADL700"/>
      <c r="ADM700"/>
      <c r="ADN700"/>
      <c r="ADO700"/>
      <c r="ADP700"/>
      <c r="ADQ700"/>
      <c r="ADR700"/>
      <c r="ADS700"/>
      <c r="ADT700"/>
      <c r="ADU700"/>
      <c r="ADV700"/>
      <c r="ADW700"/>
      <c r="ADX700"/>
      <c r="ADY700"/>
      <c r="ADZ700"/>
      <c r="AEA700"/>
      <c r="AEB700"/>
      <c r="AEC700"/>
      <c r="AED700"/>
      <c r="AEE700"/>
      <c r="AEF700"/>
      <c r="AEG700"/>
      <c r="AEH700"/>
      <c r="AEI700"/>
      <c r="AEJ700"/>
      <c r="AEK700"/>
      <c r="AEL700"/>
      <c r="AEM700"/>
      <c r="AEN700"/>
      <c r="AEO700"/>
      <c r="AEP700"/>
      <c r="AEQ700"/>
      <c r="AER700"/>
      <c r="AES700"/>
      <c r="AET700"/>
      <c r="AEU700"/>
      <c r="AEV700"/>
      <c r="AEW700"/>
      <c r="AEX700"/>
      <c r="AEY700"/>
      <c r="AEZ700"/>
      <c r="AFA700"/>
      <c r="AFB700"/>
      <c r="AFC700"/>
      <c r="AFD700"/>
      <c r="AFE700"/>
      <c r="AFF700"/>
      <c r="AFG700"/>
      <c r="AFH700"/>
      <c r="AFI700"/>
      <c r="AFJ700"/>
      <c r="AFK700"/>
      <c r="AFL700"/>
      <c r="AFM700"/>
      <c r="AFN700"/>
      <c r="AFO700"/>
      <c r="AFP700"/>
      <c r="AFQ700"/>
      <c r="AFR700"/>
      <c r="AFS700"/>
      <c r="AFT700"/>
      <c r="AFU700"/>
      <c r="AFV700"/>
      <c r="AFW700"/>
      <c r="AFX700"/>
      <c r="AFY700"/>
      <c r="AFZ700"/>
      <c r="AGA700"/>
      <c r="AGB700"/>
      <c r="AGC700"/>
      <c r="AGD700"/>
      <c r="AGE700"/>
      <c r="AGF700"/>
      <c r="AGG700"/>
      <c r="AGH700"/>
      <c r="AGI700"/>
      <c r="AGJ700"/>
      <c r="AGK700"/>
      <c r="AGL700"/>
      <c r="AGM700"/>
      <c r="AGN700"/>
      <c r="AGO700"/>
      <c r="AGP700"/>
      <c r="AGQ700"/>
      <c r="AGR700"/>
      <c r="AGS700"/>
      <c r="AGT700"/>
      <c r="AGU700"/>
      <c r="AGV700"/>
      <c r="AGW700"/>
      <c r="AGX700"/>
      <c r="AGY700"/>
      <c r="AGZ700"/>
      <c r="AHA700"/>
      <c r="AHB700"/>
      <c r="AHC700"/>
      <c r="AHD700"/>
      <c r="AHE700"/>
      <c r="AHF700"/>
      <c r="AHG700"/>
      <c r="AHH700"/>
      <c r="AHI700"/>
      <c r="AHJ700"/>
      <c r="AHK700"/>
      <c r="AHL700"/>
      <c r="AHM700"/>
      <c r="AHN700"/>
      <c r="AHO700"/>
      <c r="AHP700"/>
      <c r="AHQ700"/>
      <c r="AHR700"/>
      <c r="AHS700"/>
      <c r="AHT700"/>
      <c r="AHU700"/>
      <c r="AHV700"/>
      <c r="AHW700"/>
      <c r="AHX700"/>
      <c r="AHY700"/>
      <c r="AHZ700"/>
      <c r="AIA700"/>
      <c r="AIB700"/>
      <c r="AIC700"/>
      <c r="AID700"/>
      <c r="AIE700"/>
      <c r="AIF700"/>
      <c r="AIG700"/>
      <c r="AIH700"/>
      <c r="AII700"/>
      <c r="AIJ700"/>
      <c r="AIK700"/>
      <c r="AIL700"/>
      <c r="AIM700"/>
      <c r="AIN700"/>
      <c r="AIO700"/>
      <c r="AIP700"/>
      <c r="AIQ700"/>
      <c r="AIR700"/>
      <c r="AIS700"/>
      <c r="AIT700"/>
      <c r="AIU700"/>
      <c r="AIV700"/>
      <c r="AIW700"/>
      <c r="AIX700"/>
      <c r="AIY700"/>
      <c r="AIZ700"/>
      <c r="AJA700"/>
      <c r="AJB700"/>
      <c r="AJC700"/>
      <c r="AJD700"/>
      <c r="AJE700"/>
      <c r="AJF700"/>
      <c r="AJG700"/>
      <c r="AJH700"/>
      <c r="AJI700"/>
      <c r="AJJ700"/>
      <c r="AJK700"/>
      <c r="AJL700"/>
      <c r="AJM700"/>
      <c r="AJN700"/>
      <c r="AJO700"/>
      <c r="AJP700"/>
      <c r="AJQ700"/>
      <c r="AJR700"/>
      <c r="AJS700"/>
      <c r="AJT700"/>
      <c r="AJU700"/>
      <c r="AJV700"/>
      <c r="AJW700"/>
      <c r="AJX700"/>
      <c r="AJY700"/>
      <c r="AJZ700"/>
      <c r="AKA700"/>
      <c r="AKB700"/>
      <c r="AKC700"/>
      <c r="AKD700"/>
      <c r="AKE700"/>
      <c r="AKF700"/>
      <c r="AKG700"/>
      <c r="AKH700"/>
      <c r="AKI700"/>
      <c r="AKJ700"/>
      <c r="AKK700"/>
      <c r="AKL700"/>
      <c r="AKM700"/>
      <c r="AKN700"/>
      <c r="AKO700"/>
      <c r="AKP700"/>
      <c r="AKQ700"/>
      <c r="AKR700"/>
      <c r="AKS700"/>
      <c r="AKT700"/>
      <c r="AKU700"/>
      <c r="AKV700"/>
      <c r="AKW700"/>
      <c r="AKX700"/>
      <c r="AKY700"/>
      <c r="AKZ700"/>
      <c r="ALA700"/>
      <c r="ALB700"/>
      <c r="ALC700"/>
      <c r="ALD700"/>
      <c r="ALE700"/>
      <c r="ALF700"/>
      <c r="ALG700"/>
      <c r="ALH700"/>
      <c r="ALI700"/>
      <c r="ALJ700"/>
      <c r="ALK700"/>
      <c r="ALL700"/>
      <c r="ALM700"/>
      <c r="ALN700"/>
      <c r="ALO700"/>
      <c r="ALP700"/>
      <c r="ALQ700"/>
      <c r="ALR700"/>
      <c r="ALS700"/>
      <c r="ALT700"/>
      <c r="ALU700"/>
      <c r="ALV700"/>
      <c r="ALW700"/>
      <c r="ALX700"/>
      <c r="ALY700"/>
      <c r="ALZ700"/>
      <c r="AMA700"/>
      <c r="AMB700"/>
      <c r="AMC700"/>
      <c r="AMD700"/>
      <c r="AME700"/>
      <c r="AMF700"/>
      <c r="AMG700"/>
      <c r="AMH700"/>
      <c r="AMI700"/>
      <c r="AMJ700"/>
      <c r="AMK700"/>
    </row>
    <row r="701" spans="1:1025">
      <c r="A701" s="153"/>
      <c r="B701" s="238"/>
      <c r="C701" s="238"/>
      <c r="D701" s="153"/>
      <c r="E701" s="153"/>
      <c r="F701" s="153"/>
      <c r="G701" s="153"/>
      <c r="H701" s="153"/>
      <c r="I701" s="14"/>
      <c r="J701" s="349">
        <f>SUM(J697:J700)</f>
        <v>332560.00000000023</v>
      </c>
      <c r="K701" s="244"/>
      <c r="L701" s="735">
        <v>345152.00000000006</v>
      </c>
      <c r="M701" s="736">
        <f t="shared" si="58"/>
        <v>0.96351752271463054</v>
      </c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  <c r="FK701"/>
      <c r="FL701"/>
      <c r="FM701"/>
      <c r="FN701"/>
      <c r="FO701"/>
      <c r="FP701"/>
      <c r="FQ701"/>
      <c r="FR701"/>
      <c r="FS701"/>
      <c r="FT701"/>
      <c r="FU701"/>
      <c r="FV701"/>
      <c r="FW701"/>
      <c r="FX701"/>
      <c r="FY701"/>
      <c r="FZ701"/>
      <c r="GA701"/>
      <c r="GB701"/>
      <c r="GC701"/>
      <c r="GD701"/>
      <c r="GE701"/>
      <c r="GF701"/>
      <c r="GG701"/>
      <c r="GH701"/>
      <c r="GI701"/>
      <c r="GJ701"/>
      <c r="GK701"/>
      <c r="GL701"/>
      <c r="GM701"/>
      <c r="GN701"/>
      <c r="GO701"/>
      <c r="GP701"/>
      <c r="GQ701"/>
      <c r="GR701"/>
      <c r="GS701"/>
      <c r="GT701"/>
      <c r="GU701"/>
      <c r="GV701"/>
      <c r="GW701"/>
      <c r="GX701"/>
      <c r="GY701"/>
      <c r="GZ701"/>
      <c r="HA701"/>
      <c r="HB701"/>
      <c r="HC701"/>
      <c r="HD701"/>
      <c r="HE701"/>
      <c r="HF701"/>
      <c r="HG701"/>
      <c r="HH701"/>
      <c r="HI701"/>
      <c r="HJ701"/>
      <c r="HK701"/>
      <c r="HL701"/>
      <c r="HM701"/>
      <c r="HN701"/>
      <c r="HO701"/>
      <c r="HP701"/>
      <c r="HQ701"/>
      <c r="HR701"/>
      <c r="HS701"/>
      <c r="HT701"/>
      <c r="HU701"/>
      <c r="HV701"/>
      <c r="HW701"/>
      <c r="HX701"/>
      <c r="HY701"/>
      <c r="HZ701"/>
      <c r="IA701"/>
      <c r="IB701"/>
      <c r="IC701"/>
      <c r="ID701"/>
      <c r="IE701"/>
      <c r="IF701"/>
      <c r="IG701"/>
      <c r="IH701"/>
      <c r="II701"/>
      <c r="IJ701"/>
      <c r="IK701"/>
      <c r="IL701"/>
      <c r="IM701"/>
      <c r="IN701"/>
      <c r="IO701"/>
      <c r="IP701"/>
      <c r="IQ701"/>
      <c r="IR701"/>
      <c r="IS701"/>
      <c r="IT701"/>
      <c r="IU701"/>
      <c r="IV701"/>
      <c r="IW701"/>
      <c r="IX701"/>
      <c r="IY701"/>
      <c r="IZ701"/>
      <c r="JA701"/>
      <c r="JB701"/>
      <c r="JC701"/>
      <c r="JD701"/>
      <c r="JE701"/>
      <c r="JF701"/>
      <c r="JG701"/>
      <c r="JH701"/>
      <c r="JI701"/>
      <c r="JJ701"/>
      <c r="JK701"/>
      <c r="JL701"/>
      <c r="JM701"/>
      <c r="JN701"/>
      <c r="JO701"/>
      <c r="JP701"/>
      <c r="JQ701"/>
      <c r="JR701"/>
      <c r="JS701"/>
      <c r="JT701"/>
      <c r="JU701"/>
      <c r="JV701"/>
      <c r="JW701"/>
      <c r="JX701"/>
      <c r="JY701"/>
      <c r="JZ701"/>
      <c r="KA701"/>
      <c r="KB701"/>
      <c r="KC701"/>
      <c r="KD701"/>
      <c r="KE701"/>
      <c r="KF701"/>
      <c r="KG701"/>
      <c r="KH701"/>
      <c r="KI701"/>
      <c r="KJ701"/>
      <c r="KK701"/>
      <c r="KL701"/>
      <c r="KM701"/>
      <c r="KN701"/>
      <c r="KO701"/>
      <c r="KP701"/>
      <c r="KQ701"/>
      <c r="KR701"/>
      <c r="KS701"/>
      <c r="KT701"/>
      <c r="KU701"/>
      <c r="KV701"/>
      <c r="KW701"/>
      <c r="KX701"/>
      <c r="KY701"/>
      <c r="KZ701"/>
      <c r="LA701"/>
      <c r="LB701"/>
      <c r="LC701"/>
      <c r="LD701"/>
      <c r="LE701"/>
      <c r="LF701"/>
      <c r="LG701"/>
      <c r="LH701"/>
      <c r="LI701"/>
      <c r="LJ701"/>
      <c r="LK701"/>
      <c r="LL701"/>
      <c r="LM701"/>
      <c r="LN701"/>
      <c r="LO701"/>
      <c r="LP701"/>
      <c r="LQ701"/>
      <c r="LR701"/>
      <c r="LS701"/>
      <c r="LT701"/>
      <c r="LU701"/>
      <c r="LV701"/>
      <c r="LW701"/>
      <c r="LX701"/>
      <c r="LY701"/>
      <c r="LZ701"/>
      <c r="MA701"/>
      <c r="MB701"/>
      <c r="MC701"/>
      <c r="MD701"/>
      <c r="ME701"/>
      <c r="MF701"/>
      <c r="MG701"/>
      <c r="MH701"/>
      <c r="MI701"/>
      <c r="MJ701"/>
      <c r="MK701"/>
      <c r="ML701"/>
      <c r="MM701"/>
      <c r="MN701"/>
      <c r="MO701"/>
      <c r="MP701"/>
      <c r="MQ701"/>
      <c r="MR701"/>
      <c r="MS701"/>
      <c r="MT701"/>
      <c r="MU701"/>
      <c r="MV701"/>
      <c r="MW701"/>
      <c r="MX701"/>
      <c r="MY701"/>
      <c r="MZ701"/>
      <c r="NA701"/>
      <c r="NB701"/>
      <c r="NC701"/>
      <c r="ND701"/>
      <c r="NE701"/>
      <c r="NF701"/>
      <c r="NG701"/>
      <c r="NH701"/>
      <c r="NI701"/>
      <c r="NJ701"/>
      <c r="NK701"/>
      <c r="NL701"/>
      <c r="NM701"/>
      <c r="NN701"/>
      <c r="NO701"/>
      <c r="NP701"/>
      <c r="NQ701"/>
      <c r="NR701"/>
      <c r="NS701"/>
      <c r="NT701"/>
      <c r="NU701"/>
      <c r="NV701"/>
      <c r="NW701"/>
      <c r="NX701"/>
      <c r="NY701"/>
      <c r="NZ701"/>
      <c r="OA701"/>
      <c r="OB701"/>
      <c r="OC701"/>
      <c r="OD701"/>
      <c r="OE701"/>
      <c r="OF701"/>
      <c r="OG701"/>
      <c r="OH701"/>
      <c r="OI701"/>
      <c r="OJ701"/>
      <c r="OK701"/>
      <c r="OL701"/>
      <c r="OM701"/>
      <c r="ON701"/>
      <c r="OO701"/>
      <c r="OP701"/>
      <c r="OQ701"/>
      <c r="OR701"/>
      <c r="OS701"/>
      <c r="OT701"/>
      <c r="OU701"/>
      <c r="OV701"/>
      <c r="OW701"/>
      <c r="OX701"/>
      <c r="OY701"/>
      <c r="OZ701"/>
      <c r="PA701"/>
      <c r="PB701"/>
      <c r="PC701"/>
      <c r="PD701"/>
      <c r="PE701"/>
      <c r="PF701"/>
      <c r="PG701"/>
      <c r="PH701"/>
      <c r="PI701"/>
      <c r="PJ701"/>
      <c r="PK701"/>
      <c r="PL701"/>
      <c r="PM701"/>
      <c r="PN701"/>
      <c r="PO701"/>
      <c r="PP701"/>
      <c r="PQ701"/>
      <c r="PR701"/>
      <c r="PS701"/>
      <c r="PT701"/>
      <c r="PU701"/>
      <c r="PV701"/>
      <c r="PW701"/>
      <c r="PX701"/>
      <c r="PY701"/>
      <c r="PZ701"/>
      <c r="QA701"/>
      <c r="QB701"/>
      <c r="QC701"/>
      <c r="QD701"/>
      <c r="QE701"/>
      <c r="QF701"/>
      <c r="QG701"/>
      <c r="QH701"/>
      <c r="QI701"/>
      <c r="QJ701"/>
      <c r="QK701"/>
      <c r="QL701"/>
      <c r="QM701"/>
      <c r="QN701"/>
      <c r="QO701"/>
      <c r="QP701"/>
      <c r="QQ701"/>
      <c r="QR701"/>
      <c r="QS701"/>
      <c r="QT701"/>
      <c r="QU701"/>
      <c r="QV701"/>
      <c r="QW701"/>
      <c r="QX701"/>
      <c r="QY701"/>
      <c r="QZ701"/>
      <c r="RA701"/>
      <c r="RB701"/>
      <c r="RC701"/>
      <c r="RD701"/>
      <c r="RE701"/>
      <c r="RF701"/>
      <c r="RG701"/>
      <c r="RH701"/>
      <c r="RI701"/>
      <c r="RJ701"/>
      <c r="RK701"/>
      <c r="RL701"/>
      <c r="RM701"/>
      <c r="RN701"/>
      <c r="RO701"/>
      <c r="RP701"/>
      <c r="RQ701"/>
      <c r="RR701"/>
      <c r="RS701"/>
      <c r="RT701"/>
      <c r="RU701"/>
      <c r="RV701"/>
      <c r="RW701"/>
      <c r="RX701"/>
      <c r="RY701"/>
      <c r="RZ701"/>
      <c r="SA701"/>
      <c r="SB701"/>
      <c r="SC701"/>
      <c r="SD701"/>
      <c r="SE701"/>
      <c r="SF701"/>
      <c r="SG701"/>
      <c r="SH701"/>
      <c r="SI701"/>
      <c r="SJ701"/>
      <c r="SK701"/>
      <c r="SL701"/>
      <c r="SM701"/>
      <c r="SN701"/>
      <c r="SO701"/>
      <c r="SP701"/>
      <c r="SQ701"/>
      <c r="SR701"/>
      <c r="SS701"/>
      <c r="ST701"/>
      <c r="SU701"/>
      <c r="SV701"/>
      <c r="SW701"/>
      <c r="SX701"/>
      <c r="SY701"/>
      <c r="SZ701"/>
      <c r="TA701"/>
      <c r="TB701"/>
      <c r="TC701"/>
      <c r="TD701"/>
      <c r="TE701"/>
      <c r="TF701"/>
      <c r="TG701"/>
      <c r="TH701"/>
      <c r="TI701"/>
      <c r="TJ701"/>
      <c r="TK701"/>
      <c r="TL701"/>
      <c r="TM701"/>
      <c r="TN701"/>
      <c r="TO701"/>
      <c r="TP701"/>
      <c r="TQ701"/>
      <c r="TR701"/>
      <c r="TS701"/>
      <c r="TT701"/>
      <c r="TU701"/>
      <c r="TV701"/>
      <c r="TW701"/>
      <c r="TX701"/>
      <c r="TY701"/>
      <c r="TZ701"/>
      <c r="UA701"/>
      <c r="UB701"/>
      <c r="UC701"/>
      <c r="UD701"/>
      <c r="UE701"/>
      <c r="UF701"/>
      <c r="UG701"/>
      <c r="UH701"/>
      <c r="UI701"/>
      <c r="UJ701"/>
      <c r="UK701"/>
      <c r="UL701"/>
      <c r="UM701"/>
      <c r="UN701"/>
      <c r="UO701"/>
      <c r="UP701"/>
      <c r="UQ701"/>
      <c r="UR701"/>
      <c r="US701"/>
      <c r="UT701"/>
      <c r="UU701"/>
      <c r="UV701"/>
      <c r="UW701"/>
      <c r="UX701"/>
      <c r="UY701"/>
      <c r="UZ701"/>
      <c r="VA701"/>
      <c r="VB701"/>
      <c r="VC701"/>
      <c r="VD701"/>
      <c r="VE701"/>
      <c r="VF701"/>
      <c r="VG701"/>
      <c r="VH701"/>
      <c r="VI701"/>
      <c r="VJ701"/>
      <c r="VK701"/>
      <c r="VL701"/>
      <c r="VM701"/>
      <c r="VN701"/>
      <c r="VO701"/>
      <c r="VP701"/>
      <c r="VQ701"/>
      <c r="VR701"/>
      <c r="VS701"/>
      <c r="VT701"/>
      <c r="VU701"/>
      <c r="VV701"/>
      <c r="VW701"/>
      <c r="VX701"/>
      <c r="VY701"/>
      <c r="VZ701"/>
      <c r="WA701"/>
      <c r="WB701"/>
      <c r="WC701"/>
      <c r="WD701"/>
      <c r="WE701"/>
      <c r="WF701"/>
      <c r="WG701"/>
      <c r="WH701"/>
      <c r="WI701"/>
      <c r="WJ701"/>
      <c r="WK701"/>
      <c r="WL701"/>
      <c r="WM701"/>
      <c r="WN701"/>
      <c r="WO701"/>
      <c r="WP701"/>
      <c r="WQ701"/>
      <c r="WR701"/>
      <c r="WS701"/>
      <c r="WT701"/>
      <c r="WU701"/>
      <c r="WV701"/>
      <c r="WW701"/>
      <c r="WX701"/>
      <c r="WY701"/>
      <c r="WZ701"/>
      <c r="XA701"/>
      <c r="XB701"/>
      <c r="XC701"/>
      <c r="XD701"/>
      <c r="XE701"/>
      <c r="XF701"/>
      <c r="XG701"/>
      <c r="XH701"/>
      <c r="XI701"/>
      <c r="XJ701"/>
      <c r="XK701"/>
      <c r="XL701"/>
      <c r="XM701"/>
      <c r="XN701"/>
      <c r="XO701"/>
      <c r="XP701"/>
      <c r="XQ701"/>
      <c r="XR701"/>
      <c r="XS701"/>
      <c r="XT701"/>
      <c r="XU701"/>
      <c r="XV701"/>
      <c r="XW701"/>
      <c r="XX701"/>
      <c r="XY701"/>
      <c r="XZ701"/>
      <c r="YA701"/>
      <c r="YB701"/>
      <c r="YC701"/>
      <c r="YD701"/>
      <c r="YE701"/>
      <c r="YF701"/>
      <c r="YG701"/>
      <c r="YH701"/>
      <c r="YI701"/>
      <c r="YJ701"/>
      <c r="YK701"/>
      <c r="YL701"/>
      <c r="YM701"/>
      <c r="YN701"/>
      <c r="YO701"/>
      <c r="YP701"/>
      <c r="YQ701"/>
      <c r="YR701"/>
      <c r="YS701"/>
      <c r="YT701"/>
      <c r="YU701"/>
      <c r="YV701"/>
      <c r="YW701"/>
      <c r="YX701"/>
      <c r="YY701"/>
      <c r="YZ701"/>
      <c r="ZA701"/>
      <c r="ZB701"/>
      <c r="ZC701"/>
      <c r="ZD701"/>
      <c r="ZE701"/>
      <c r="ZF701"/>
      <c r="ZG701"/>
      <c r="ZH701"/>
      <c r="ZI701"/>
      <c r="ZJ701"/>
      <c r="ZK701"/>
      <c r="ZL701"/>
      <c r="ZM701"/>
      <c r="ZN701"/>
      <c r="ZO701"/>
      <c r="ZP701"/>
      <c r="ZQ701"/>
      <c r="ZR701"/>
      <c r="ZS701"/>
      <c r="ZT701"/>
      <c r="ZU701"/>
      <c r="ZV701"/>
      <c r="ZW701"/>
      <c r="ZX701"/>
      <c r="ZY701"/>
      <c r="ZZ701"/>
      <c r="AAA701"/>
      <c r="AAB701"/>
      <c r="AAC701"/>
      <c r="AAD701"/>
      <c r="AAE701"/>
      <c r="AAF701"/>
      <c r="AAG701"/>
      <c r="AAH701"/>
      <c r="AAI701"/>
      <c r="AAJ701"/>
      <c r="AAK701"/>
      <c r="AAL701"/>
      <c r="AAM701"/>
      <c r="AAN701"/>
      <c r="AAO701"/>
      <c r="AAP701"/>
      <c r="AAQ701"/>
      <c r="AAR701"/>
      <c r="AAS701"/>
      <c r="AAT701"/>
      <c r="AAU701"/>
      <c r="AAV701"/>
      <c r="AAW701"/>
      <c r="AAX701"/>
      <c r="AAY701"/>
      <c r="AAZ701"/>
      <c r="ABA701"/>
      <c r="ABB701"/>
      <c r="ABC701"/>
      <c r="ABD701"/>
      <c r="ABE701"/>
      <c r="ABF701"/>
      <c r="ABG701"/>
      <c r="ABH701"/>
      <c r="ABI701"/>
      <c r="ABJ701"/>
      <c r="ABK701"/>
      <c r="ABL701"/>
      <c r="ABM701"/>
      <c r="ABN701"/>
      <c r="ABO701"/>
      <c r="ABP701"/>
      <c r="ABQ701"/>
      <c r="ABR701"/>
      <c r="ABS701"/>
      <c r="ABT701"/>
      <c r="ABU701"/>
      <c r="ABV701"/>
      <c r="ABW701"/>
      <c r="ABX701"/>
      <c r="ABY701"/>
      <c r="ABZ701"/>
      <c r="ACA701"/>
      <c r="ACB701"/>
      <c r="ACC701"/>
      <c r="ACD701"/>
      <c r="ACE701"/>
      <c r="ACF701"/>
      <c r="ACG701"/>
      <c r="ACH701"/>
      <c r="ACI701"/>
      <c r="ACJ701"/>
      <c r="ACK701"/>
      <c r="ACL701"/>
      <c r="ACM701"/>
      <c r="ACN701"/>
      <c r="ACO701"/>
      <c r="ACP701"/>
      <c r="ACQ701"/>
      <c r="ACR701"/>
      <c r="ACS701"/>
      <c r="ACT701"/>
      <c r="ACU701"/>
      <c r="ACV701"/>
      <c r="ACW701"/>
      <c r="ACX701"/>
      <c r="ACY701"/>
      <c r="ACZ701"/>
      <c r="ADA701"/>
      <c r="ADB701"/>
      <c r="ADC701"/>
      <c r="ADD701"/>
      <c r="ADE701"/>
      <c r="ADF701"/>
      <c r="ADG701"/>
      <c r="ADH701"/>
      <c r="ADI701"/>
      <c r="ADJ701"/>
      <c r="ADK701"/>
      <c r="ADL701"/>
      <c r="ADM701"/>
      <c r="ADN701"/>
      <c r="ADO701"/>
      <c r="ADP701"/>
      <c r="ADQ701"/>
      <c r="ADR701"/>
      <c r="ADS701"/>
      <c r="ADT701"/>
      <c r="ADU701"/>
      <c r="ADV701"/>
      <c r="ADW701"/>
      <c r="ADX701"/>
      <c r="ADY701"/>
      <c r="ADZ701"/>
      <c r="AEA701"/>
      <c r="AEB701"/>
      <c r="AEC701"/>
      <c r="AED701"/>
      <c r="AEE701"/>
      <c r="AEF701"/>
      <c r="AEG701"/>
      <c r="AEH701"/>
      <c r="AEI701"/>
      <c r="AEJ701"/>
      <c r="AEK701"/>
      <c r="AEL701"/>
      <c r="AEM701"/>
      <c r="AEN701"/>
      <c r="AEO701"/>
      <c r="AEP701"/>
      <c r="AEQ701"/>
      <c r="AER701"/>
      <c r="AES701"/>
      <c r="AET701"/>
      <c r="AEU701"/>
      <c r="AEV701"/>
      <c r="AEW701"/>
      <c r="AEX701"/>
      <c r="AEY701"/>
      <c r="AEZ701"/>
      <c r="AFA701"/>
      <c r="AFB701"/>
      <c r="AFC701"/>
      <c r="AFD701"/>
      <c r="AFE701"/>
      <c r="AFF701"/>
      <c r="AFG701"/>
      <c r="AFH701"/>
      <c r="AFI701"/>
      <c r="AFJ701"/>
      <c r="AFK701"/>
      <c r="AFL701"/>
      <c r="AFM701"/>
      <c r="AFN701"/>
      <c r="AFO701"/>
      <c r="AFP701"/>
      <c r="AFQ701"/>
      <c r="AFR701"/>
      <c r="AFS701"/>
      <c r="AFT701"/>
      <c r="AFU701"/>
      <c r="AFV701"/>
      <c r="AFW701"/>
      <c r="AFX701"/>
      <c r="AFY701"/>
      <c r="AFZ701"/>
      <c r="AGA701"/>
      <c r="AGB701"/>
      <c r="AGC701"/>
      <c r="AGD701"/>
      <c r="AGE701"/>
      <c r="AGF701"/>
      <c r="AGG701"/>
      <c r="AGH701"/>
      <c r="AGI701"/>
      <c r="AGJ701"/>
      <c r="AGK701"/>
      <c r="AGL701"/>
      <c r="AGM701"/>
      <c r="AGN701"/>
      <c r="AGO701"/>
      <c r="AGP701"/>
      <c r="AGQ701"/>
      <c r="AGR701"/>
      <c r="AGS701"/>
      <c r="AGT701"/>
      <c r="AGU701"/>
      <c r="AGV701"/>
      <c r="AGW701"/>
      <c r="AGX701"/>
      <c r="AGY701"/>
      <c r="AGZ701"/>
      <c r="AHA701"/>
      <c r="AHB701"/>
      <c r="AHC701"/>
      <c r="AHD701"/>
      <c r="AHE701"/>
      <c r="AHF701"/>
      <c r="AHG701"/>
      <c r="AHH701"/>
      <c r="AHI701"/>
      <c r="AHJ701"/>
      <c r="AHK701"/>
      <c r="AHL701"/>
      <c r="AHM701"/>
      <c r="AHN701"/>
      <c r="AHO701"/>
      <c r="AHP701"/>
      <c r="AHQ701"/>
      <c r="AHR701"/>
      <c r="AHS701"/>
      <c r="AHT701"/>
      <c r="AHU701"/>
      <c r="AHV701"/>
      <c r="AHW701"/>
      <c r="AHX701"/>
      <c r="AHY701"/>
      <c r="AHZ701"/>
      <c r="AIA701"/>
      <c r="AIB701"/>
      <c r="AIC701"/>
      <c r="AID701"/>
      <c r="AIE701"/>
      <c r="AIF701"/>
      <c r="AIG701"/>
      <c r="AIH701"/>
      <c r="AII701"/>
      <c r="AIJ701"/>
      <c r="AIK701"/>
      <c r="AIL701"/>
      <c r="AIM701"/>
      <c r="AIN701"/>
      <c r="AIO701"/>
      <c r="AIP701"/>
      <c r="AIQ701"/>
      <c r="AIR701"/>
      <c r="AIS701"/>
      <c r="AIT701"/>
      <c r="AIU701"/>
      <c r="AIV701"/>
      <c r="AIW701"/>
      <c r="AIX701"/>
      <c r="AIY701"/>
      <c r="AIZ701"/>
      <c r="AJA701"/>
      <c r="AJB701"/>
      <c r="AJC701"/>
      <c r="AJD701"/>
      <c r="AJE701"/>
      <c r="AJF701"/>
      <c r="AJG701"/>
      <c r="AJH701"/>
      <c r="AJI701"/>
      <c r="AJJ701"/>
      <c r="AJK701"/>
      <c r="AJL701"/>
      <c r="AJM701"/>
      <c r="AJN701"/>
      <c r="AJO701"/>
      <c r="AJP701"/>
      <c r="AJQ701"/>
      <c r="AJR701"/>
      <c r="AJS701"/>
      <c r="AJT701"/>
      <c r="AJU701"/>
      <c r="AJV701"/>
      <c r="AJW701"/>
      <c r="AJX701"/>
      <c r="AJY701"/>
      <c r="AJZ701"/>
      <c r="AKA701"/>
      <c r="AKB701"/>
      <c r="AKC701"/>
      <c r="AKD701"/>
      <c r="AKE701"/>
      <c r="AKF701"/>
      <c r="AKG701"/>
      <c r="AKH701"/>
      <c r="AKI701"/>
      <c r="AKJ701"/>
      <c r="AKK701"/>
      <c r="AKL701"/>
      <c r="AKM701"/>
      <c r="AKN701"/>
      <c r="AKO701"/>
      <c r="AKP701"/>
      <c r="AKQ701"/>
      <c r="AKR701"/>
      <c r="AKS701"/>
      <c r="AKT701"/>
      <c r="AKU701"/>
      <c r="AKV701"/>
      <c r="AKW701"/>
      <c r="AKX701"/>
      <c r="AKY701"/>
      <c r="AKZ701"/>
      <c r="ALA701"/>
      <c r="ALB701"/>
      <c r="ALC701"/>
      <c r="ALD701"/>
      <c r="ALE701"/>
      <c r="ALF701"/>
      <c r="ALG701"/>
      <c r="ALH701"/>
      <c r="ALI701"/>
      <c r="ALJ701"/>
      <c r="ALK701"/>
      <c r="ALL701"/>
      <c r="ALM701"/>
      <c r="ALN701"/>
      <c r="ALO701"/>
      <c r="ALP701"/>
      <c r="ALQ701"/>
      <c r="ALR701"/>
      <c r="ALS701"/>
      <c r="ALT701"/>
      <c r="ALU701"/>
      <c r="ALV701"/>
      <c r="ALW701"/>
      <c r="ALX701"/>
      <c r="ALY701"/>
      <c r="ALZ701"/>
      <c r="AMA701"/>
      <c r="AMB701"/>
      <c r="AMC701"/>
      <c r="AMD701"/>
      <c r="AME701"/>
      <c r="AMF701"/>
      <c r="AMG701"/>
      <c r="AMH701"/>
      <c r="AMI701"/>
      <c r="AMJ701"/>
      <c r="AMK701"/>
    </row>
    <row r="702" spans="1:1025">
      <c r="A702" s="153"/>
      <c r="B702" s="238" t="s">
        <v>2075</v>
      </c>
      <c r="C702" s="238"/>
      <c r="D702" s="153"/>
      <c r="E702" s="153"/>
      <c r="F702" s="153"/>
      <c r="G702" s="153"/>
      <c r="H702" s="153"/>
      <c r="I702" s="20"/>
      <c r="J702" s="244">
        <f>J538+J552+J566+J576+J593+J603+J612+J625+J637+J646+J654+J663+J695+J672-J701</f>
        <v>37078229.999999858</v>
      </c>
      <c r="K702" s="153"/>
      <c r="L702" s="735">
        <v>39518910.000000104</v>
      </c>
      <c r="M702" s="736">
        <f t="shared" si="58"/>
        <v>0.93824019943869308</v>
      </c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  <c r="FK702"/>
      <c r="FL702"/>
      <c r="FM702"/>
      <c r="FN702"/>
      <c r="FO702"/>
      <c r="FP702"/>
      <c r="FQ702"/>
      <c r="FR702"/>
      <c r="FS702"/>
      <c r="FT702"/>
      <c r="FU702"/>
      <c r="FV702"/>
      <c r="FW702"/>
      <c r="FX702"/>
      <c r="FY702"/>
      <c r="FZ702"/>
      <c r="GA702"/>
      <c r="GB702"/>
      <c r="GC702"/>
      <c r="GD702"/>
      <c r="GE702"/>
      <c r="GF702"/>
      <c r="GG702"/>
      <c r="GH702"/>
      <c r="GI702"/>
      <c r="GJ702"/>
      <c r="GK702"/>
      <c r="GL702"/>
      <c r="GM702"/>
      <c r="GN702"/>
      <c r="GO702"/>
      <c r="GP702"/>
      <c r="GQ702"/>
      <c r="GR702"/>
      <c r="GS702"/>
      <c r="GT702"/>
      <c r="GU702"/>
      <c r="GV702"/>
      <c r="GW702"/>
      <c r="GX702"/>
      <c r="GY702"/>
      <c r="GZ702"/>
      <c r="HA702"/>
      <c r="HB702"/>
      <c r="HC702"/>
      <c r="HD702"/>
      <c r="HE702"/>
      <c r="HF702"/>
      <c r="HG702"/>
      <c r="HH702"/>
      <c r="HI702"/>
      <c r="HJ702"/>
      <c r="HK702"/>
      <c r="HL702"/>
      <c r="HM702"/>
      <c r="HN702"/>
      <c r="HO702"/>
      <c r="HP702"/>
      <c r="HQ702"/>
      <c r="HR702"/>
      <c r="HS702"/>
      <c r="HT702"/>
      <c r="HU702"/>
      <c r="HV702"/>
      <c r="HW702"/>
      <c r="HX702"/>
      <c r="HY702"/>
      <c r="HZ702"/>
      <c r="IA702"/>
      <c r="IB702"/>
      <c r="IC702"/>
      <c r="ID702"/>
      <c r="IE702"/>
      <c r="IF702"/>
      <c r="IG702"/>
      <c r="IH702"/>
      <c r="II702"/>
      <c r="IJ702"/>
      <c r="IK702"/>
      <c r="IL702"/>
      <c r="IM702"/>
      <c r="IN702"/>
      <c r="IO702"/>
      <c r="IP702"/>
      <c r="IQ702"/>
      <c r="IR702"/>
      <c r="IS702"/>
      <c r="IT702"/>
      <c r="IU702"/>
      <c r="IV702"/>
      <c r="IW702"/>
      <c r="IX702"/>
      <c r="IY702"/>
      <c r="IZ702"/>
      <c r="JA702"/>
      <c r="JB702"/>
      <c r="JC702"/>
      <c r="JD702"/>
      <c r="JE702"/>
      <c r="JF702"/>
      <c r="JG702"/>
      <c r="JH702"/>
      <c r="JI702"/>
      <c r="JJ702"/>
      <c r="JK702"/>
      <c r="JL702"/>
      <c r="JM702"/>
      <c r="JN702"/>
      <c r="JO702"/>
      <c r="JP702"/>
      <c r="JQ702"/>
      <c r="JR702"/>
      <c r="JS702"/>
      <c r="JT702"/>
      <c r="JU702"/>
      <c r="JV702"/>
      <c r="JW702"/>
      <c r="JX702"/>
      <c r="JY702"/>
      <c r="JZ702"/>
      <c r="KA702"/>
      <c r="KB702"/>
      <c r="KC702"/>
      <c r="KD702"/>
      <c r="KE702"/>
      <c r="KF702"/>
      <c r="KG702"/>
      <c r="KH702"/>
      <c r="KI702"/>
      <c r="KJ702"/>
      <c r="KK702"/>
      <c r="KL702"/>
      <c r="KM702"/>
      <c r="KN702"/>
      <c r="KO702"/>
      <c r="KP702"/>
      <c r="KQ702"/>
      <c r="KR702"/>
      <c r="KS702"/>
      <c r="KT702"/>
      <c r="KU702"/>
      <c r="KV702"/>
      <c r="KW702"/>
      <c r="KX702"/>
      <c r="KY702"/>
      <c r="KZ702"/>
      <c r="LA702"/>
      <c r="LB702"/>
      <c r="LC702"/>
      <c r="LD702"/>
      <c r="LE702"/>
      <c r="LF702"/>
      <c r="LG702"/>
      <c r="LH702"/>
      <c r="LI702"/>
      <c r="LJ702"/>
      <c r="LK702"/>
      <c r="LL702"/>
      <c r="LM702"/>
      <c r="LN702"/>
      <c r="LO702"/>
      <c r="LP702"/>
      <c r="LQ702"/>
      <c r="LR702"/>
      <c r="LS702"/>
      <c r="LT702"/>
      <c r="LU702"/>
      <c r="LV702"/>
      <c r="LW702"/>
      <c r="LX702"/>
      <c r="LY702"/>
      <c r="LZ702"/>
      <c r="MA702"/>
      <c r="MB702"/>
      <c r="MC702"/>
      <c r="MD702"/>
      <c r="ME702"/>
      <c r="MF702"/>
      <c r="MG702"/>
      <c r="MH702"/>
      <c r="MI702"/>
      <c r="MJ702"/>
      <c r="MK702"/>
      <c r="ML702"/>
      <c r="MM702"/>
      <c r="MN702"/>
      <c r="MO702"/>
      <c r="MP702"/>
      <c r="MQ702"/>
      <c r="MR702"/>
      <c r="MS702"/>
      <c r="MT702"/>
      <c r="MU702"/>
      <c r="MV702"/>
      <c r="MW702"/>
      <c r="MX702"/>
      <c r="MY702"/>
      <c r="MZ702"/>
      <c r="NA702"/>
      <c r="NB702"/>
      <c r="NC702"/>
      <c r="ND702"/>
      <c r="NE702"/>
      <c r="NF702"/>
      <c r="NG702"/>
      <c r="NH702"/>
      <c r="NI702"/>
      <c r="NJ702"/>
      <c r="NK702"/>
      <c r="NL702"/>
      <c r="NM702"/>
      <c r="NN702"/>
      <c r="NO702"/>
      <c r="NP702"/>
      <c r="NQ702"/>
      <c r="NR702"/>
      <c r="NS702"/>
      <c r="NT702"/>
      <c r="NU702"/>
      <c r="NV702"/>
      <c r="NW702"/>
      <c r="NX702"/>
      <c r="NY702"/>
      <c r="NZ702"/>
      <c r="OA702"/>
      <c r="OB702"/>
      <c r="OC702"/>
      <c r="OD702"/>
      <c r="OE702"/>
      <c r="OF702"/>
      <c r="OG702"/>
      <c r="OH702"/>
      <c r="OI702"/>
      <c r="OJ702"/>
      <c r="OK702"/>
      <c r="OL702"/>
      <c r="OM702"/>
      <c r="ON702"/>
      <c r="OO702"/>
      <c r="OP702"/>
      <c r="OQ702"/>
      <c r="OR702"/>
      <c r="OS702"/>
      <c r="OT702"/>
      <c r="OU702"/>
      <c r="OV702"/>
      <c r="OW702"/>
      <c r="OX702"/>
      <c r="OY702"/>
      <c r="OZ702"/>
      <c r="PA702"/>
      <c r="PB702"/>
      <c r="PC702"/>
      <c r="PD702"/>
      <c r="PE702"/>
      <c r="PF702"/>
      <c r="PG702"/>
      <c r="PH702"/>
      <c r="PI702"/>
      <c r="PJ702"/>
      <c r="PK702"/>
      <c r="PL702"/>
      <c r="PM702"/>
      <c r="PN702"/>
      <c r="PO702"/>
      <c r="PP702"/>
      <c r="PQ702"/>
      <c r="PR702"/>
      <c r="PS702"/>
      <c r="PT702"/>
      <c r="PU702"/>
      <c r="PV702"/>
      <c r="PW702"/>
      <c r="PX702"/>
      <c r="PY702"/>
      <c r="PZ702"/>
      <c r="QA702"/>
      <c r="QB702"/>
      <c r="QC702"/>
      <c r="QD702"/>
      <c r="QE702"/>
      <c r="QF702"/>
      <c r="QG702"/>
      <c r="QH702"/>
      <c r="QI702"/>
      <c r="QJ702"/>
      <c r="QK702"/>
      <c r="QL702"/>
      <c r="QM702"/>
      <c r="QN702"/>
      <c r="QO702"/>
      <c r="QP702"/>
      <c r="QQ702"/>
      <c r="QR702"/>
      <c r="QS702"/>
      <c r="QT702"/>
      <c r="QU702"/>
      <c r="QV702"/>
      <c r="QW702"/>
      <c r="QX702"/>
      <c r="QY702"/>
      <c r="QZ702"/>
      <c r="RA702"/>
      <c r="RB702"/>
      <c r="RC702"/>
      <c r="RD702"/>
      <c r="RE702"/>
      <c r="RF702"/>
      <c r="RG702"/>
      <c r="RH702"/>
      <c r="RI702"/>
      <c r="RJ702"/>
      <c r="RK702"/>
      <c r="RL702"/>
      <c r="RM702"/>
      <c r="RN702"/>
      <c r="RO702"/>
      <c r="RP702"/>
      <c r="RQ702"/>
      <c r="RR702"/>
      <c r="RS702"/>
      <c r="RT702"/>
      <c r="RU702"/>
      <c r="RV702"/>
      <c r="RW702"/>
      <c r="RX702"/>
      <c r="RY702"/>
      <c r="RZ702"/>
      <c r="SA702"/>
      <c r="SB702"/>
      <c r="SC702"/>
      <c r="SD702"/>
      <c r="SE702"/>
      <c r="SF702"/>
      <c r="SG702"/>
      <c r="SH702"/>
      <c r="SI702"/>
      <c r="SJ702"/>
      <c r="SK702"/>
      <c r="SL702"/>
      <c r="SM702"/>
      <c r="SN702"/>
      <c r="SO702"/>
      <c r="SP702"/>
      <c r="SQ702"/>
      <c r="SR702"/>
      <c r="SS702"/>
      <c r="ST702"/>
      <c r="SU702"/>
      <c r="SV702"/>
      <c r="SW702"/>
      <c r="SX702"/>
      <c r="SY702"/>
      <c r="SZ702"/>
      <c r="TA702"/>
      <c r="TB702"/>
      <c r="TC702"/>
      <c r="TD702"/>
      <c r="TE702"/>
      <c r="TF702"/>
      <c r="TG702"/>
      <c r="TH702"/>
      <c r="TI702"/>
      <c r="TJ702"/>
      <c r="TK702"/>
      <c r="TL702"/>
      <c r="TM702"/>
      <c r="TN702"/>
      <c r="TO702"/>
      <c r="TP702"/>
      <c r="TQ702"/>
      <c r="TR702"/>
      <c r="TS702"/>
      <c r="TT702"/>
      <c r="TU702"/>
      <c r="TV702"/>
      <c r="TW702"/>
      <c r="TX702"/>
      <c r="TY702"/>
      <c r="TZ702"/>
      <c r="UA702"/>
      <c r="UB702"/>
      <c r="UC702"/>
      <c r="UD702"/>
      <c r="UE702"/>
      <c r="UF702"/>
      <c r="UG702"/>
      <c r="UH702"/>
      <c r="UI702"/>
      <c r="UJ702"/>
      <c r="UK702"/>
      <c r="UL702"/>
      <c r="UM702"/>
      <c r="UN702"/>
      <c r="UO702"/>
      <c r="UP702"/>
      <c r="UQ702"/>
      <c r="UR702"/>
      <c r="US702"/>
      <c r="UT702"/>
      <c r="UU702"/>
      <c r="UV702"/>
      <c r="UW702"/>
      <c r="UX702"/>
      <c r="UY702"/>
      <c r="UZ702"/>
      <c r="VA702"/>
      <c r="VB702"/>
      <c r="VC702"/>
      <c r="VD702"/>
      <c r="VE702"/>
      <c r="VF702"/>
      <c r="VG702"/>
      <c r="VH702"/>
      <c r="VI702"/>
      <c r="VJ702"/>
      <c r="VK702"/>
      <c r="VL702"/>
      <c r="VM702"/>
      <c r="VN702"/>
      <c r="VO702"/>
      <c r="VP702"/>
      <c r="VQ702"/>
      <c r="VR702"/>
      <c r="VS702"/>
      <c r="VT702"/>
      <c r="VU702"/>
      <c r="VV702"/>
      <c r="VW702"/>
      <c r="VX702"/>
      <c r="VY702"/>
      <c r="VZ702"/>
      <c r="WA702"/>
      <c r="WB702"/>
      <c r="WC702"/>
      <c r="WD702"/>
      <c r="WE702"/>
      <c r="WF702"/>
      <c r="WG702"/>
      <c r="WH702"/>
      <c r="WI702"/>
      <c r="WJ702"/>
      <c r="WK702"/>
      <c r="WL702"/>
      <c r="WM702"/>
      <c r="WN702"/>
      <c r="WO702"/>
      <c r="WP702"/>
      <c r="WQ702"/>
      <c r="WR702"/>
      <c r="WS702"/>
      <c r="WT702"/>
      <c r="WU702"/>
      <c r="WV702"/>
      <c r="WW702"/>
      <c r="WX702"/>
      <c r="WY702"/>
      <c r="WZ702"/>
      <c r="XA702"/>
      <c r="XB702"/>
      <c r="XC702"/>
      <c r="XD702"/>
      <c r="XE702"/>
      <c r="XF702"/>
      <c r="XG702"/>
      <c r="XH702"/>
      <c r="XI702"/>
      <c r="XJ702"/>
      <c r="XK702"/>
      <c r="XL702"/>
      <c r="XM702"/>
      <c r="XN702"/>
      <c r="XO702"/>
      <c r="XP702"/>
      <c r="XQ702"/>
      <c r="XR702"/>
      <c r="XS702"/>
      <c r="XT702"/>
      <c r="XU702"/>
      <c r="XV702"/>
      <c r="XW702"/>
      <c r="XX702"/>
      <c r="XY702"/>
      <c r="XZ702"/>
      <c r="YA702"/>
      <c r="YB702"/>
      <c r="YC702"/>
      <c r="YD702"/>
      <c r="YE702"/>
      <c r="YF702"/>
      <c r="YG702"/>
      <c r="YH702"/>
      <c r="YI702"/>
      <c r="YJ702"/>
      <c r="YK702"/>
      <c r="YL702"/>
      <c r="YM702"/>
      <c r="YN702"/>
      <c r="YO702"/>
      <c r="YP702"/>
      <c r="YQ702"/>
      <c r="YR702"/>
      <c r="YS702"/>
      <c r="YT702"/>
      <c r="YU702"/>
      <c r="YV702"/>
      <c r="YW702"/>
      <c r="YX702"/>
      <c r="YY702"/>
      <c r="YZ702"/>
      <c r="ZA702"/>
      <c r="ZB702"/>
      <c r="ZC702"/>
      <c r="ZD702"/>
      <c r="ZE702"/>
      <c r="ZF702"/>
      <c r="ZG702"/>
      <c r="ZH702"/>
      <c r="ZI702"/>
      <c r="ZJ702"/>
      <c r="ZK702"/>
      <c r="ZL702"/>
      <c r="ZM702"/>
      <c r="ZN702"/>
      <c r="ZO702"/>
      <c r="ZP702"/>
      <c r="ZQ702"/>
      <c r="ZR702"/>
      <c r="ZS702"/>
      <c r="ZT702"/>
      <c r="ZU702"/>
      <c r="ZV702"/>
      <c r="ZW702"/>
      <c r="ZX702"/>
      <c r="ZY702"/>
      <c r="ZZ702"/>
      <c r="AAA702"/>
      <c r="AAB702"/>
      <c r="AAC702"/>
      <c r="AAD702"/>
      <c r="AAE702"/>
      <c r="AAF702"/>
      <c r="AAG702"/>
      <c r="AAH702"/>
      <c r="AAI702"/>
      <c r="AAJ702"/>
      <c r="AAK702"/>
      <c r="AAL702"/>
      <c r="AAM702"/>
      <c r="AAN702"/>
      <c r="AAO702"/>
      <c r="AAP702"/>
      <c r="AAQ702"/>
      <c r="AAR702"/>
      <c r="AAS702"/>
      <c r="AAT702"/>
      <c r="AAU702"/>
      <c r="AAV702"/>
      <c r="AAW702"/>
      <c r="AAX702"/>
      <c r="AAY702"/>
      <c r="AAZ702"/>
      <c r="ABA702"/>
      <c r="ABB702"/>
      <c r="ABC702"/>
      <c r="ABD702"/>
      <c r="ABE702"/>
      <c r="ABF702"/>
      <c r="ABG702"/>
      <c r="ABH702"/>
      <c r="ABI702"/>
      <c r="ABJ702"/>
      <c r="ABK702"/>
      <c r="ABL702"/>
      <c r="ABM702"/>
      <c r="ABN702"/>
      <c r="ABO702"/>
      <c r="ABP702"/>
      <c r="ABQ702"/>
      <c r="ABR702"/>
      <c r="ABS702"/>
      <c r="ABT702"/>
      <c r="ABU702"/>
      <c r="ABV702"/>
      <c r="ABW702"/>
      <c r="ABX702"/>
      <c r="ABY702"/>
      <c r="ABZ702"/>
      <c r="ACA702"/>
      <c r="ACB702"/>
      <c r="ACC702"/>
      <c r="ACD702"/>
      <c r="ACE702"/>
      <c r="ACF702"/>
      <c r="ACG702"/>
      <c r="ACH702"/>
      <c r="ACI702"/>
      <c r="ACJ702"/>
      <c r="ACK702"/>
      <c r="ACL702"/>
      <c r="ACM702"/>
      <c r="ACN702"/>
      <c r="ACO702"/>
      <c r="ACP702"/>
      <c r="ACQ702"/>
      <c r="ACR702"/>
      <c r="ACS702"/>
      <c r="ACT702"/>
      <c r="ACU702"/>
      <c r="ACV702"/>
      <c r="ACW702"/>
      <c r="ACX702"/>
      <c r="ACY702"/>
      <c r="ACZ702"/>
      <c r="ADA702"/>
      <c r="ADB702"/>
      <c r="ADC702"/>
      <c r="ADD702"/>
      <c r="ADE702"/>
      <c r="ADF702"/>
      <c r="ADG702"/>
      <c r="ADH702"/>
      <c r="ADI702"/>
      <c r="ADJ702"/>
      <c r="ADK702"/>
      <c r="ADL702"/>
      <c r="ADM702"/>
      <c r="ADN702"/>
      <c r="ADO702"/>
      <c r="ADP702"/>
      <c r="ADQ702"/>
      <c r="ADR702"/>
      <c r="ADS702"/>
      <c r="ADT702"/>
      <c r="ADU702"/>
      <c r="ADV702"/>
      <c r="ADW702"/>
      <c r="ADX702"/>
      <c r="ADY702"/>
      <c r="ADZ702"/>
      <c r="AEA702"/>
      <c r="AEB702"/>
      <c r="AEC702"/>
      <c r="AED702"/>
      <c r="AEE702"/>
      <c r="AEF702"/>
      <c r="AEG702"/>
      <c r="AEH702"/>
      <c r="AEI702"/>
      <c r="AEJ702"/>
      <c r="AEK702"/>
      <c r="AEL702"/>
      <c r="AEM702"/>
      <c r="AEN702"/>
      <c r="AEO702"/>
      <c r="AEP702"/>
      <c r="AEQ702"/>
      <c r="AER702"/>
      <c r="AES702"/>
      <c r="AET702"/>
      <c r="AEU702"/>
      <c r="AEV702"/>
      <c r="AEW702"/>
      <c r="AEX702"/>
      <c r="AEY702"/>
      <c r="AEZ702"/>
      <c r="AFA702"/>
      <c r="AFB702"/>
      <c r="AFC702"/>
      <c r="AFD702"/>
      <c r="AFE702"/>
      <c r="AFF702"/>
      <c r="AFG702"/>
      <c r="AFH702"/>
      <c r="AFI702"/>
      <c r="AFJ702"/>
      <c r="AFK702"/>
      <c r="AFL702"/>
      <c r="AFM702"/>
      <c r="AFN702"/>
      <c r="AFO702"/>
      <c r="AFP702"/>
      <c r="AFQ702"/>
      <c r="AFR702"/>
      <c r="AFS702"/>
      <c r="AFT702"/>
      <c r="AFU702"/>
      <c r="AFV702"/>
      <c r="AFW702"/>
      <c r="AFX702"/>
      <c r="AFY702"/>
      <c r="AFZ702"/>
      <c r="AGA702"/>
      <c r="AGB702"/>
      <c r="AGC702"/>
      <c r="AGD702"/>
      <c r="AGE702"/>
      <c r="AGF702"/>
      <c r="AGG702"/>
      <c r="AGH702"/>
      <c r="AGI702"/>
      <c r="AGJ702"/>
      <c r="AGK702"/>
      <c r="AGL702"/>
      <c r="AGM702"/>
      <c r="AGN702"/>
      <c r="AGO702"/>
      <c r="AGP702"/>
      <c r="AGQ702"/>
      <c r="AGR702"/>
      <c r="AGS702"/>
      <c r="AGT702"/>
      <c r="AGU702"/>
      <c r="AGV702"/>
      <c r="AGW702"/>
      <c r="AGX702"/>
      <c r="AGY702"/>
      <c r="AGZ702"/>
      <c r="AHA702"/>
      <c r="AHB702"/>
      <c r="AHC702"/>
      <c r="AHD702"/>
      <c r="AHE702"/>
      <c r="AHF702"/>
      <c r="AHG702"/>
      <c r="AHH702"/>
      <c r="AHI702"/>
      <c r="AHJ702"/>
      <c r="AHK702"/>
      <c r="AHL702"/>
      <c r="AHM702"/>
      <c r="AHN702"/>
      <c r="AHO702"/>
      <c r="AHP702"/>
      <c r="AHQ702"/>
      <c r="AHR702"/>
      <c r="AHS702"/>
      <c r="AHT702"/>
      <c r="AHU702"/>
      <c r="AHV702"/>
      <c r="AHW702"/>
      <c r="AHX702"/>
      <c r="AHY702"/>
      <c r="AHZ702"/>
      <c r="AIA702"/>
      <c r="AIB702"/>
      <c r="AIC702"/>
      <c r="AID702"/>
      <c r="AIE702"/>
      <c r="AIF702"/>
      <c r="AIG702"/>
      <c r="AIH702"/>
      <c r="AII702"/>
      <c r="AIJ702"/>
      <c r="AIK702"/>
      <c r="AIL702"/>
      <c r="AIM702"/>
      <c r="AIN702"/>
      <c r="AIO702"/>
      <c r="AIP702"/>
      <c r="AIQ702"/>
      <c r="AIR702"/>
      <c r="AIS702"/>
      <c r="AIT702"/>
      <c r="AIU702"/>
      <c r="AIV702"/>
      <c r="AIW702"/>
      <c r="AIX702"/>
      <c r="AIY702"/>
      <c r="AIZ702"/>
      <c r="AJA702"/>
      <c r="AJB702"/>
      <c r="AJC702"/>
      <c r="AJD702"/>
      <c r="AJE702"/>
      <c r="AJF702"/>
      <c r="AJG702"/>
      <c r="AJH702"/>
      <c r="AJI702"/>
      <c r="AJJ702"/>
      <c r="AJK702"/>
      <c r="AJL702"/>
      <c r="AJM702"/>
      <c r="AJN702"/>
      <c r="AJO702"/>
      <c r="AJP702"/>
      <c r="AJQ702"/>
      <c r="AJR702"/>
      <c r="AJS702"/>
      <c r="AJT702"/>
      <c r="AJU702"/>
      <c r="AJV702"/>
      <c r="AJW702"/>
      <c r="AJX702"/>
      <c r="AJY702"/>
      <c r="AJZ702"/>
      <c r="AKA702"/>
      <c r="AKB702"/>
      <c r="AKC702"/>
      <c r="AKD702"/>
      <c r="AKE702"/>
      <c r="AKF702"/>
      <c r="AKG702"/>
      <c r="AKH702"/>
      <c r="AKI702"/>
      <c r="AKJ702"/>
      <c r="AKK702"/>
      <c r="AKL702"/>
      <c r="AKM702"/>
      <c r="AKN702"/>
      <c r="AKO702"/>
      <c r="AKP702"/>
      <c r="AKQ702"/>
      <c r="AKR702"/>
      <c r="AKS702"/>
      <c r="AKT702"/>
      <c r="AKU702"/>
      <c r="AKV702"/>
      <c r="AKW702"/>
      <c r="AKX702"/>
      <c r="AKY702"/>
      <c r="AKZ702"/>
      <c r="ALA702"/>
      <c r="ALB702"/>
      <c r="ALC702"/>
      <c r="ALD702"/>
      <c r="ALE702"/>
      <c r="ALF702"/>
      <c r="ALG702"/>
      <c r="ALH702"/>
      <c r="ALI702"/>
      <c r="ALJ702"/>
      <c r="ALK702"/>
      <c r="ALL702"/>
      <c r="ALM702"/>
      <c r="ALN702"/>
      <c r="ALO702"/>
      <c r="ALP702"/>
      <c r="ALQ702"/>
      <c r="ALR702"/>
      <c r="ALS702"/>
      <c r="ALT702"/>
      <c r="ALU702"/>
      <c r="ALV702"/>
      <c r="ALW702"/>
      <c r="ALX702"/>
      <c r="ALY702"/>
      <c r="ALZ702"/>
      <c r="AMA702"/>
      <c r="AMB702"/>
      <c r="AMC702"/>
      <c r="AMD702"/>
      <c r="AME702"/>
      <c r="AMF702"/>
      <c r="AMG702"/>
      <c r="AMH702"/>
      <c r="AMI702"/>
      <c r="AMJ702"/>
      <c r="AMK702"/>
    </row>
    <row r="703" spans="1:1025">
      <c r="A703" s="153"/>
      <c r="B703" s="238" t="s">
        <v>2076</v>
      </c>
      <c r="C703" s="238"/>
      <c r="D703" s="153"/>
      <c r="E703" s="153"/>
      <c r="F703" s="841"/>
      <c r="G703" s="153"/>
      <c r="H703" s="153"/>
      <c r="I703" s="153"/>
      <c r="J703" s="349">
        <f>J545+J562+J571+J588+J599+J608+J621+J632+J643+J651+J659+J669+J695+J677-J701</f>
        <v>36888445.305900007</v>
      </c>
      <c r="K703" s="743">
        <f>(J702-J703)/J702</f>
        <v>5.1184939005948149E-3</v>
      </c>
      <c r="L703" s="735">
        <v>39174356.576299928</v>
      </c>
      <c r="M703" s="736">
        <f t="shared" si="58"/>
        <v>0.94164776475785505</v>
      </c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  <c r="FK703"/>
      <c r="FL703"/>
      <c r="FM703"/>
      <c r="FN703"/>
      <c r="FO703"/>
      <c r="FP703"/>
      <c r="FQ703"/>
      <c r="FR703"/>
      <c r="FS703"/>
      <c r="FT703"/>
      <c r="FU703"/>
      <c r="FV703"/>
      <c r="FW703"/>
      <c r="FX703"/>
      <c r="FY703"/>
      <c r="FZ703"/>
      <c r="GA703"/>
      <c r="GB703"/>
      <c r="GC703"/>
      <c r="GD703"/>
      <c r="GE703"/>
      <c r="GF703"/>
      <c r="GG703"/>
      <c r="GH703"/>
      <c r="GI703"/>
      <c r="GJ703"/>
      <c r="GK703"/>
      <c r="GL703"/>
      <c r="GM703"/>
      <c r="GN703"/>
      <c r="GO703"/>
      <c r="GP703"/>
      <c r="GQ703"/>
      <c r="GR703"/>
      <c r="GS703"/>
      <c r="GT703"/>
      <c r="GU703"/>
      <c r="GV703"/>
      <c r="GW703"/>
      <c r="GX703"/>
      <c r="GY703"/>
      <c r="GZ703"/>
      <c r="HA703"/>
      <c r="HB703"/>
      <c r="HC703"/>
      <c r="HD703"/>
      <c r="HE703"/>
      <c r="HF703"/>
      <c r="HG703"/>
      <c r="HH703"/>
      <c r="HI703"/>
      <c r="HJ703"/>
      <c r="HK703"/>
      <c r="HL703"/>
      <c r="HM703"/>
      <c r="HN703"/>
      <c r="HO703"/>
      <c r="HP703"/>
      <c r="HQ703"/>
      <c r="HR703"/>
      <c r="HS703"/>
      <c r="HT703"/>
      <c r="HU703"/>
      <c r="HV703"/>
      <c r="HW703"/>
      <c r="HX703"/>
      <c r="HY703"/>
      <c r="HZ703"/>
      <c r="IA703"/>
      <c r="IB703"/>
      <c r="IC703"/>
      <c r="ID703"/>
      <c r="IE703"/>
      <c r="IF703"/>
      <c r="IG703"/>
      <c r="IH703"/>
      <c r="II703"/>
      <c r="IJ703"/>
      <c r="IK703"/>
      <c r="IL703"/>
      <c r="IM703"/>
      <c r="IN703"/>
      <c r="IO703"/>
      <c r="IP703"/>
      <c r="IQ703"/>
      <c r="IR703"/>
      <c r="IS703"/>
      <c r="IT703"/>
      <c r="IU703"/>
      <c r="IV703"/>
      <c r="IW703"/>
      <c r="IX703"/>
      <c r="IY703"/>
      <c r="IZ703"/>
      <c r="JA703"/>
      <c r="JB703"/>
      <c r="JC703"/>
      <c r="JD703"/>
      <c r="JE703"/>
      <c r="JF703"/>
      <c r="JG703"/>
      <c r="JH703"/>
      <c r="JI703"/>
      <c r="JJ703"/>
      <c r="JK703"/>
      <c r="JL703"/>
      <c r="JM703"/>
      <c r="JN703"/>
      <c r="JO703"/>
      <c r="JP703"/>
      <c r="JQ703"/>
      <c r="JR703"/>
      <c r="JS703"/>
      <c r="JT703"/>
      <c r="JU703"/>
      <c r="JV703"/>
      <c r="JW703"/>
      <c r="JX703"/>
      <c r="JY703"/>
      <c r="JZ703"/>
      <c r="KA703"/>
      <c r="KB703"/>
      <c r="KC703"/>
      <c r="KD703"/>
      <c r="KE703"/>
      <c r="KF703"/>
      <c r="KG703"/>
      <c r="KH703"/>
      <c r="KI703"/>
      <c r="KJ703"/>
      <c r="KK703"/>
      <c r="KL703"/>
      <c r="KM703"/>
      <c r="KN703"/>
      <c r="KO703"/>
      <c r="KP703"/>
      <c r="KQ703"/>
      <c r="KR703"/>
      <c r="KS703"/>
      <c r="KT703"/>
      <c r="KU703"/>
      <c r="KV703"/>
      <c r="KW703"/>
      <c r="KX703"/>
      <c r="KY703"/>
      <c r="KZ703"/>
      <c r="LA703"/>
      <c r="LB703"/>
      <c r="LC703"/>
      <c r="LD703"/>
      <c r="LE703"/>
      <c r="LF703"/>
      <c r="LG703"/>
      <c r="LH703"/>
      <c r="LI703"/>
      <c r="LJ703"/>
      <c r="LK703"/>
      <c r="LL703"/>
      <c r="LM703"/>
      <c r="LN703"/>
      <c r="LO703"/>
      <c r="LP703"/>
      <c r="LQ703"/>
      <c r="LR703"/>
      <c r="LS703"/>
      <c r="LT703"/>
      <c r="LU703"/>
      <c r="LV703"/>
      <c r="LW703"/>
      <c r="LX703"/>
      <c r="LY703"/>
      <c r="LZ703"/>
      <c r="MA703"/>
      <c r="MB703"/>
      <c r="MC703"/>
      <c r="MD703"/>
      <c r="ME703"/>
      <c r="MF703"/>
      <c r="MG703"/>
      <c r="MH703"/>
      <c r="MI703"/>
      <c r="MJ703"/>
      <c r="MK703"/>
      <c r="ML703"/>
      <c r="MM703"/>
      <c r="MN703"/>
      <c r="MO703"/>
      <c r="MP703"/>
      <c r="MQ703"/>
      <c r="MR703"/>
      <c r="MS703"/>
      <c r="MT703"/>
      <c r="MU703"/>
      <c r="MV703"/>
      <c r="MW703"/>
      <c r="MX703"/>
      <c r="MY703"/>
      <c r="MZ703"/>
      <c r="NA703"/>
      <c r="NB703"/>
      <c r="NC703"/>
      <c r="ND703"/>
      <c r="NE703"/>
      <c r="NF703"/>
      <c r="NG703"/>
      <c r="NH703"/>
      <c r="NI703"/>
      <c r="NJ703"/>
      <c r="NK703"/>
      <c r="NL703"/>
      <c r="NM703"/>
      <c r="NN703"/>
      <c r="NO703"/>
      <c r="NP703"/>
      <c r="NQ703"/>
      <c r="NR703"/>
      <c r="NS703"/>
      <c r="NT703"/>
      <c r="NU703"/>
      <c r="NV703"/>
      <c r="NW703"/>
      <c r="NX703"/>
      <c r="NY703"/>
      <c r="NZ703"/>
      <c r="OA703"/>
      <c r="OB703"/>
      <c r="OC703"/>
      <c r="OD703"/>
      <c r="OE703"/>
      <c r="OF703"/>
      <c r="OG703"/>
      <c r="OH703"/>
      <c r="OI703"/>
      <c r="OJ703"/>
      <c r="OK703"/>
      <c r="OL703"/>
      <c r="OM703"/>
      <c r="ON703"/>
      <c r="OO703"/>
      <c r="OP703"/>
      <c r="OQ703"/>
      <c r="OR703"/>
      <c r="OS703"/>
      <c r="OT703"/>
      <c r="OU703"/>
      <c r="OV703"/>
      <c r="OW703"/>
      <c r="OX703"/>
      <c r="OY703"/>
      <c r="OZ703"/>
      <c r="PA703"/>
      <c r="PB703"/>
      <c r="PC703"/>
      <c r="PD703"/>
      <c r="PE703"/>
      <c r="PF703"/>
      <c r="PG703"/>
      <c r="PH703"/>
      <c r="PI703"/>
      <c r="PJ703"/>
      <c r="PK703"/>
      <c r="PL703"/>
      <c r="PM703"/>
      <c r="PN703"/>
      <c r="PO703"/>
      <c r="PP703"/>
      <c r="PQ703"/>
      <c r="PR703"/>
      <c r="PS703"/>
      <c r="PT703"/>
      <c r="PU703"/>
      <c r="PV703"/>
      <c r="PW703"/>
      <c r="PX703"/>
      <c r="PY703"/>
      <c r="PZ703"/>
      <c r="QA703"/>
      <c r="QB703"/>
      <c r="QC703"/>
      <c r="QD703"/>
      <c r="QE703"/>
      <c r="QF703"/>
      <c r="QG703"/>
      <c r="QH703"/>
      <c r="QI703"/>
      <c r="QJ703"/>
      <c r="QK703"/>
      <c r="QL703"/>
      <c r="QM703"/>
      <c r="QN703"/>
      <c r="QO703"/>
      <c r="QP703"/>
      <c r="QQ703"/>
      <c r="QR703"/>
      <c r="QS703"/>
      <c r="QT703"/>
      <c r="QU703"/>
      <c r="QV703"/>
      <c r="QW703"/>
      <c r="QX703"/>
      <c r="QY703"/>
      <c r="QZ703"/>
      <c r="RA703"/>
      <c r="RB703"/>
      <c r="RC703"/>
      <c r="RD703"/>
      <c r="RE703"/>
      <c r="RF703"/>
      <c r="RG703"/>
      <c r="RH703"/>
      <c r="RI703"/>
      <c r="RJ703"/>
      <c r="RK703"/>
      <c r="RL703"/>
      <c r="RM703"/>
      <c r="RN703"/>
      <c r="RO703"/>
      <c r="RP703"/>
      <c r="RQ703"/>
      <c r="RR703"/>
      <c r="RS703"/>
      <c r="RT703"/>
      <c r="RU703"/>
      <c r="RV703"/>
      <c r="RW703"/>
      <c r="RX703"/>
      <c r="RY703"/>
      <c r="RZ703"/>
      <c r="SA703"/>
      <c r="SB703"/>
      <c r="SC703"/>
      <c r="SD703"/>
      <c r="SE703"/>
      <c r="SF703"/>
      <c r="SG703"/>
      <c r="SH703"/>
      <c r="SI703"/>
      <c r="SJ703"/>
      <c r="SK703"/>
      <c r="SL703"/>
      <c r="SM703"/>
      <c r="SN703"/>
      <c r="SO703"/>
      <c r="SP703"/>
      <c r="SQ703"/>
      <c r="SR703"/>
      <c r="SS703"/>
      <c r="ST703"/>
      <c r="SU703"/>
      <c r="SV703"/>
      <c r="SW703"/>
      <c r="SX703"/>
      <c r="SY703"/>
      <c r="SZ703"/>
      <c r="TA703"/>
      <c r="TB703"/>
      <c r="TC703"/>
      <c r="TD703"/>
      <c r="TE703"/>
      <c r="TF703"/>
      <c r="TG703"/>
      <c r="TH703"/>
      <c r="TI703"/>
      <c r="TJ703"/>
      <c r="TK703"/>
      <c r="TL703"/>
      <c r="TM703"/>
      <c r="TN703"/>
      <c r="TO703"/>
      <c r="TP703"/>
      <c r="TQ703"/>
      <c r="TR703"/>
      <c r="TS703"/>
      <c r="TT703"/>
      <c r="TU703"/>
      <c r="TV703"/>
      <c r="TW703"/>
      <c r="TX703"/>
      <c r="TY703"/>
      <c r="TZ703"/>
      <c r="UA703"/>
      <c r="UB703"/>
      <c r="UC703"/>
      <c r="UD703"/>
      <c r="UE703"/>
      <c r="UF703"/>
      <c r="UG703"/>
      <c r="UH703"/>
      <c r="UI703"/>
      <c r="UJ703"/>
      <c r="UK703"/>
      <c r="UL703"/>
      <c r="UM703"/>
      <c r="UN703"/>
      <c r="UO703"/>
      <c r="UP703"/>
      <c r="UQ703"/>
      <c r="UR703"/>
      <c r="US703"/>
      <c r="UT703"/>
      <c r="UU703"/>
      <c r="UV703"/>
      <c r="UW703"/>
      <c r="UX703"/>
      <c r="UY703"/>
      <c r="UZ703"/>
      <c r="VA703"/>
      <c r="VB703"/>
      <c r="VC703"/>
      <c r="VD703"/>
      <c r="VE703"/>
      <c r="VF703"/>
      <c r="VG703"/>
      <c r="VH703"/>
      <c r="VI703"/>
      <c r="VJ703"/>
      <c r="VK703"/>
      <c r="VL703"/>
      <c r="VM703"/>
      <c r="VN703"/>
      <c r="VO703"/>
      <c r="VP703"/>
      <c r="VQ703"/>
      <c r="VR703"/>
      <c r="VS703"/>
      <c r="VT703"/>
      <c r="VU703"/>
      <c r="VV703"/>
      <c r="VW703"/>
      <c r="VX703"/>
      <c r="VY703"/>
      <c r="VZ703"/>
      <c r="WA703"/>
      <c r="WB703"/>
      <c r="WC703"/>
      <c r="WD703"/>
      <c r="WE703"/>
      <c r="WF703"/>
      <c r="WG703"/>
      <c r="WH703"/>
      <c r="WI703"/>
      <c r="WJ703"/>
      <c r="WK703"/>
      <c r="WL703"/>
      <c r="WM703"/>
      <c r="WN703"/>
      <c r="WO703"/>
      <c r="WP703"/>
      <c r="WQ703"/>
      <c r="WR703"/>
      <c r="WS703"/>
      <c r="WT703"/>
      <c r="WU703"/>
      <c r="WV703"/>
      <c r="WW703"/>
      <c r="WX703"/>
      <c r="WY703"/>
      <c r="WZ703"/>
      <c r="XA703"/>
      <c r="XB703"/>
      <c r="XC703"/>
      <c r="XD703"/>
      <c r="XE703"/>
      <c r="XF703"/>
      <c r="XG703"/>
      <c r="XH703"/>
      <c r="XI703"/>
      <c r="XJ703"/>
      <c r="XK703"/>
      <c r="XL703"/>
      <c r="XM703"/>
      <c r="XN703"/>
      <c r="XO703"/>
      <c r="XP703"/>
      <c r="XQ703"/>
      <c r="XR703"/>
      <c r="XS703"/>
      <c r="XT703"/>
      <c r="XU703"/>
      <c r="XV703"/>
      <c r="XW703"/>
      <c r="XX703"/>
      <c r="XY703"/>
      <c r="XZ703"/>
      <c r="YA703"/>
      <c r="YB703"/>
      <c r="YC703"/>
      <c r="YD703"/>
      <c r="YE703"/>
      <c r="YF703"/>
      <c r="YG703"/>
      <c r="YH703"/>
      <c r="YI703"/>
      <c r="YJ703"/>
      <c r="YK703"/>
      <c r="YL703"/>
      <c r="YM703"/>
      <c r="YN703"/>
      <c r="YO703"/>
      <c r="YP703"/>
      <c r="YQ703"/>
      <c r="YR703"/>
      <c r="YS703"/>
      <c r="YT703"/>
      <c r="YU703"/>
      <c r="YV703"/>
      <c r="YW703"/>
      <c r="YX703"/>
      <c r="YY703"/>
      <c r="YZ703"/>
      <c r="ZA703"/>
      <c r="ZB703"/>
      <c r="ZC703"/>
      <c r="ZD703"/>
      <c r="ZE703"/>
      <c r="ZF703"/>
      <c r="ZG703"/>
      <c r="ZH703"/>
      <c r="ZI703"/>
      <c r="ZJ703"/>
      <c r="ZK703"/>
      <c r="ZL703"/>
      <c r="ZM703"/>
      <c r="ZN703"/>
      <c r="ZO703"/>
      <c r="ZP703"/>
      <c r="ZQ703"/>
      <c r="ZR703"/>
      <c r="ZS703"/>
      <c r="ZT703"/>
      <c r="ZU703"/>
      <c r="ZV703"/>
      <c r="ZW703"/>
      <c r="ZX703"/>
      <c r="ZY703"/>
      <c r="ZZ703"/>
      <c r="AAA703"/>
      <c r="AAB703"/>
      <c r="AAC703"/>
      <c r="AAD703"/>
      <c r="AAE703"/>
      <c r="AAF703"/>
      <c r="AAG703"/>
      <c r="AAH703"/>
      <c r="AAI703"/>
      <c r="AAJ703"/>
      <c r="AAK703"/>
      <c r="AAL703"/>
      <c r="AAM703"/>
      <c r="AAN703"/>
      <c r="AAO703"/>
      <c r="AAP703"/>
      <c r="AAQ703"/>
      <c r="AAR703"/>
      <c r="AAS703"/>
      <c r="AAT703"/>
      <c r="AAU703"/>
      <c r="AAV703"/>
      <c r="AAW703"/>
      <c r="AAX703"/>
      <c r="AAY703"/>
      <c r="AAZ703"/>
      <c r="ABA703"/>
      <c r="ABB703"/>
      <c r="ABC703"/>
      <c r="ABD703"/>
      <c r="ABE703"/>
      <c r="ABF703"/>
      <c r="ABG703"/>
      <c r="ABH703"/>
      <c r="ABI703"/>
      <c r="ABJ703"/>
      <c r="ABK703"/>
      <c r="ABL703"/>
      <c r="ABM703"/>
      <c r="ABN703"/>
      <c r="ABO703"/>
      <c r="ABP703"/>
      <c r="ABQ703"/>
      <c r="ABR703"/>
      <c r="ABS703"/>
      <c r="ABT703"/>
      <c r="ABU703"/>
      <c r="ABV703"/>
      <c r="ABW703"/>
      <c r="ABX703"/>
      <c r="ABY703"/>
      <c r="ABZ703"/>
      <c r="ACA703"/>
      <c r="ACB703"/>
      <c r="ACC703"/>
      <c r="ACD703"/>
      <c r="ACE703"/>
      <c r="ACF703"/>
      <c r="ACG703"/>
      <c r="ACH703"/>
      <c r="ACI703"/>
      <c r="ACJ703"/>
      <c r="ACK703"/>
      <c r="ACL703"/>
      <c r="ACM703"/>
      <c r="ACN703"/>
      <c r="ACO703"/>
      <c r="ACP703"/>
      <c r="ACQ703"/>
      <c r="ACR703"/>
      <c r="ACS703"/>
      <c r="ACT703"/>
      <c r="ACU703"/>
      <c r="ACV703"/>
      <c r="ACW703"/>
      <c r="ACX703"/>
      <c r="ACY703"/>
      <c r="ACZ703"/>
      <c r="ADA703"/>
      <c r="ADB703"/>
      <c r="ADC703"/>
      <c r="ADD703"/>
      <c r="ADE703"/>
      <c r="ADF703"/>
      <c r="ADG703"/>
      <c r="ADH703"/>
      <c r="ADI703"/>
      <c r="ADJ703"/>
      <c r="ADK703"/>
      <c r="ADL703"/>
      <c r="ADM703"/>
      <c r="ADN703"/>
      <c r="ADO703"/>
      <c r="ADP703"/>
      <c r="ADQ703"/>
      <c r="ADR703"/>
      <c r="ADS703"/>
      <c r="ADT703"/>
      <c r="ADU703"/>
      <c r="ADV703"/>
      <c r="ADW703"/>
      <c r="ADX703"/>
      <c r="ADY703"/>
      <c r="ADZ703"/>
      <c r="AEA703"/>
      <c r="AEB703"/>
      <c r="AEC703"/>
      <c r="AED703"/>
      <c r="AEE703"/>
      <c r="AEF703"/>
      <c r="AEG703"/>
      <c r="AEH703"/>
      <c r="AEI703"/>
      <c r="AEJ703"/>
      <c r="AEK703"/>
      <c r="AEL703"/>
      <c r="AEM703"/>
      <c r="AEN703"/>
      <c r="AEO703"/>
      <c r="AEP703"/>
      <c r="AEQ703"/>
      <c r="AER703"/>
      <c r="AES703"/>
      <c r="AET703"/>
      <c r="AEU703"/>
      <c r="AEV703"/>
      <c r="AEW703"/>
      <c r="AEX703"/>
      <c r="AEY703"/>
      <c r="AEZ703"/>
      <c r="AFA703"/>
      <c r="AFB703"/>
      <c r="AFC703"/>
      <c r="AFD703"/>
      <c r="AFE703"/>
      <c r="AFF703"/>
      <c r="AFG703"/>
      <c r="AFH703"/>
      <c r="AFI703"/>
      <c r="AFJ703"/>
      <c r="AFK703"/>
      <c r="AFL703"/>
      <c r="AFM703"/>
      <c r="AFN703"/>
      <c r="AFO703"/>
      <c r="AFP703"/>
      <c r="AFQ703"/>
      <c r="AFR703"/>
      <c r="AFS703"/>
      <c r="AFT703"/>
      <c r="AFU703"/>
      <c r="AFV703"/>
      <c r="AFW703"/>
      <c r="AFX703"/>
      <c r="AFY703"/>
      <c r="AFZ703"/>
      <c r="AGA703"/>
      <c r="AGB703"/>
      <c r="AGC703"/>
      <c r="AGD703"/>
      <c r="AGE703"/>
      <c r="AGF703"/>
      <c r="AGG703"/>
      <c r="AGH703"/>
      <c r="AGI703"/>
      <c r="AGJ703"/>
      <c r="AGK703"/>
      <c r="AGL703"/>
      <c r="AGM703"/>
      <c r="AGN703"/>
      <c r="AGO703"/>
      <c r="AGP703"/>
      <c r="AGQ703"/>
      <c r="AGR703"/>
      <c r="AGS703"/>
      <c r="AGT703"/>
      <c r="AGU703"/>
      <c r="AGV703"/>
      <c r="AGW703"/>
      <c r="AGX703"/>
      <c r="AGY703"/>
      <c r="AGZ703"/>
      <c r="AHA703"/>
      <c r="AHB703"/>
      <c r="AHC703"/>
      <c r="AHD703"/>
      <c r="AHE703"/>
      <c r="AHF703"/>
      <c r="AHG703"/>
      <c r="AHH703"/>
      <c r="AHI703"/>
      <c r="AHJ703"/>
      <c r="AHK703"/>
      <c r="AHL703"/>
      <c r="AHM703"/>
      <c r="AHN703"/>
      <c r="AHO703"/>
      <c r="AHP703"/>
      <c r="AHQ703"/>
      <c r="AHR703"/>
      <c r="AHS703"/>
      <c r="AHT703"/>
      <c r="AHU703"/>
      <c r="AHV703"/>
      <c r="AHW703"/>
      <c r="AHX703"/>
      <c r="AHY703"/>
      <c r="AHZ703"/>
      <c r="AIA703"/>
      <c r="AIB703"/>
      <c r="AIC703"/>
      <c r="AID703"/>
      <c r="AIE703"/>
      <c r="AIF703"/>
      <c r="AIG703"/>
      <c r="AIH703"/>
      <c r="AII703"/>
      <c r="AIJ703"/>
      <c r="AIK703"/>
      <c r="AIL703"/>
      <c r="AIM703"/>
      <c r="AIN703"/>
      <c r="AIO703"/>
      <c r="AIP703"/>
      <c r="AIQ703"/>
      <c r="AIR703"/>
      <c r="AIS703"/>
      <c r="AIT703"/>
      <c r="AIU703"/>
      <c r="AIV703"/>
      <c r="AIW703"/>
      <c r="AIX703"/>
      <c r="AIY703"/>
      <c r="AIZ703"/>
      <c r="AJA703"/>
      <c r="AJB703"/>
      <c r="AJC703"/>
      <c r="AJD703"/>
      <c r="AJE703"/>
      <c r="AJF703"/>
      <c r="AJG703"/>
      <c r="AJH703"/>
      <c r="AJI703"/>
      <c r="AJJ703"/>
      <c r="AJK703"/>
      <c r="AJL703"/>
      <c r="AJM703"/>
      <c r="AJN703"/>
      <c r="AJO703"/>
      <c r="AJP703"/>
      <c r="AJQ703"/>
      <c r="AJR703"/>
      <c r="AJS703"/>
      <c r="AJT703"/>
      <c r="AJU703"/>
      <c r="AJV703"/>
      <c r="AJW703"/>
      <c r="AJX703"/>
      <c r="AJY703"/>
      <c r="AJZ703"/>
      <c r="AKA703"/>
      <c r="AKB703"/>
      <c r="AKC703"/>
      <c r="AKD703"/>
      <c r="AKE703"/>
      <c r="AKF703"/>
      <c r="AKG703"/>
      <c r="AKH703"/>
      <c r="AKI703"/>
      <c r="AKJ703"/>
      <c r="AKK703"/>
      <c r="AKL703"/>
      <c r="AKM703"/>
      <c r="AKN703"/>
      <c r="AKO703"/>
      <c r="AKP703"/>
      <c r="AKQ703"/>
      <c r="AKR703"/>
      <c r="AKS703"/>
      <c r="AKT703"/>
      <c r="AKU703"/>
      <c r="AKV703"/>
      <c r="AKW703"/>
      <c r="AKX703"/>
      <c r="AKY703"/>
      <c r="AKZ703"/>
      <c r="ALA703"/>
      <c r="ALB703"/>
      <c r="ALC703"/>
      <c r="ALD703"/>
      <c r="ALE703"/>
      <c r="ALF703"/>
      <c r="ALG703"/>
      <c r="ALH703"/>
      <c r="ALI703"/>
      <c r="ALJ703"/>
      <c r="ALK703"/>
      <c r="ALL703"/>
      <c r="ALM703"/>
      <c r="ALN703"/>
      <c r="ALO703"/>
      <c r="ALP703"/>
      <c r="ALQ703"/>
      <c r="ALR703"/>
      <c r="ALS703"/>
      <c r="ALT703"/>
      <c r="ALU703"/>
      <c r="ALV703"/>
      <c r="ALW703"/>
      <c r="ALX703"/>
      <c r="ALY703"/>
      <c r="ALZ703"/>
      <c r="AMA703"/>
      <c r="AMB703"/>
      <c r="AMC703"/>
      <c r="AMD703"/>
      <c r="AME703"/>
      <c r="AMF703"/>
      <c r="AMG703"/>
      <c r="AMH703"/>
      <c r="AMI703"/>
      <c r="AMJ703"/>
      <c r="AMK703"/>
    </row>
    <row r="704" spans="1:1025">
      <c r="A704" s="190"/>
      <c r="B704" s="842" t="s">
        <v>2077</v>
      </c>
      <c r="C704" s="842" t="s">
        <v>2078</v>
      </c>
      <c r="D704" s="190"/>
      <c r="E704" s="190"/>
      <c r="F704" s="190"/>
      <c r="G704" s="190"/>
      <c r="H704" s="843"/>
      <c r="J704" s="844">
        <f>J154+J249+J525+J702</f>
        <v>133045831.99999982</v>
      </c>
      <c r="K704" s="153"/>
      <c r="L704" s="735">
        <v>99970282.017399698</v>
      </c>
      <c r="M704" s="736">
        <f t="shared" si="58"/>
        <v>1.3308538229075253</v>
      </c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/>
      <c r="GF704"/>
      <c r="GG704"/>
      <c r="GH704"/>
      <c r="GI704"/>
      <c r="GJ704"/>
      <c r="GK704"/>
      <c r="GL704"/>
      <c r="GM704"/>
      <c r="GN704"/>
      <c r="GO704"/>
      <c r="GP704"/>
      <c r="GQ704"/>
      <c r="GR704"/>
      <c r="GS704"/>
      <c r="GT704"/>
      <c r="GU704"/>
      <c r="GV704"/>
      <c r="GW704"/>
      <c r="GX704"/>
      <c r="GY704"/>
      <c r="GZ704"/>
      <c r="HA704"/>
      <c r="HB704"/>
      <c r="HC704"/>
      <c r="HD704"/>
      <c r="HE704"/>
      <c r="HF704"/>
      <c r="HG704"/>
      <c r="HH704"/>
      <c r="HI704"/>
      <c r="HJ704"/>
      <c r="HK704"/>
      <c r="HL704"/>
      <c r="HM704"/>
      <c r="HN704"/>
      <c r="HO704"/>
      <c r="HP704"/>
      <c r="HQ704"/>
      <c r="HR704"/>
      <c r="HS704"/>
      <c r="HT704"/>
      <c r="HU704"/>
      <c r="HV704"/>
      <c r="HW704"/>
      <c r="HX704"/>
      <c r="HY704"/>
      <c r="HZ704"/>
      <c r="IA704"/>
      <c r="IB704"/>
      <c r="IC704"/>
      <c r="ID704"/>
      <c r="IE704"/>
      <c r="IF704"/>
      <c r="IG704"/>
      <c r="IH704"/>
      <c r="II704"/>
      <c r="IJ704"/>
      <c r="IK704"/>
      <c r="IL704"/>
      <c r="IM704"/>
      <c r="IN704"/>
      <c r="IO704"/>
      <c r="IP704"/>
      <c r="IQ704"/>
      <c r="IR704"/>
      <c r="IS704"/>
      <c r="IT704"/>
      <c r="IU704"/>
      <c r="IV704"/>
      <c r="IW704"/>
      <c r="IX704"/>
      <c r="IY704"/>
      <c r="IZ704"/>
      <c r="JA704"/>
      <c r="JB704"/>
      <c r="JC704"/>
      <c r="JD704"/>
      <c r="JE704"/>
      <c r="JF704"/>
      <c r="JG704"/>
      <c r="JH704"/>
      <c r="JI704"/>
      <c r="JJ704"/>
      <c r="JK704"/>
      <c r="JL704"/>
      <c r="JM704"/>
      <c r="JN704"/>
      <c r="JO704"/>
      <c r="JP704"/>
      <c r="JQ704"/>
      <c r="JR704"/>
      <c r="JS704"/>
      <c r="JT704"/>
      <c r="JU704"/>
      <c r="JV704"/>
      <c r="JW704"/>
      <c r="JX704"/>
      <c r="JY704"/>
      <c r="JZ704"/>
      <c r="KA704"/>
      <c r="KB704"/>
      <c r="KC704"/>
      <c r="KD704"/>
      <c r="KE704"/>
      <c r="KF704"/>
      <c r="KG704"/>
      <c r="KH704"/>
      <c r="KI704"/>
      <c r="KJ704"/>
      <c r="KK704"/>
      <c r="KL704"/>
      <c r="KM704"/>
      <c r="KN704"/>
      <c r="KO704"/>
      <c r="KP704"/>
      <c r="KQ704"/>
      <c r="KR704"/>
      <c r="KS704"/>
      <c r="KT704"/>
      <c r="KU704"/>
      <c r="KV704"/>
      <c r="KW704"/>
      <c r="KX704"/>
      <c r="KY704"/>
      <c r="KZ704"/>
      <c r="LA704"/>
      <c r="LB704"/>
      <c r="LC704"/>
      <c r="LD704"/>
      <c r="LE704"/>
      <c r="LF704"/>
      <c r="LG704"/>
      <c r="LH704"/>
      <c r="LI704"/>
      <c r="LJ704"/>
      <c r="LK704"/>
      <c r="LL704"/>
      <c r="LM704"/>
      <c r="LN704"/>
      <c r="LO704"/>
      <c r="LP704"/>
      <c r="LQ704"/>
      <c r="LR704"/>
      <c r="LS704"/>
      <c r="LT704"/>
      <c r="LU704"/>
      <c r="LV704"/>
      <c r="LW704"/>
      <c r="LX704"/>
      <c r="LY704"/>
      <c r="LZ704"/>
      <c r="MA704"/>
      <c r="MB704"/>
      <c r="MC704"/>
      <c r="MD704"/>
      <c r="ME704"/>
      <c r="MF704"/>
      <c r="MG704"/>
      <c r="MH704"/>
      <c r="MI704"/>
      <c r="MJ704"/>
      <c r="MK704"/>
      <c r="ML704"/>
      <c r="MM704"/>
      <c r="MN704"/>
      <c r="MO704"/>
      <c r="MP704"/>
      <c r="MQ704"/>
      <c r="MR704"/>
      <c r="MS704"/>
      <c r="MT704"/>
      <c r="MU704"/>
      <c r="MV704"/>
      <c r="MW704"/>
      <c r="MX704"/>
      <c r="MY704"/>
      <c r="MZ704"/>
      <c r="NA704"/>
      <c r="NB704"/>
      <c r="NC704"/>
      <c r="ND704"/>
      <c r="NE704"/>
      <c r="NF704"/>
      <c r="NG704"/>
      <c r="NH704"/>
      <c r="NI704"/>
      <c r="NJ704"/>
      <c r="NK704"/>
      <c r="NL704"/>
      <c r="NM704"/>
      <c r="NN704"/>
      <c r="NO704"/>
      <c r="NP704"/>
      <c r="NQ704"/>
      <c r="NR704"/>
      <c r="NS704"/>
      <c r="NT704"/>
      <c r="NU704"/>
      <c r="NV704"/>
      <c r="NW704"/>
      <c r="NX704"/>
      <c r="NY704"/>
      <c r="NZ704"/>
      <c r="OA704"/>
      <c r="OB704"/>
      <c r="OC704"/>
      <c r="OD704"/>
      <c r="OE704"/>
      <c r="OF704"/>
      <c r="OG704"/>
      <c r="OH704"/>
      <c r="OI704"/>
      <c r="OJ704"/>
      <c r="OK704"/>
      <c r="OL704"/>
      <c r="OM704"/>
      <c r="ON704"/>
      <c r="OO704"/>
      <c r="OP704"/>
      <c r="OQ704"/>
      <c r="OR704"/>
      <c r="OS704"/>
      <c r="OT704"/>
      <c r="OU704"/>
      <c r="OV704"/>
      <c r="OW704"/>
      <c r="OX704"/>
      <c r="OY704"/>
      <c r="OZ704"/>
      <c r="PA704"/>
      <c r="PB704"/>
      <c r="PC704"/>
      <c r="PD704"/>
      <c r="PE704"/>
      <c r="PF704"/>
      <c r="PG704"/>
      <c r="PH704"/>
      <c r="PI704"/>
      <c r="PJ704"/>
      <c r="PK704"/>
      <c r="PL704"/>
      <c r="PM704"/>
      <c r="PN704"/>
      <c r="PO704"/>
      <c r="PP704"/>
      <c r="PQ704"/>
      <c r="PR704"/>
      <c r="PS704"/>
      <c r="PT704"/>
      <c r="PU704"/>
      <c r="PV704"/>
      <c r="PW704"/>
      <c r="PX704"/>
      <c r="PY704"/>
      <c r="PZ704"/>
      <c r="QA704"/>
      <c r="QB704"/>
      <c r="QC704"/>
      <c r="QD704"/>
      <c r="QE704"/>
      <c r="QF704"/>
      <c r="QG704"/>
      <c r="QH704"/>
      <c r="QI704"/>
      <c r="QJ704"/>
      <c r="QK704"/>
      <c r="QL704"/>
      <c r="QM704"/>
      <c r="QN704"/>
      <c r="QO704"/>
      <c r="QP704"/>
      <c r="QQ704"/>
      <c r="QR704"/>
      <c r="QS704"/>
      <c r="QT704"/>
      <c r="QU704"/>
      <c r="QV704"/>
      <c r="QW704"/>
      <c r="QX704"/>
      <c r="QY704"/>
      <c r="QZ704"/>
      <c r="RA704"/>
      <c r="RB704"/>
      <c r="RC704"/>
      <c r="RD704"/>
      <c r="RE704"/>
      <c r="RF704"/>
      <c r="RG704"/>
      <c r="RH704"/>
      <c r="RI704"/>
      <c r="RJ704"/>
      <c r="RK704"/>
      <c r="RL704"/>
      <c r="RM704"/>
      <c r="RN704"/>
      <c r="RO704"/>
      <c r="RP704"/>
      <c r="RQ704"/>
      <c r="RR704"/>
      <c r="RS704"/>
      <c r="RT704"/>
      <c r="RU704"/>
      <c r="RV704"/>
      <c r="RW704"/>
      <c r="RX704"/>
      <c r="RY704"/>
      <c r="RZ704"/>
      <c r="SA704"/>
      <c r="SB704"/>
      <c r="SC704"/>
      <c r="SD704"/>
      <c r="SE704"/>
      <c r="SF704"/>
      <c r="SG704"/>
      <c r="SH704"/>
      <c r="SI704"/>
      <c r="SJ704"/>
      <c r="SK704"/>
      <c r="SL704"/>
      <c r="SM704"/>
      <c r="SN704"/>
      <c r="SO704"/>
      <c r="SP704"/>
      <c r="SQ704"/>
      <c r="SR704"/>
      <c r="SS704"/>
      <c r="ST704"/>
      <c r="SU704"/>
      <c r="SV704"/>
      <c r="SW704"/>
      <c r="SX704"/>
      <c r="SY704"/>
      <c r="SZ704"/>
      <c r="TA704"/>
      <c r="TB704"/>
      <c r="TC704"/>
      <c r="TD704"/>
      <c r="TE704"/>
      <c r="TF704"/>
      <c r="TG704"/>
      <c r="TH704"/>
      <c r="TI704"/>
      <c r="TJ704"/>
      <c r="TK704"/>
      <c r="TL704"/>
      <c r="TM704"/>
      <c r="TN704"/>
      <c r="TO704"/>
      <c r="TP704"/>
      <c r="TQ704"/>
      <c r="TR704"/>
      <c r="TS704"/>
      <c r="TT704"/>
      <c r="TU704"/>
      <c r="TV704"/>
      <c r="TW704"/>
      <c r="TX704"/>
      <c r="TY704"/>
      <c r="TZ704"/>
      <c r="UA704"/>
      <c r="UB704"/>
      <c r="UC704"/>
      <c r="UD704"/>
      <c r="UE704"/>
      <c r="UF704"/>
      <c r="UG704"/>
      <c r="UH704"/>
      <c r="UI704"/>
      <c r="UJ704"/>
      <c r="UK704"/>
      <c r="UL704"/>
      <c r="UM704"/>
      <c r="UN704"/>
      <c r="UO704"/>
      <c r="UP704"/>
      <c r="UQ704"/>
      <c r="UR704"/>
      <c r="US704"/>
      <c r="UT704"/>
      <c r="UU704"/>
      <c r="UV704"/>
      <c r="UW704"/>
      <c r="UX704"/>
      <c r="UY704"/>
      <c r="UZ704"/>
      <c r="VA704"/>
      <c r="VB704"/>
      <c r="VC704"/>
      <c r="VD704"/>
      <c r="VE704"/>
      <c r="VF704"/>
      <c r="VG704"/>
      <c r="VH704"/>
      <c r="VI704"/>
      <c r="VJ704"/>
      <c r="VK704"/>
      <c r="VL704"/>
      <c r="VM704"/>
      <c r="VN704"/>
      <c r="VO704"/>
      <c r="VP704"/>
      <c r="VQ704"/>
      <c r="VR704"/>
      <c r="VS704"/>
      <c r="VT704"/>
      <c r="VU704"/>
      <c r="VV704"/>
      <c r="VW704"/>
      <c r="VX704"/>
      <c r="VY704"/>
      <c r="VZ704"/>
      <c r="WA704"/>
      <c r="WB704"/>
      <c r="WC704"/>
      <c r="WD704"/>
      <c r="WE704"/>
      <c r="WF704"/>
      <c r="WG704"/>
      <c r="WH704"/>
      <c r="WI704"/>
      <c r="WJ704"/>
      <c r="WK704"/>
      <c r="WL704"/>
      <c r="WM704"/>
      <c r="WN704"/>
      <c r="WO704"/>
      <c r="WP704"/>
      <c r="WQ704"/>
      <c r="WR704"/>
      <c r="WS704"/>
      <c r="WT704"/>
      <c r="WU704"/>
      <c r="WV704"/>
      <c r="WW704"/>
      <c r="WX704"/>
      <c r="WY704"/>
      <c r="WZ704"/>
      <c r="XA704"/>
      <c r="XB704"/>
      <c r="XC704"/>
      <c r="XD704"/>
      <c r="XE704"/>
      <c r="XF704"/>
      <c r="XG704"/>
      <c r="XH704"/>
      <c r="XI704"/>
      <c r="XJ704"/>
      <c r="XK704"/>
      <c r="XL704"/>
      <c r="XM704"/>
      <c r="XN704"/>
      <c r="XO704"/>
      <c r="XP704"/>
      <c r="XQ704"/>
      <c r="XR704"/>
      <c r="XS704"/>
      <c r="XT704"/>
      <c r="XU704"/>
      <c r="XV704"/>
      <c r="XW704"/>
      <c r="XX704"/>
      <c r="XY704"/>
      <c r="XZ704"/>
      <c r="YA704"/>
      <c r="YB704"/>
      <c r="YC704"/>
      <c r="YD704"/>
      <c r="YE704"/>
      <c r="YF704"/>
      <c r="YG704"/>
      <c r="YH704"/>
      <c r="YI704"/>
      <c r="YJ704"/>
      <c r="YK704"/>
      <c r="YL704"/>
      <c r="YM704"/>
      <c r="YN704"/>
      <c r="YO704"/>
      <c r="YP704"/>
      <c r="YQ704"/>
      <c r="YR704"/>
      <c r="YS704"/>
      <c r="YT704"/>
      <c r="YU704"/>
      <c r="YV704"/>
      <c r="YW704"/>
      <c r="YX704"/>
      <c r="YY704"/>
      <c r="YZ704"/>
      <c r="ZA704"/>
      <c r="ZB704"/>
      <c r="ZC704"/>
      <c r="ZD704"/>
      <c r="ZE704"/>
      <c r="ZF704"/>
      <c r="ZG704"/>
      <c r="ZH704"/>
      <c r="ZI704"/>
      <c r="ZJ704"/>
      <c r="ZK704"/>
      <c r="ZL704"/>
      <c r="ZM704"/>
      <c r="ZN704"/>
      <c r="ZO704"/>
      <c r="ZP704"/>
      <c r="ZQ704"/>
      <c r="ZR704"/>
      <c r="ZS704"/>
      <c r="ZT704"/>
      <c r="ZU704"/>
      <c r="ZV704"/>
      <c r="ZW704"/>
      <c r="ZX704"/>
      <c r="ZY704"/>
      <c r="ZZ704"/>
      <c r="AAA704"/>
      <c r="AAB704"/>
      <c r="AAC704"/>
      <c r="AAD704"/>
      <c r="AAE704"/>
      <c r="AAF704"/>
      <c r="AAG704"/>
      <c r="AAH704"/>
      <c r="AAI704"/>
      <c r="AAJ704"/>
      <c r="AAK704"/>
      <c r="AAL704"/>
      <c r="AAM704"/>
      <c r="AAN704"/>
      <c r="AAO704"/>
      <c r="AAP704"/>
      <c r="AAQ704"/>
      <c r="AAR704"/>
      <c r="AAS704"/>
      <c r="AAT704"/>
      <c r="AAU704"/>
      <c r="AAV704"/>
      <c r="AAW704"/>
      <c r="AAX704"/>
      <c r="AAY704"/>
      <c r="AAZ704"/>
      <c r="ABA704"/>
      <c r="ABB704"/>
      <c r="ABC704"/>
      <c r="ABD704"/>
      <c r="ABE704"/>
      <c r="ABF704"/>
      <c r="ABG704"/>
      <c r="ABH704"/>
      <c r="ABI704"/>
      <c r="ABJ704"/>
      <c r="ABK704"/>
      <c r="ABL704"/>
      <c r="ABM704"/>
      <c r="ABN704"/>
      <c r="ABO704"/>
      <c r="ABP704"/>
      <c r="ABQ704"/>
      <c r="ABR704"/>
      <c r="ABS704"/>
      <c r="ABT704"/>
      <c r="ABU704"/>
      <c r="ABV704"/>
      <c r="ABW704"/>
      <c r="ABX704"/>
      <c r="ABY704"/>
      <c r="ABZ704"/>
      <c r="ACA704"/>
      <c r="ACB704"/>
      <c r="ACC704"/>
      <c r="ACD704"/>
      <c r="ACE704"/>
      <c r="ACF704"/>
      <c r="ACG704"/>
      <c r="ACH704"/>
      <c r="ACI704"/>
      <c r="ACJ704"/>
      <c r="ACK704"/>
      <c r="ACL704"/>
      <c r="ACM704"/>
      <c r="ACN704"/>
      <c r="ACO704"/>
      <c r="ACP704"/>
      <c r="ACQ704"/>
      <c r="ACR704"/>
      <c r="ACS704"/>
      <c r="ACT704"/>
      <c r="ACU704"/>
      <c r="ACV704"/>
      <c r="ACW704"/>
      <c r="ACX704"/>
      <c r="ACY704"/>
      <c r="ACZ704"/>
      <c r="ADA704"/>
      <c r="ADB704"/>
      <c r="ADC704"/>
      <c r="ADD704"/>
      <c r="ADE704"/>
      <c r="ADF704"/>
      <c r="ADG704"/>
      <c r="ADH704"/>
      <c r="ADI704"/>
      <c r="ADJ704"/>
      <c r="ADK704"/>
      <c r="ADL704"/>
      <c r="ADM704"/>
      <c r="ADN704"/>
      <c r="ADO704"/>
      <c r="ADP704"/>
      <c r="ADQ704"/>
      <c r="ADR704"/>
      <c r="ADS704"/>
      <c r="ADT704"/>
      <c r="ADU704"/>
      <c r="ADV704"/>
      <c r="ADW704"/>
      <c r="ADX704"/>
      <c r="ADY704"/>
      <c r="ADZ704"/>
      <c r="AEA704"/>
      <c r="AEB704"/>
      <c r="AEC704"/>
      <c r="AED704"/>
      <c r="AEE704"/>
      <c r="AEF704"/>
      <c r="AEG704"/>
      <c r="AEH704"/>
      <c r="AEI704"/>
      <c r="AEJ704"/>
      <c r="AEK704"/>
      <c r="AEL704"/>
      <c r="AEM704"/>
      <c r="AEN704"/>
      <c r="AEO704"/>
      <c r="AEP704"/>
      <c r="AEQ704"/>
      <c r="AER704"/>
      <c r="AES704"/>
      <c r="AET704"/>
      <c r="AEU704"/>
      <c r="AEV704"/>
      <c r="AEW704"/>
      <c r="AEX704"/>
      <c r="AEY704"/>
      <c r="AEZ704"/>
      <c r="AFA704"/>
      <c r="AFB704"/>
      <c r="AFC704"/>
      <c r="AFD704"/>
      <c r="AFE704"/>
      <c r="AFF704"/>
      <c r="AFG704"/>
      <c r="AFH704"/>
      <c r="AFI704"/>
      <c r="AFJ704"/>
      <c r="AFK704"/>
      <c r="AFL704"/>
      <c r="AFM704"/>
      <c r="AFN704"/>
      <c r="AFO704"/>
      <c r="AFP704"/>
      <c r="AFQ704"/>
      <c r="AFR704"/>
      <c r="AFS704"/>
      <c r="AFT704"/>
      <c r="AFU704"/>
      <c r="AFV704"/>
      <c r="AFW704"/>
      <c r="AFX704"/>
      <c r="AFY704"/>
      <c r="AFZ704"/>
      <c r="AGA704"/>
      <c r="AGB704"/>
      <c r="AGC704"/>
      <c r="AGD704"/>
      <c r="AGE704"/>
      <c r="AGF704"/>
      <c r="AGG704"/>
      <c r="AGH704"/>
      <c r="AGI704"/>
      <c r="AGJ704"/>
      <c r="AGK704"/>
      <c r="AGL704"/>
      <c r="AGM704"/>
      <c r="AGN704"/>
      <c r="AGO704"/>
      <c r="AGP704"/>
      <c r="AGQ704"/>
      <c r="AGR704"/>
      <c r="AGS704"/>
      <c r="AGT704"/>
      <c r="AGU704"/>
      <c r="AGV704"/>
      <c r="AGW704"/>
      <c r="AGX704"/>
      <c r="AGY704"/>
      <c r="AGZ704"/>
      <c r="AHA704"/>
      <c r="AHB704"/>
      <c r="AHC704"/>
      <c r="AHD704"/>
      <c r="AHE704"/>
      <c r="AHF704"/>
      <c r="AHG704"/>
      <c r="AHH704"/>
      <c r="AHI704"/>
      <c r="AHJ704"/>
      <c r="AHK704"/>
      <c r="AHL704"/>
      <c r="AHM704"/>
      <c r="AHN704"/>
      <c r="AHO704"/>
      <c r="AHP704"/>
      <c r="AHQ704"/>
      <c r="AHR704"/>
      <c r="AHS704"/>
      <c r="AHT704"/>
      <c r="AHU704"/>
      <c r="AHV704"/>
      <c r="AHW704"/>
      <c r="AHX704"/>
      <c r="AHY704"/>
      <c r="AHZ704"/>
      <c r="AIA704"/>
      <c r="AIB704"/>
      <c r="AIC704"/>
      <c r="AID704"/>
      <c r="AIE704"/>
      <c r="AIF704"/>
      <c r="AIG704"/>
      <c r="AIH704"/>
      <c r="AII704"/>
      <c r="AIJ704"/>
      <c r="AIK704"/>
      <c r="AIL704"/>
      <c r="AIM704"/>
      <c r="AIN704"/>
      <c r="AIO704"/>
      <c r="AIP704"/>
      <c r="AIQ704"/>
      <c r="AIR704"/>
      <c r="AIS704"/>
      <c r="AIT704"/>
      <c r="AIU704"/>
      <c r="AIV704"/>
      <c r="AIW704"/>
      <c r="AIX704"/>
      <c r="AIY704"/>
      <c r="AIZ704"/>
      <c r="AJA704"/>
      <c r="AJB704"/>
      <c r="AJC704"/>
      <c r="AJD704"/>
      <c r="AJE704"/>
      <c r="AJF704"/>
      <c r="AJG704"/>
      <c r="AJH704"/>
      <c r="AJI704"/>
      <c r="AJJ704"/>
      <c r="AJK704"/>
      <c r="AJL704"/>
      <c r="AJM704"/>
      <c r="AJN704"/>
      <c r="AJO704"/>
      <c r="AJP704"/>
      <c r="AJQ704"/>
      <c r="AJR704"/>
      <c r="AJS704"/>
      <c r="AJT704"/>
      <c r="AJU704"/>
      <c r="AJV704"/>
      <c r="AJW704"/>
      <c r="AJX704"/>
      <c r="AJY704"/>
      <c r="AJZ704"/>
      <c r="AKA704"/>
      <c r="AKB704"/>
      <c r="AKC704"/>
      <c r="AKD704"/>
      <c r="AKE704"/>
      <c r="AKF704"/>
      <c r="AKG704"/>
      <c r="AKH704"/>
      <c r="AKI704"/>
      <c r="AKJ704"/>
      <c r="AKK704"/>
      <c r="AKL704"/>
      <c r="AKM704"/>
      <c r="AKN704"/>
      <c r="AKO704"/>
      <c r="AKP704"/>
      <c r="AKQ704"/>
      <c r="AKR704"/>
      <c r="AKS704"/>
      <c r="AKT704"/>
      <c r="AKU704"/>
      <c r="AKV704"/>
      <c r="AKW704"/>
      <c r="AKX704"/>
      <c r="AKY704"/>
      <c r="AKZ704"/>
      <c r="ALA704"/>
      <c r="ALB704"/>
      <c r="ALC704"/>
      <c r="ALD704"/>
      <c r="ALE704"/>
      <c r="ALF704"/>
      <c r="ALG704"/>
      <c r="ALH704"/>
      <c r="ALI704"/>
      <c r="ALJ704"/>
      <c r="ALK704"/>
      <c r="ALL704"/>
      <c r="ALM704"/>
      <c r="ALN704"/>
      <c r="ALO704"/>
      <c r="ALP704"/>
      <c r="ALQ704"/>
      <c r="ALR704"/>
      <c r="ALS704"/>
      <c r="ALT704"/>
      <c r="ALU704"/>
      <c r="ALV704"/>
      <c r="ALW704"/>
      <c r="ALX704"/>
      <c r="ALY704"/>
      <c r="ALZ704"/>
      <c r="AMA704"/>
      <c r="AMB704"/>
      <c r="AMC704"/>
      <c r="AMD704"/>
      <c r="AME704"/>
      <c r="AMF704"/>
      <c r="AMG704"/>
      <c r="AMH704"/>
      <c r="AMI704"/>
      <c r="AMJ704"/>
      <c r="AMK704"/>
    </row>
    <row r="705" spans="1:1025">
      <c r="H705" s="379">
        <f>I692/30</f>
        <v>8079.5721600000006</v>
      </c>
      <c r="J705" s="844">
        <f>J155+J250+J526+J703</f>
        <v>131904063.3546661</v>
      </c>
      <c r="K705" s="843"/>
      <c r="L705" s="735">
        <v>98600408.485119</v>
      </c>
      <c r="M705" s="736">
        <f t="shared" si="58"/>
        <v>1.3377638630632382</v>
      </c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  <c r="FK705"/>
      <c r="FL705"/>
      <c r="FM705"/>
      <c r="FN705"/>
      <c r="FO705"/>
      <c r="FP705"/>
      <c r="FQ705"/>
      <c r="FR705"/>
      <c r="FS705"/>
      <c r="FT705"/>
      <c r="FU705"/>
      <c r="FV705"/>
      <c r="FW705"/>
      <c r="FX705"/>
      <c r="FY705"/>
      <c r="FZ705"/>
      <c r="GA705"/>
      <c r="GB705"/>
      <c r="GC705"/>
      <c r="GD705"/>
      <c r="GE705"/>
      <c r="GF705"/>
      <c r="GG705"/>
      <c r="GH705"/>
      <c r="GI705"/>
      <c r="GJ705"/>
      <c r="GK705"/>
      <c r="GL705"/>
      <c r="GM705"/>
      <c r="GN705"/>
      <c r="GO705"/>
      <c r="GP705"/>
      <c r="GQ705"/>
      <c r="GR705"/>
      <c r="GS705"/>
      <c r="GT705"/>
      <c r="GU705"/>
      <c r="GV705"/>
      <c r="GW705"/>
      <c r="GX705"/>
      <c r="GY705"/>
      <c r="GZ705"/>
      <c r="HA705"/>
      <c r="HB705"/>
      <c r="HC705"/>
      <c r="HD705"/>
      <c r="HE705"/>
      <c r="HF705"/>
      <c r="HG705"/>
      <c r="HH705"/>
      <c r="HI705"/>
      <c r="HJ705"/>
      <c r="HK705"/>
      <c r="HL705"/>
      <c r="HM705"/>
      <c r="HN705"/>
      <c r="HO705"/>
      <c r="HP705"/>
      <c r="HQ705"/>
      <c r="HR705"/>
      <c r="HS705"/>
      <c r="HT705"/>
      <c r="HU705"/>
      <c r="HV705"/>
      <c r="HW705"/>
      <c r="HX705"/>
      <c r="HY705"/>
      <c r="HZ705"/>
      <c r="IA705"/>
      <c r="IB705"/>
      <c r="IC705"/>
      <c r="ID705"/>
      <c r="IE705"/>
      <c r="IF705"/>
      <c r="IG705"/>
      <c r="IH705"/>
      <c r="II705"/>
      <c r="IJ705"/>
      <c r="IK705"/>
      <c r="IL705"/>
      <c r="IM705"/>
      <c r="IN705"/>
      <c r="IO705"/>
      <c r="IP705"/>
      <c r="IQ705"/>
      <c r="IR705"/>
      <c r="IS705"/>
      <c r="IT705"/>
      <c r="IU705"/>
      <c r="IV705"/>
      <c r="IW705"/>
      <c r="IX705"/>
      <c r="IY705"/>
      <c r="IZ705"/>
      <c r="JA705"/>
      <c r="JB705"/>
      <c r="JC705"/>
      <c r="JD705"/>
      <c r="JE705"/>
      <c r="JF705"/>
      <c r="JG705"/>
      <c r="JH705"/>
      <c r="JI705"/>
      <c r="JJ705"/>
      <c r="JK705"/>
      <c r="JL705"/>
      <c r="JM705"/>
      <c r="JN705"/>
      <c r="JO705"/>
      <c r="JP705"/>
      <c r="JQ705"/>
      <c r="JR705"/>
      <c r="JS705"/>
      <c r="JT705"/>
      <c r="JU705"/>
      <c r="JV705"/>
      <c r="JW705"/>
      <c r="JX705"/>
      <c r="JY705"/>
      <c r="JZ705"/>
      <c r="KA705"/>
      <c r="KB705"/>
      <c r="KC705"/>
      <c r="KD705"/>
      <c r="KE705"/>
      <c r="KF705"/>
      <c r="KG705"/>
      <c r="KH705"/>
      <c r="KI705"/>
      <c r="KJ705"/>
      <c r="KK705"/>
      <c r="KL705"/>
      <c r="KM705"/>
      <c r="KN705"/>
      <c r="KO705"/>
      <c r="KP705"/>
      <c r="KQ705"/>
      <c r="KR705"/>
      <c r="KS705"/>
      <c r="KT705"/>
      <c r="KU705"/>
      <c r="KV705"/>
      <c r="KW705"/>
      <c r="KX705"/>
      <c r="KY705"/>
      <c r="KZ705"/>
      <c r="LA705"/>
      <c r="LB705"/>
      <c r="LC705"/>
      <c r="LD705"/>
      <c r="LE705"/>
      <c r="LF705"/>
      <c r="LG705"/>
      <c r="LH705"/>
      <c r="LI705"/>
      <c r="LJ705"/>
      <c r="LK705"/>
      <c r="LL705"/>
      <c r="LM705"/>
      <c r="LN705"/>
      <c r="LO705"/>
      <c r="LP705"/>
      <c r="LQ705"/>
      <c r="LR705"/>
      <c r="LS705"/>
      <c r="LT705"/>
      <c r="LU705"/>
      <c r="LV705"/>
      <c r="LW705"/>
      <c r="LX705"/>
      <c r="LY705"/>
      <c r="LZ705"/>
      <c r="MA705"/>
      <c r="MB705"/>
      <c r="MC705"/>
      <c r="MD705"/>
      <c r="ME705"/>
      <c r="MF705"/>
      <c r="MG705"/>
      <c r="MH705"/>
      <c r="MI705"/>
      <c r="MJ705"/>
      <c r="MK705"/>
      <c r="ML705"/>
      <c r="MM705"/>
      <c r="MN705"/>
      <c r="MO705"/>
      <c r="MP705"/>
      <c r="MQ705"/>
      <c r="MR705"/>
      <c r="MS705"/>
      <c r="MT705"/>
      <c r="MU705"/>
      <c r="MV705"/>
      <c r="MW705"/>
      <c r="MX705"/>
      <c r="MY705"/>
      <c r="MZ705"/>
      <c r="NA705"/>
      <c r="NB705"/>
      <c r="NC705"/>
      <c r="ND705"/>
      <c r="NE705"/>
      <c r="NF705"/>
      <c r="NG705"/>
      <c r="NH705"/>
      <c r="NI705"/>
      <c r="NJ705"/>
      <c r="NK705"/>
      <c r="NL705"/>
      <c r="NM705"/>
      <c r="NN705"/>
      <c r="NO705"/>
      <c r="NP705"/>
      <c r="NQ705"/>
      <c r="NR705"/>
      <c r="NS705"/>
      <c r="NT705"/>
      <c r="NU705"/>
      <c r="NV705"/>
      <c r="NW705"/>
      <c r="NX705"/>
      <c r="NY705"/>
      <c r="NZ705"/>
      <c r="OA705"/>
      <c r="OB705"/>
      <c r="OC705"/>
      <c r="OD705"/>
      <c r="OE705"/>
      <c r="OF705"/>
      <c r="OG705"/>
      <c r="OH705"/>
      <c r="OI705"/>
      <c r="OJ705"/>
      <c r="OK705"/>
      <c r="OL705"/>
      <c r="OM705"/>
      <c r="ON705"/>
      <c r="OO705"/>
      <c r="OP705"/>
      <c r="OQ705"/>
      <c r="OR705"/>
      <c r="OS705"/>
      <c r="OT705"/>
      <c r="OU705"/>
      <c r="OV705"/>
      <c r="OW705"/>
      <c r="OX705"/>
      <c r="OY705"/>
      <c r="OZ705"/>
      <c r="PA705"/>
      <c r="PB705"/>
      <c r="PC705"/>
      <c r="PD705"/>
      <c r="PE705"/>
      <c r="PF705"/>
      <c r="PG705"/>
      <c r="PH705"/>
      <c r="PI705"/>
      <c r="PJ705"/>
      <c r="PK705"/>
      <c r="PL705"/>
      <c r="PM705"/>
      <c r="PN705"/>
      <c r="PO705"/>
      <c r="PP705"/>
      <c r="PQ705"/>
      <c r="PR705"/>
      <c r="PS705"/>
      <c r="PT705"/>
      <c r="PU705"/>
      <c r="PV705"/>
      <c r="PW705"/>
      <c r="PX705"/>
      <c r="PY705"/>
      <c r="PZ705"/>
      <c r="QA705"/>
      <c r="QB705"/>
      <c r="QC705"/>
      <c r="QD705"/>
      <c r="QE705"/>
      <c r="QF705"/>
      <c r="QG705"/>
      <c r="QH705"/>
      <c r="QI705"/>
      <c r="QJ705"/>
      <c r="QK705"/>
      <c r="QL705"/>
      <c r="QM705"/>
      <c r="QN705"/>
      <c r="QO705"/>
      <c r="QP705"/>
      <c r="QQ705"/>
      <c r="QR705"/>
      <c r="QS705"/>
      <c r="QT705"/>
      <c r="QU705"/>
      <c r="QV705"/>
      <c r="QW705"/>
      <c r="QX705"/>
      <c r="QY705"/>
      <c r="QZ705"/>
      <c r="RA705"/>
      <c r="RB705"/>
      <c r="RC705"/>
      <c r="RD705"/>
      <c r="RE705"/>
      <c r="RF705"/>
      <c r="RG705"/>
      <c r="RH705"/>
      <c r="RI705"/>
      <c r="RJ705"/>
      <c r="RK705"/>
      <c r="RL705"/>
      <c r="RM705"/>
      <c r="RN705"/>
      <c r="RO705"/>
      <c r="RP705"/>
      <c r="RQ705"/>
      <c r="RR705"/>
      <c r="RS705"/>
      <c r="RT705"/>
      <c r="RU705"/>
      <c r="RV705"/>
      <c r="RW705"/>
      <c r="RX705"/>
      <c r="RY705"/>
      <c r="RZ705"/>
      <c r="SA705"/>
      <c r="SB705"/>
      <c r="SC705"/>
      <c r="SD705"/>
      <c r="SE705"/>
      <c r="SF705"/>
      <c r="SG705"/>
      <c r="SH705"/>
      <c r="SI705"/>
      <c r="SJ705"/>
      <c r="SK705"/>
      <c r="SL705"/>
      <c r="SM705"/>
      <c r="SN705"/>
      <c r="SO705"/>
      <c r="SP705"/>
      <c r="SQ705"/>
      <c r="SR705"/>
      <c r="SS705"/>
      <c r="ST705"/>
      <c r="SU705"/>
      <c r="SV705"/>
      <c r="SW705"/>
      <c r="SX705"/>
      <c r="SY705"/>
      <c r="SZ705"/>
      <c r="TA705"/>
      <c r="TB705"/>
      <c r="TC705"/>
      <c r="TD705"/>
      <c r="TE705"/>
      <c r="TF705"/>
      <c r="TG705"/>
      <c r="TH705"/>
      <c r="TI705"/>
      <c r="TJ705"/>
      <c r="TK705"/>
      <c r="TL705"/>
      <c r="TM705"/>
      <c r="TN705"/>
      <c r="TO705"/>
      <c r="TP705"/>
      <c r="TQ705"/>
      <c r="TR705"/>
      <c r="TS705"/>
      <c r="TT705"/>
      <c r="TU705"/>
      <c r="TV705"/>
      <c r="TW705"/>
      <c r="TX705"/>
      <c r="TY705"/>
      <c r="TZ705"/>
      <c r="UA705"/>
      <c r="UB705"/>
      <c r="UC705"/>
      <c r="UD705"/>
      <c r="UE705"/>
      <c r="UF705"/>
      <c r="UG705"/>
      <c r="UH705"/>
      <c r="UI705"/>
      <c r="UJ705"/>
      <c r="UK705"/>
      <c r="UL705"/>
      <c r="UM705"/>
      <c r="UN705"/>
      <c r="UO705"/>
      <c r="UP705"/>
      <c r="UQ705"/>
      <c r="UR705"/>
      <c r="US705"/>
      <c r="UT705"/>
      <c r="UU705"/>
      <c r="UV705"/>
      <c r="UW705"/>
      <c r="UX705"/>
      <c r="UY705"/>
      <c r="UZ705"/>
      <c r="VA705"/>
      <c r="VB705"/>
      <c r="VC705"/>
      <c r="VD705"/>
      <c r="VE705"/>
      <c r="VF705"/>
      <c r="VG705"/>
      <c r="VH705"/>
      <c r="VI705"/>
      <c r="VJ705"/>
      <c r="VK705"/>
      <c r="VL705"/>
      <c r="VM705"/>
      <c r="VN705"/>
      <c r="VO705"/>
      <c r="VP705"/>
      <c r="VQ705"/>
      <c r="VR705"/>
      <c r="VS705"/>
      <c r="VT705"/>
      <c r="VU705"/>
      <c r="VV705"/>
      <c r="VW705"/>
      <c r="VX705"/>
      <c r="VY705"/>
      <c r="VZ705"/>
      <c r="WA705"/>
      <c r="WB705"/>
      <c r="WC705"/>
      <c r="WD705"/>
      <c r="WE705"/>
      <c r="WF705"/>
      <c r="WG705"/>
      <c r="WH705"/>
      <c r="WI705"/>
      <c r="WJ705"/>
      <c r="WK705"/>
      <c r="WL705"/>
      <c r="WM705"/>
      <c r="WN705"/>
      <c r="WO705"/>
      <c r="WP705"/>
      <c r="WQ705"/>
      <c r="WR705"/>
      <c r="WS705"/>
      <c r="WT705"/>
      <c r="WU705"/>
      <c r="WV705"/>
      <c r="WW705"/>
      <c r="WX705"/>
      <c r="WY705"/>
      <c r="WZ705"/>
      <c r="XA705"/>
      <c r="XB705"/>
      <c r="XC705"/>
      <c r="XD705"/>
      <c r="XE705"/>
      <c r="XF705"/>
      <c r="XG705"/>
      <c r="XH705"/>
      <c r="XI705"/>
      <c r="XJ705"/>
      <c r="XK705"/>
      <c r="XL705"/>
      <c r="XM705"/>
      <c r="XN705"/>
      <c r="XO705"/>
      <c r="XP705"/>
      <c r="XQ705"/>
      <c r="XR705"/>
      <c r="XS705"/>
      <c r="XT705"/>
      <c r="XU705"/>
      <c r="XV705"/>
      <c r="XW705"/>
      <c r="XX705"/>
      <c r="XY705"/>
      <c r="XZ705"/>
      <c r="YA705"/>
      <c r="YB705"/>
      <c r="YC705"/>
      <c r="YD705"/>
      <c r="YE705"/>
      <c r="YF705"/>
      <c r="YG705"/>
      <c r="YH705"/>
      <c r="YI705"/>
      <c r="YJ705"/>
      <c r="YK705"/>
      <c r="YL705"/>
      <c r="YM705"/>
      <c r="YN705"/>
      <c r="YO705"/>
      <c r="YP705"/>
      <c r="YQ705"/>
      <c r="YR705"/>
      <c r="YS705"/>
      <c r="YT705"/>
      <c r="YU705"/>
      <c r="YV705"/>
      <c r="YW705"/>
      <c r="YX705"/>
      <c r="YY705"/>
      <c r="YZ705"/>
      <c r="ZA705"/>
      <c r="ZB705"/>
      <c r="ZC705"/>
      <c r="ZD705"/>
      <c r="ZE705"/>
      <c r="ZF705"/>
      <c r="ZG705"/>
      <c r="ZH705"/>
      <c r="ZI705"/>
      <c r="ZJ705"/>
      <c r="ZK705"/>
      <c r="ZL705"/>
      <c r="ZM705"/>
      <c r="ZN705"/>
      <c r="ZO705"/>
      <c r="ZP705"/>
      <c r="ZQ705"/>
      <c r="ZR705"/>
      <c r="ZS705"/>
      <c r="ZT705"/>
      <c r="ZU705"/>
      <c r="ZV705"/>
      <c r="ZW705"/>
      <c r="ZX705"/>
      <c r="ZY705"/>
      <c r="ZZ705"/>
      <c r="AAA705"/>
      <c r="AAB705"/>
      <c r="AAC705"/>
      <c r="AAD705"/>
      <c r="AAE705"/>
      <c r="AAF705"/>
      <c r="AAG705"/>
      <c r="AAH705"/>
      <c r="AAI705"/>
      <c r="AAJ705"/>
      <c r="AAK705"/>
      <c r="AAL705"/>
      <c r="AAM705"/>
      <c r="AAN705"/>
      <c r="AAO705"/>
      <c r="AAP705"/>
      <c r="AAQ705"/>
      <c r="AAR705"/>
      <c r="AAS705"/>
      <c r="AAT705"/>
      <c r="AAU705"/>
      <c r="AAV705"/>
      <c r="AAW705"/>
      <c r="AAX705"/>
      <c r="AAY705"/>
      <c r="AAZ705"/>
      <c r="ABA705"/>
      <c r="ABB705"/>
      <c r="ABC705"/>
      <c r="ABD705"/>
      <c r="ABE705"/>
      <c r="ABF705"/>
      <c r="ABG705"/>
      <c r="ABH705"/>
      <c r="ABI705"/>
      <c r="ABJ705"/>
      <c r="ABK705"/>
      <c r="ABL705"/>
      <c r="ABM705"/>
      <c r="ABN705"/>
      <c r="ABO705"/>
      <c r="ABP705"/>
      <c r="ABQ705"/>
      <c r="ABR705"/>
      <c r="ABS705"/>
      <c r="ABT705"/>
      <c r="ABU705"/>
      <c r="ABV705"/>
      <c r="ABW705"/>
      <c r="ABX705"/>
      <c r="ABY705"/>
      <c r="ABZ705"/>
      <c r="ACA705"/>
      <c r="ACB705"/>
      <c r="ACC705"/>
      <c r="ACD705"/>
      <c r="ACE705"/>
      <c r="ACF705"/>
      <c r="ACG705"/>
      <c r="ACH705"/>
      <c r="ACI705"/>
      <c r="ACJ705"/>
      <c r="ACK705"/>
      <c r="ACL705"/>
      <c r="ACM705"/>
      <c r="ACN705"/>
      <c r="ACO705"/>
      <c r="ACP705"/>
      <c r="ACQ705"/>
      <c r="ACR705"/>
      <c r="ACS705"/>
      <c r="ACT705"/>
      <c r="ACU705"/>
      <c r="ACV705"/>
      <c r="ACW705"/>
      <c r="ACX705"/>
      <c r="ACY705"/>
      <c r="ACZ705"/>
      <c r="ADA705"/>
      <c r="ADB705"/>
      <c r="ADC705"/>
      <c r="ADD705"/>
      <c r="ADE705"/>
      <c r="ADF705"/>
      <c r="ADG705"/>
      <c r="ADH705"/>
      <c r="ADI705"/>
      <c r="ADJ705"/>
      <c r="ADK705"/>
      <c r="ADL705"/>
      <c r="ADM705"/>
      <c r="ADN705"/>
      <c r="ADO705"/>
      <c r="ADP705"/>
      <c r="ADQ705"/>
      <c r="ADR705"/>
      <c r="ADS705"/>
      <c r="ADT705"/>
      <c r="ADU705"/>
      <c r="ADV705"/>
      <c r="ADW705"/>
      <c r="ADX705"/>
      <c r="ADY705"/>
      <c r="ADZ705"/>
      <c r="AEA705"/>
      <c r="AEB705"/>
      <c r="AEC705"/>
      <c r="AED705"/>
      <c r="AEE705"/>
      <c r="AEF705"/>
      <c r="AEG705"/>
      <c r="AEH705"/>
      <c r="AEI705"/>
      <c r="AEJ705"/>
      <c r="AEK705"/>
      <c r="AEL705"/>
      <c r="AEM705"/>
      <c r="AEN705"/>
      <c r="AEO705"/>
      <c r="AEP705"/>
      <c r="AEQ705"/>
      <c r="AER705"/>
      <c r="AES705"/>
      <c r="AET705"/>
      <c r="AEU705"/>
      <c r="AEV705"/>
      <c r="AEW705"/>
      <c r="AEX705"/>
      <c r="AEY705"/>
      <c r="AEZ705"/>
      <c r="AFA705"/>
      <c r="AFB705"/>
      <c r="AFC705"/>
      <c r="AFD705"/>
      <c r="AFE705"/>
      <c r="AFF705"/>
      <c r="AFG705"/>
      <c r="AFH705"/>
      <c r="AFI705"/>
      <c r="AFJ705"/>
      <c r="AFK705"/>
      <c r="AFL705"/>
      <c r="AFM705"/>
      <c r="AFN705"/>
      <c r="AFO705"/>
      <c r="AFP705"/>
      <c r="AFQ705"/>
      <c r="AFR705"/>
      <c r="AFS705"/>
      <c r="AFT705"/>
      <c r="AFU705"/>
      <c r="AFV705"/>
      <c r="AFW705"/>
      <c r="AFX705"/>
      <c r="AFY705"/>
      <c r="AFZ705"/>
      <c r="AGA705"/>
      <c r="AGB705"/>
      <c r="AGC705"/>
      <c r="AGD705"/>
      <c r="AGE705"/>
      <c r="AGF705"/>
      <c r="AGG705"/>
      <c r="AGH705"/>
      <c r="AGI705"/>
      <c r="AGJ705"/>
      <c r="AGK705"/>
      <c r="AGL705"/>
      <c r="AGM705"/>
      <c r="AGN705"/>
      <c r="AGO705"/>
      <c r="AGP705"/>
      <c r="AGQ705"/>
      <c r="AGR705"/>
      <c r="AGS705"/>
      <c r="AGT705"/>
      <c r="AGU705"/>
      <c r="AGV705"/>
      <c r="AGW705"/>
      <c r="AGX705"/>
      <c r="AGY705"/>
      <c r="AGZ705"/>
      <c r="AHA705"/>
      <c r="AHB705"/>
      <c r="AHC705"/>
      <c r="AHD705"/>
      <c r="AHE705"/>
      <c r="AHF705"/>
      <c r="AHG705"/>
      <c r="AHH705"/>
      <c r="AHI705"/>
      <c r="AHJ705"/>
      <c r="AHK705"/>
      <c r="AHL705"/>
      <c r="AHM705"/>
      <c r="AHN705"/>
      <c r="AHO705"/>
      <c r="AHP705"/>
      <c r="AHQ705"/>
      <c r="AHR705"/>
      <c r="AHS705"/>
      <c r="AHT705"/>
      <c r="AHU705"/>
      <c r="AHV705"/>
      <c r="AHW705"/>
      <c r="AHX705"/>
      <c r="AHY705"/>
      <c r="AHZ705"/>
      <c r="AIA705"/>
      <c r="AIB705"/>
      <c r="AIC705"/>
      <c r="AID705"/>
      <c r="AIE705"/>
      <c r="AIF705"/>
      <c r="AIG705"/>
      <c r="AIH705"/>
      <c r="AII705"/>
      <c r="AIJ705"/>
      <c r="AIK705"/>
      <c r="AIL705"/>
      <c r="AIM705"/>
      <c r="AIN705"/>
      <c r="AIO705"/>
      <c r="AIP705"/>
      <c r="AIQ705"/>
      <c r="AIR705"/>
      <c r="AIS705"/>
      <c r="AIT705"/>
      <c r="AIU705"/>
      <c r="AIV705"/>
      <c r="AIW705"/>
      <c r="AIX705"/>
      <c r="AIY705"/>
      <c r="AIZ705"/>
      <c r="AJA705"/>
      <c r="AJB705"/>
      <c r="AJC705"/>
      <c r="AJD705"/>
      <c r="AJE705"/>
      <c r="AJF705"/>
      <c r="AJG705"/>
      <c r="AJH705"/>
      <c r="AJI705"/>
      <c r="AJJ705"/>
      <c r="AJK705"/>
      <c r="AJL705"/>
      <c r="AJM705"/>
      <c r="AJN705"/>
      <c r="AJO705"/>
      <c r="AJP705"/>
      <c r="AJQ705"/>
      <c r="AJR705"/>
      <c r="AJS705"/>
      <c r="AJT705"/>
      <c r="AJU705"/>
      <c r="AJV705"/>
      <c r="AJW705"/>
      <c r="AJX705"/>
      <c r="AJY705"/>
      <c r="AJZ705"/>
      <c r="AKA705"/>
      <c r="AKB705"/>
      <c r="AKC705"/>
      <c r="AKD705"/>
      <c r="AKE705"/>
      <c r="AKF705"/>
      <c r="AKG705"/>
      <c r="AKH705"/>
      <c r="AKI705"/>
      <c r="AKJ705"/>
      <c r="AKK705"/>
      <c r="AKL705"/>
      <c r="AKM705"/>
      <c r="AKN705"/>
      <c r="AKO705"/>
      <c r="AKP705"/>
      <c r="AKQ705"/>
      <c r="AKR705"/>
      <c r="AKS705"/>
      <c r="AKT705"/>
      <c r="AKU705"/>
      <c r="AKV705"/>
      <c r="AKW705"/>
      <c r="AKX705"/>
      <c r="AKY705"/>
      <c r="AKZ705"/>
      <c r="ALA705"/>
      <c r="ALB705"/>
      <c r="ALC705"/>
      <c r="ALD705"/>
      <c r="ALE705"/>
      <c r="ALF705"/>
      <c r="ALG705"/>
      <c r="ALH705"/>
      <c r="ALI705"/>
      <c r="ALJ705"/>
      <c r="ALK705"/>
      <c r="ALL705"/>
      <c r="ALM705"/>
      <c r="ALN705"/>
      <c r="ALO705"/>
      <c r="ALP705"/>
      <c r="ALQ705"/>
      <c r="ALR705"/>
      <c r="ALS705"/>
      <c r="ALT705"/>
      <c r="ALU705"/>
      <c r="ALV705"/>
      <c r="ALW705"/>
      <c r="ALX705"/>
      <c r="ALY705"/>
      <c r="ALZ705"/>
      <c r="AMA705"/>
      <c r="AMB705"/>
      <c r="AMC705"/>
      <c r="AMD705"/>
      <c r="AME705"/>
      <c r="AMF705"/>
      <c r="AMG705"/>
      <c r="AMH705"/>
      <c r="AMI705"/>
      <c r="AMJ705"/>
      <c r="AMK705"/>
    </row>
    <row r="706" spans="1:1025">
      <c r="A706"/>
      <c r="B706"/>
      <c r="C706"/>
      <c r="D706" s="845"/>
      <c r="E706" s="845"/>
      <c r="H706" s="379">
        <f>H705*14</f>
        <v>113114.01024</v>
      </c>
      <c r="I706" s="379">
        <f>I698*1.11</f>
        <v>346053.60000000027</v>
      </c>
      <c r="L706" s="735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  <c r="FK706"/>
      <c r="FL706"/>
      <c r="FM706"/>
      <c r="FN706"/>
      <c r="FO706"/>
      <c r="FP706"/>
      <c r="FQ706"/>
      <c r="FR706"/>
      <c r="FS706"/>
      <c r="FT706"/>
      <c r="FU706"/>
      <c r="FV706"/>
      <c r="FW706"/>
      <c r="FX706"/>
      <c r="FY706"/>
      <c r="FZ706"/>
      <c r="GA706"/>
      <c r="GB706"/>
      <c r="GC706"/>
      <c r="GD706"/>
      <c r="GE706"/>
      <c r="GF706"/>
      <c r="GG706"/>
      <c r="GH706"/>
      <c r="GI706"/>
      <c r="GJ706"/>
      <c r="GK706"/>
      <c r="GL706"/>
      <c r="GM706"/>
      <c r="GN706"/>
      <c r="GO706"/>
      <c r="GP706"/>
      <c r="GQ706"/>
      <c r="GR706"/>
      <c r="GS706"/>
      <c r="GT706"/>
      <c r="GU706"/>
      <c r="GV706"/>
      <c r="GW706"/>
      <c r="GX706"/>
      <c r="GY706"/>
      <c r="GZ706"/>
      <c r="HA706"/>
      <c r="HB706"/>
      <c r="HC706"/>
      <c r="HD706"/>
      <c r="HE706"/>
      <c r="HF706"/>
      <c r="HG706"/>
      <c r="HH706"/>
      <c r="HI706"/>
      <c r="HJ706"/>
      <c r="HK706"/>
      <c r="HL706"/>
      <c r="HM706"/>
      <c r="HN706"/>
      <c r="HO706"/>
      <c r="HP706"/>
      <c r="HQ706"/>
      <c r="HR706"/>
      <c r="HS706"/>
      <c r="HT706"/>
      <c r="HU706"/>
      <c r="HV706"/>
      <c r="HW706"/>
      <c r="HX706"/>
      <c r="HY706"/>
      <c r="HZ706"/>
      <c r="IA706"/>
      <c r="IB706"/>
      <c r="IC706"/>
      <c r="ID706"/>
      <c r="IE706"/>
      <c r="IF706"/>
      <c r="IG706"/>
      <c r="IH706"/>
      <c r="II706"/>
      <c r="IJ706"/>
      <c r="IK706"/>
      <c r="IL706"/>
      <c r="IM706"/>
      <c r="IN706"/>
      <c r="IO706"/>
      <c r="IP706"/>
      <c r="IQ706"/>
      <c r="IR706"/>
      <c r="IS706"/>
      <c r="IT706"/>
      <c r="IU706"/>
      <c r="IV706"/>
      <c r="IW706"/>
      <c r="IX706"/>
      <c r="IY706"/>
      <c r="IZ706"/>
      <c r="JA706"/>
      <c r="JB706"/>
      <c r="JC706"/>
      <c r="JD706"/>
      <c r="JE706"/>
      <c r="JF706"/>
      <c r="JG706"/>
      <c r="JH706"/>
      <c r="JI706"/>
      <c r="JJ706"/>
      <c r="JK706"/>
      <c r="JL706"/>
      <c r="JM706"/>
      <c r="JN706"/>
      <c r="JO706"/>
      <c r="JP706"/>
      <c r="JQ706"/>
      <c r="JR706"/>
      <c r="JS706"/>
      <c r="JT706"/>
      <c r="JU706"/>
      <c r="JV706"/>
      <c r="JW706"/>
      <c r="JX706"/>
      <c r="JY706"/>
      <c r="JZ706"/>
      <c r="KA706"/>
      <c r="KB706"/>
      <c r="KC706"/>
      <c r="KD706"/>
      <c r="KE706"/>
      <c r="KF706"/>
      <c r="KG706"/>
      <c r="KH706"/>
      <c r="KI706"/>
      <c r="KJ706"/>
      <c r="KK706"/>
      <c r="KL706"/>
      <c r="KM706"/>
      <c r="KN706"/>
      <c r="KO706"/>
      <c r="KP706"/>
      <c r="KQ706"/>
      <c r="KR706"/>
      <c r="KS706"/>
      <c r="KT706"/>
      <c r="KU706"/>
      <c r="KV706"/>
      <c r="KW706"/>
      <c r="KX706"/>
      <c r="KY706"/>
      <c r="KZ706"/>
      <c r="LA706"/>
      <c r="LB706"/>
      <c r="LC706"/>
      <c r="LD706"/>
      <c r="LE706"/>
      <c r="LF706"/>
      <c r="LG706"/>
      <c r="LH706"/>
      <c r="LI706"/>
      <c r="LJ706"/>
      <c r="LK706"/>
      <c r="LL706"/>
      <c r="LM706"/>
      <c r="LN706"/>
      <c r="LO706"/>
      <c r="LP706"/>
      <c r="LQ706"/>
      <c r="LR706"/>
      <c r="LS706"/>
      <c r="LT706"/>
      <c r="LU706"/>
      <c r="LV706"/>
      <c r="LW706"/>
      <c r="LX706"/>
      <c r="LY706"/>
      <c r="LZ706"/>
      <c r="MA706"/>
      <c r="MB706"/>
      <c r="MC706"/>
      <c r="MD706"/>
      <c r="ME706"/>
      <c r="MF706"/>
      <c r="MG706"/>
      <c r="MH706"/>
      <c r="MI706"/>
      <c r="MJ706"/>
      <c r="MK706"/>
      <c r="ML706"/>
      <c r="MM706"/>
      <c r="MN706"/>
      <c r="MO706"/>
      <c r="MP706"/>
      <c r="MQ706"/>
      <c r="MR706"/>
      <c r="MS706"/>
      <c r="MT706"/>
      <c r="MU706"/>
      <c r="MV706"/>
      <c r="MW706"/>
      <c r="MX706"/>
      <c r="MY706"/>
      <c r="MZ706"/>
      <c r="NA706"/>
      <c r="NB706"/>
      <c r="NC706"/>
      <c r="ND706"/>
      <c r="NE706"/>
      <c r="NF706"/>
      <c r="NG706"/>
      <c r="NH706"/>
      <c r="NI706"/>
      <c r="NJ706"/>
      <c r="NK706"/>
      <c r="NL706"/>
      <c r="NM706"/>
      <c r="NN706"/>
      <c r="NO706"/>
      <c r="NP706"/>
      <c r="NQ706"/>
      <c r="NR706"/>
      <c r="NS706"/>
      <c r="NT706"/>
      <c r="NU706"/>
      <c r="NV706"/>
      <c r="NW706"/>
      <c r="NX706"/>
      <c r="NY706"/>
      <c r="NZ706"/>
      <c r="OA706"/>
      <c r="OB706"/>
      <c r="OC706"/>
      <c r="OD706"/>
      <c r="OE706"/>
      <c r="OF706"/>
      <c r="OG706"/>
      <c r="OH706"/>
      <c r="OI706"/>
      <c r="OJ706"/>
      <c r="OK706"/>
      <c r="OL706"/>
      <c r="OM706"/>
      <c r="ON706"/>
      <c r="OO706"/>
      <c r="OP706"/>
      <c r="OQ706"/>
      <c r="OR706"/>
      <c r="OS706"/>
      <c r="OT706"/>
      <c r="OU706"/>
      <c r="OV706"/>
      <c r="OW706"/>
      <c r="OX706"/>
      <c r="OY706"/>
      <c r="OZ706"/>
      <c r="PA706"/>
      <c r="PB706"/>
      <c r="PC706"/>
      <c r="PD706"/>
      <c r="PE706"/>
      <c r="PF706"/>
      <c r="PG706"/>
      <c r="PH706"/>
      <c r="PI706"/>
      <c r="PJ706"/>
      <c r="PK706"/>
      <c r="PL706"/>
      <c r="PM706"/>
      <c r="PN706"/>
      <c r="PO706"/>
      <c r="PP706"/>
      <c r="PQ706"/>
      <c r="PR706"/>
      <c r="PS706"/>
      <c r="PT706"/>
      <c r="PU706"/>
      <c r="PV706"/>
      <c r="PW706"/>
      <c r="PX706"/>
      <c r="PY706"/>
      <c r="PZ706"/>
      <c r="QA706"/>
      <c r="QB706"/>
      <c r="QC706"/>
      <c r="QD706"/>
      <c r="QE706"/>
      <c r="QF706"/>
      <c r="QG706"/>
      <c r="QH706"/>
      <c r="QI706"/>
      <c r="QJ706"/>
      <c r="QK706"/>
      <c r="QL706"/>
      <c r="QM706"/>
      <c r="QN706"/>
      <c r="QO706"/>
      <c r="QP706"/>
      <c r="QQ706"/>
      <c r="QR706"/>
      <c r="QS706"/>
      <c r="QT706"/>
      <c r="QU706"/>
      <c r="QV706"/>
      <c r="QW706"/>
      <c r="QX706"/>
      <c r="QY706"/>
      <c r="QZ706"/>
      <c r="RA706"/>
      <c r="RB706"/>
      <c r="RC706"/>
      <c r="RD706"/>
      <c r="RE706"/>
      <c r="RF706"/>
      <c r="RG706"/>
      <c r="RH706"/>
      <c r="RI706"/>
      <c r="RJ706"/>
      <c r="RK706"/>
      <c r="RL706"/>
      <c r="RM706"/>
      <c r="RN706"/>
      <c r="RO706"/>
      <c r="RP706"/>
      <c r="RQ706"/>
      <c r="RR706"/>
      <c r="RS706"/>
      <c r="RT706"/>
      <c r="RU706"/>
      <c r="RV706"/>
      <c r="RW706"/>
      <c r="RX706"/>
      <c r="RY706"/>
      <c r="RZ706"/>
      <c r="SA706"/>
      <c r="SB706"/>
      <c r="SC706"/>
      <c r="SD706"/>
      <c r="SE706"/>
      <c r="SF706"/>
      <c r="SG706"/>
      <c r="SH706"/>
      <c r="SI706"/>
      <c r="SJ706"/>
      <c r="SK706"/>
      <c r="SL706"/>
      <c r="SM706"/>
      <c r="SN706"/>
      <c r="SO706"/>
      <c r="SP706"/>
      <c r="SQ706"/>
      <c r="SR706"/>
      <c r="SS706"/>
      <c r="ST706"/>
      <c r="SU706"/>
      <c r="SV706"/>
      <c r="SW706"/>
      <c r="SX706"/>
      <c r="SY706"/>
      <c r="SZ706"/>
      <c r="TA706"/>
      <c r="TB706"/>
      <c r="TC706"/>
      <c r="TD706"/>
      <c r="TE706"/>
      <c r="TF706"/>
      <c r="TG706"/>
      <c r="TH706"/>
      <c r="TI706"/>
      <c r="TJ706"/>
      <c r="TK706"/>
      <c r="TL706"/>
      <c r="TM706"/>
      <c r="TN706"/>
      <c r="TO706"/>
      <c r="TP706"/>
      <c r="TQ706"/>
      <c r="TR706"/>
      <c r="TS706"/>
      <c r="TT706"/>
      <c r="TU706"/>
      <c r="TV706"/>
      <c r="TW706"/>
      <c r="TX706"/>
      <c r="TY706"/>
      <c r="TZ706"/>
      <c r="UA706"/>
      <c r="UB706"/>
      <c r="UC706"/>
      <c r="UD706"/>
      <c r="UE706"/>
      <c r="UF706"/>
      <c r="UG706"/>
      <c r="UH706"/>
      <c r="UI706"/>
      <c r="UJ706"/>
      <c r="UK706"/>
      <c r="UL706"/>
      <c r="UM706"/>
      <c r="UN706"/>
      <c r="UO706"/>
      <c r="UP706"/>
      <c r="UQ706"/>
      <c r="UR706"/>
      <c r="US706"/>
      <c r="UT706"/>
      <c r="UU706"/>
      <c r="UV706"/>
      <c r="UW706"/>
      <c r="UX706"/>
      <c r="UY706"/>
      <c r="UZ706"/>
      <c r="VA706"/>
      <c r="VB706"/>
      <c r="VC706"/>
      <c r="VD706"/>
      <c r="VE706"/>
      <c r="VF706"/>
      <c r="VG706"/>
      <c r="VH706"/>
      <c r="VI706"/>
      <c r="VJ706"/>
      <c r="VK706"/>
      <c r="VL706"/>
      <c r="VM706"/>
      <c r="VN706"/>
      <c r="VO706"/>
      <c r="VP706"/>
      <c r="VQ706"/>
      <c r="VR706"/>
      <c r="VS706"/>
      <c r="VT706"/>
      <c r="VU706"/>
      <c r="VV706"/>
      <c r="VW706"/>
      <c r="VX706"/>
      <c r="VY706"/>
      <c r="VZ706"/>
      <c r="WA706"/>
      <c r="WB706"/>
      <c r="WC706"/>
      <c r="WD706"/>
      <c r="WE706"/>
      <c r="WF706"/>
      <c r="WG706"/>
      <c r="WH706"/>
      <c r="WI706"/>
      <c r="WJ706"/>
      <c r="WK706"/>
      <c r="WL706"/>
      <c r="WM706"/>
      <c r="WN706"/>
      <c r="WO706"/>
      <c r="WP706"/>
      <c r="WQ706"/>
      <c r="WR706"/>
      <c r="WS706"/>
      <c r="WT706"/>
      <c r="WU706"/>
      <c r="WV706"/>
      <c r="WW706"/>
      <c r="WX706"/>
      <c r="WY706"/>
      <c r="WZ706"/>
      <c r="XA706"/>
      <c r="XB706"/>
      <c r="XC706"/>
      <c r="XD706"/>
      <c r="XE706"/>
      <c r="XF706"/>
      <c r="XG706"/>
      <c r="XH706"/>
      <c r="XI706"/>
      <c r="XJ706"/>
      <c r="XK706"/>
      <c r="XL706"/>
      <c r="XM706"/>
      <c r="XN706"/>
      <c r="XO706"/>
      <c r="XP706"/>
      <c r="XQ706"/>
      <c r="XR706"/>
      <c r="XS706"/>
      <c r="XT706"/>
      <c r="XU706"/>
      <c r="XV706"/>
      <c r="XW706"/>
      <c r="XX706"/>
      <c r="XY706"/>
      <c r="XZ706"/>
      <c r="YA706"/>
      <c r="YB706"/>
      <c r="YC706"/>
      <c r="YD706"/>
      <c r="YE706"/>
      <c r="YF706"/>
      <c r="YG706"/>
      <c r="YH706"/>
      <c r="YI706"/>
      <c r="YJ706"/>
      <c r="YK706"/>
      <c r="YL706"/>
      <c r="YM706"/>
      <c r="YN706"/>
      <c r="YO706"/>
      <c r="YP706"/>
      <c r="YQ706"/>
      <c r="YR706"/>
      <c r="YS706"/>
      <c r="YT706"/>
      <c r="YU706"/>
      <c r="YV706"/>
      <c r="YW706"/>
      <c r="YX706"/>
      <c r="YY706"/>
      <c r="YZ706"/>
      <c r="ZA706"/>
      <c r="ZB706"/>
      <c r="ZC706"/>
      <c r="ZD706"/>
      <c r="ZE706"/>
      <c r="ZF706"/>
      <c r="ZG706"/>
      <c r="ZH706"/>
      <c r="ZI706"/>
      <c r="ZJ706"/>
      <c r="ZK706"/>
      <c r="ZL706"/>
      <c r="ZM706"/>
      <c r="ZN706"/>
      <c r="ZO706"/>
      <c r="ZP706"/>
      <c r="ZQ706"/>
      <c r="ZR706"/>
      <c r="ZS706"/>
      <c r="ZT706"/>
      <c r="ZU706"/>
      <c r="ZV706"/>
      <c r="ZW706"/>
      <c r="ZX706"/>
      <c r="ZY706"/>
      <c r="ZZ706"/>
      <c r="AAA706"/>
      <c r="AAB706"/>
      <c r="AAC706"/>
      <c r="AAD706"/>
      <c r="AAE706"/>
      <c r="AAF706"/>
      <c r="AAG706"/>
      <c r="AAH706"/>
      <c r="AAI706"/>
      <c r="AAJ706"/>
      <c r="AAK706"/>
      <c r="AAL706"/>
      <c r="AAM706"/>
      <c r="AAN706"/>
      <c r="AAO706"/>
      <c r="AAP706"/>
      <c r="AAQ706"/>
      <c r="AAR706"/>
      <c r="AAS706"/>
      <c r="AAT706"/>
      <c r="AAU706"/>
      <c r="AAV706"/>
      <c r="AAW706"/>
      <c r="AAX706"/>
      <c r="AAY706"/>
      <c r="AAZ706"/>
      <c r="ABA706"/>
      <c r="ABB706"/>
      <c r="ABC706"/>
      <c r="ABD706"/>
      <c r="ABE706"/>
      <c r="ABF706"/>
      <c r="ABG706"/>
      <c r="ABH706"/>
      <c r="ABI706"/>
      <c r="ABJ706"/>
      <c r="ABK706"/>
      <c r="ABL706"/>
      <c r="ABM706"/>
      <c r="ABN706"/>
      <c r="ABO706"/>
      <c r="ABP706"/>
      <c r="ABQ706"/>
      <c r="ABR706"/>
      <c r="ABS706"/>
      <c r="ABT706"/>
      <c r="ABU706"/>
      <c r="ABV706"/>
      <c r="ABW706"/>
      <c r="ABX706"/>
      <c r="ABY706"/>
      <c r="ABZ706"/>
      <c r="ACA706"/>
      <c r="ACB706"/>
      <c r="ACC706"/>
      <c r="ACD706"/>
      <c r="ACE706"/>
      <c r="ACF706"/>
      <c r="ACG706"/>
      <c r="ACH706"/>
      <c r="ACI706"/>
      <c r="ACJ706"/>
      <c r="ACK706"/>
      <c r="ACL706"/>
      <c r="ACM706"/>
      <c r="ACN706"/>
      <c r="ACO706"/>
      <c r="ACP706"/>
      <c r="ACQ706"/>
      <c r="ACR706"/>
      <c r="ACS706"/>
      <c r="ACT706"/>
      <c r="ACU706"/>
      <c r="ACV706"/>
      <c r="ACW706"/>
      <c r="ACX706"/>
      <c r="ACY706"/>
      <c r="ACZ706"/>
      <c r="ADA706"/>
      <c r="ADB706"/>
      <c r="ADC706"/>
      <c r="ADD706"/>
      <c r="ADE706"/>
      <c r="ADF706"/>
      <c r="ADG706"/>
      <c r="ADH706"/>
      <c r="ADI706"/>
      <c r="ADJ706"/>
      <c r="ADK706"/>
      <c r="ADL706"/>
      <c r="ADM706"/>
      <c r="ADN706"/>
      <c r="ADO706"/>
      <c r="ADP706"/>
      <c r="ADQ706"/>
      <c r="ADR706"/>
      <c r="ADS706"/>
      <c r="ADT706"/>
      <c r="ADU706"/>
      <c r="ADV706"/>
      <c r="ADW706"/>
      <c r="ADX706"/>
      <c r="ADY706"/>
      <c r="ADZ706"/>
      <c r="AEA706"/>
      <c r="AEB706"/>
      <c r="AEC706"/>
      <c r="AED706"/>
      <c r="AEE706"/>
      <c r="AEF706"/>
      <c r="AEG706"/>
      <c r="AEH706"/>
      <c r="AEI706"/>
      <c r="AEJ706"/>
      <c r="AEK706"/>
      <c r="AEL706"/>
      <c r="AEM706"/>
      <c r="AEN706"/>
      <c r="AEO706"/>
      <c r="AEP706"/>
      <c r="AEQ706"/>
      <c r="AER706"/>
      <c r="AES706"/>
      <c r="AET706"/>
      <c r="AEU706"/>
      <c r="AEV706"/>
      <c r="AEW706"/>
      <c r="AEX706"/>
      <c r="AEY706"/>
      <c r="AEZ706"/>
      <c r="AFA706"/>
      <c r="AFB706"/>
      <c r="AFC706"/>
      <c r="AFD706"/>
      <c r="AFE706"/>
      <c r="AFF706"/>
      <c r="AFG706"/>
      <c r="AFH706"/>
      <c r="AFI706"/>
      <c r="AFJ706"/>
      <c r="AFK706"/>
      <c r="AFL706"/>
      <c r="AFM706"/>
      <c r="AFN706"/>
      <c r="AFO706"/>
      <c r="AFP706"/>
      <c r="AFQ706"/>
      <c r="AFR706"/>
      <c r="AFS706"/>
      <c r="AFT706"/>
      <c r="AFU706"/>
      <c r="AFV706"/>
      <c r="AFW706"/>
      <c r="AFX706"/>
      <c r="AFY706"/>
      <c r="AFZ706"/>
      <c r="AGA706"/>
      <c r="AGB706"/>
      <c r="AGC706"/>
      <c r="AGD706"/>
      <c r="AGE706"/>
      <c r="AGF706"/>
      <c r="AGG706"/>
      <c r="AGH706"/>
      <c r="AGI706"/>
      <c r="AGJ706"/>
      <c r="AGK706"/>
      <c r="AGL706"/>
      <c r="AGM706"/>
      <c r="AGN706"/>
      <c r="AGO706"/>
      <c r="AGP706"/>
      <c r="AGQ706"/>
      <c r="AGR706"/>
      <c r="AGS706"/>
      <c r="AGT706"/>
      <c r="AGU706"/>
      <c r="AGV706"/>
      <c r="AGW706"/>
      <c r="AGX706"/>
      <c r="AGY706"/>
      <c r="AGZ706"/>
      <c r="AHA706"/>
      <c r="AHB706"/>
      <c r="AHC706"/>
      <c r="AHD706"/>
      <c r="AHE706"/>
      <c r="AHF706"/>
      <c r="AHG706"/>
      <c r="AHH706"/>
      <c r="AHI706"/>
      <c r="AHJ706"/>
      <c r="AHK706"/>
      <c r="AHL706"/>
      <c r="AHM706"/>
      <c r="AHN706"/>
      <c r="AHO706"/>
      <c r="AHP706"/>
      <c r="AHQ706"/>
      <c r="AHR706"/>
      <c r="AHS706"/>
      <c r="AHT706"/>
      <c r="AHU706"/>
      <c r="AHV706"/>
      <c r="AHW706"/>
      <c r="AHX706"/>
      <c r="AHY706"/>
      <c r="AHZ706"/>
      <c r="AIA706"/>
      <c r="AIB706"/>
      <c r="AIC706"/>
      <c r="AID706"/>
      <c r="AIE706"/>
      <c r="AIF706"/>
      <c r="AIG706"/>
      <c r="AIH706"/>
      <c r="AII706"/>
      <c r="AIJ706"/>
      <c r="AIK706"/>
      <c r="AIL706"/>
      <c r="AIM706"/>
      <c r="AIN706"/>
      <c r="AIO706"/>
      <c r="AIP706"/>
      <c r="AIQ706"/>
      <c r="AIR706"/>
      <c r="AIS706"/>
      <c r="AIT706"/>
      <c r="AIU706"/>
      <c r="AIV706"/>
      <c r="AIW706"/>
      <c r="AIX706"/>
      <c r="AIY706"/>
      <c r="AIZ706"/>
      <c r="AJA706"/>
      <c r="AJB706"/>
      <c r="AJC706"/>
      <c r="AJD706"/>
      <c r="AJE706"/>
      <c r="AJF706"/>
      <c r="AJG706"/>
      <c r="AJH706"/>
      <c r="AJI706"/>
      <c r="AJJ706"/>
      <c r="AJK706"/>
      <c r="AJL706"/>
      <c r="AJM706"/>
      <c r="AJN706"/>
      <c r="AJO706"/>
      <c r="AJP706"/>
      <c r="AJQ706"/>
      <c r="AJR706"/>
      <c r="AJS706"/>
      <c r="AJT706"/>
      <c r="AJU706"/>
      <c r="AJV706"/>
      <c r="AJW706"/>
      <c r="AJX706"/>
      <c r="AJY706"/>
      <c r="AJZ706"/>
      <c r="AKA706"/>
      <c r="AKB706"/>
      <c r="AKC706"/>
      <c r="AKD706"/>
      <c r="AKE706"/>
      <c r="AKF706"/>
      <c r="AKG706"/>
      <c r="AKH706"/>
      <c r="AKI706"/>
      <c r="AKJ706"/>
      <c r="AKK706"/>
      <c r="AKL706"/>
      <c r="AKM706"/>
      <c r="AKN706"/>
      <c r="AKO706"/>
      <c r="AKP706"/>
      <c r="AKQ706"/>
      <c r="AKR706"/>
      <c r="AKS706"/>
      <c r="AKT706"/>
      <c r="AKU706"/>
      <c r="AKV706"/>
      <c r="AKW706"/>
      <c r="AKX706"/>
      <c r="AKY706"/>
      <c r="AKZ706"/>
      <c r="ALA706"/>
      <c r="ALB706"/>
      <c r="ALC706"/>
      <c r="ALD706"/>
      <c r="ALE706"/>
      <c r="ALF706"/>
      <c r="ALG706"/>
      <c r="ALH706"/>
      <c r="ALI706"/>
      <c r="ALJ706"/>
      <c r="ALK706"/>
      <c r="ALL706"/>
      <c r="ALM706"/>
      <c r="ALN706"/>
      <c r="ALO706"/>
      <c r="ALP706"/>
      <c r="ALQ706"/>
      <c r="ALR706"/>
      <c r="ALS706"/>
      <c r="ALT706"/>
      <c r="ALU706"/>
      <c r="ALV706"/>
      <c r="ALW706"/>
      <c r="ALX706"/>
      <c r="ALY706"/>
      <c r="ALZ706"/>
      <c r="AMA706"/>
      <c r="AMB706"/>
      <c r="AMC706"/>
      <c r="AMD706"/>
      <c r="AME706"/>
      <c r="AMF706"/>
      <c r="AMG706"/>
      <c r="AMH706"/>
      <c r="AMI706"/>
      <c r="AMJ706"/>
      <c r="AMK706"/>
    </row>
    <row r="707" spans="1:1025">
      <c r="A707"/>
      <c r="B707"/>
      <c r="C707"/>
      <c r="J707" s="736">
        <f>(J704-J705)/J704</f>
        <v>8.5817693660160937E-3</v>
      </c>
      <c r="L707" s="735">
        <v>1.3702807520761799E-2</v>
      </c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  <c r="FK707"/>
      <c r="FL707"/>
      <c r="FM707"/>
      <c r="FN707"/>
      <c r="FO707"/>
      <c r="FP707"/>
      <c r="FQ707"/>
      <c r="FR707"/>
      <c r="FS707"/>
      <c r="FT707"/>
      <c r="FU707"/>
      <c r="FV707"/>
      <c r="FW707"/>
      <c r="FX707"/>
      <c r="FY707"/>
      <c r="FZ707"/>
      <c r="GA707"/>
      <c r="GB707"/>
      <c r="GC707"/>
      <c r="GD707"/>
      <c r="GE707"/>
      <c r="GF707"/>
      <c r="GG707"/>
      <c r="GH707"/>
      <c r="GI707"/>
      <c r="GJ707"/>
      <c r="GK707"/>
      <c r="GL707"/>
      <c r="GM707"/>
      <c r="GN707"/>
      <c r="GO707"/>
      <c r="GP707"/>
      <c r="GQ707"/>
      <c r="GR707"/>
      <c r="GS707"/>
      <c r="GT707"/>
      <c r="GU707"/>
      <c r="GV707"/>
      <c r="GW707"/>
      <c r="GX707"/>
      <c r="GY707"/>
      <c r="GZ707"/>
      <c r="HA707"/>
      <c r="HB707"/>
      <c r="HC707"/>
      <c r="HD707"/>
      <c r="HE707"/>
      <c r="HF707"/>
      <c r="HG707"/>
      <c r="HH707"/>
      <c r="HI707"/>
      <c r="HJ707"/>
      <c r="HK707"/>
      <c r="HL707"/>
      <c r="HM707"/>
      <c r="HN707"/>
      <c r="HO707"/>
      <c r="HP707"/>
      <c r="HQ707"/>
      <c r="HR707"/>
      <c r="HS707"/>
      <c r="HT707"/>
      <c r="HU707"/>
      <c r="HV707"/>
      <c r="HW707"/>
      <c r="HX707"/>
      <c r="HY707"/>
      <c r="HZ707"/>
      <c r="IA707"/>
      <c r="IB707"/>
      <c r="IC707"/>
      <c r="ID707"/>
      <c r="IE707"/>
      <c r="IF707"/>
      <c r="IG707"/>
      <c r="IH707"/>
      <c r="II707"/>
      <c r="IJ707"/>
      <c r="IK707"/>
      <c r="IL707"/>
      <c r="IM707"/>
      <c r="IN707"/>
      <c r="IO707"/>
      <c r="IP707"/>
      <c r="IQ707"/>
      <c r="IR707"/>
      <c r="IS707"/>
      <c r="IT707"/>
      <c r="IU707"/>
      <c r="IV707"/>
      <c r="IW707"/>
      <c r="IX707"/>
      <c r="IY707"/>
      <c r="IZ707"/>
      <c r="JA707"/>
      <c r="JB707"/>
      <c r="JC707"/>
      <c r="JD707"/>
      <c r="JE707"/>
      <c r="JF707"/>
      <c r="JG707"/>
      <c r="JH707"/>
      <c r="JI707"/>
      <c r="JJ707"/>
      <c r="JK707"/>
      <c r="JL707"/>
      <c r="JM707"/>
      <c r="JN707"/>
      <c r="JO707"/>
      <c r="JP707"/>
      <c r="JQ707"/>
      <c r="JR707"/>
      <c r="JS707"/>
      <c r="JT707"/>
      <c r="JU707"/>
      <c r="JV707"/>
      <c r="JW707"/>
      <c r="JX707"/>
      <c r="JY707"/>
      <c r="JZ707"/>
      <c r="KA707"/>
      <c r="KB707"/>
      <c r="KC707"/>
      <c r="KD707"/>
      <c r="KE707"/>
      <c r="KF707"/>
      <c r="KG707"/>
      <c r="KH707"/>
      <c r="KI707"/>
      <c r="KJ707"/>
      <c r="KK707"/>
      <c r="KL707"/>
      <c r="KM707"/>
      <c r="KN707"/>
      <c r="KO707"/>
      <c r="KP707"/>
      <c r="KQ707"/>
      <c r="KR707"/>
      <c r="KS707"/>
      <c r="KT707"/>
      <c r="KU707"/>
      <c r="KV707"/>
      <c r="KW707"/>
      <c r="KX707"/>
      <c r="KY707"/>
      <c r="KZ707"/>
      <c r="LA707"/>
      <c r="LB707"/>
      <c r="LC707"/>
      <c r="LD707"/>
      <c r="LE707"/>
      <c r="LF707"/>
      <c r="LG707"/>
      <c r="LH707"/>
      <c r="LI707"/>
      <c r="LJ707"/>
      <c r="LK707"/>
      <c r="LL707"/>
      <c r="LM707"/>
      <c r="LN707"/>
      <c r="LO707"/>
      <c r="LP707"/>
      <c r="LQ707"/>
      <c r="LR707"/>
      <c r="LS707"/>
      <c r="LT707"/>
      <c r="LU707"/>
      <c r="LV707"/>
      <c r="LW707"/>
      <c r="LX707"/>
      <c r="LY707"/>
      <c r="LZ707"/>
      <c r="MA707"/>
      <c r="MB707"/>
      <c r="MC707"/>
      <c r="MD707"/>
      <c r="ME707"/>
      <c r="MF707"/>
      <c r="MG707"/>
      <c r="MH707"/>
      <c r="MI707"/>
      <c r="MJ707"/>
      <c r="MK707"/>
      <c r="ML707"/>
      <c r="MM707"/>
      <c r="MN707"/>
      <c r="MO707"/>
      <c r="MP707"/>
      <c r="MQ707"/>
      <c r="MR707"/>
      <c r="MS707"/>
      <c r="MT707"/>
      <c r="MU707"/>
      <c r="MV707"/>
      <c r="MW707"/>
      <c r="MX707"/>
      <c r="MY707"/>
      <c r="MZ707"/>
      <c r="NA707"/>
      <c r="NB707"/>
      <c r="NC707"/>
      <c r="ND707"/>
      <c r="NE707"/>
      <c r="NF707"/>
      <c r="NG707"/>
      <c r="NH707"/>
      <c r="NI707"/>
      <c r="NJ707"/>
      <c r="NK707"/>
      <c r="NL707"/>
      <c r="NM707"/>
      <c r="NN707"/>
      <c r="NO707"/>
      <c r="NP707"/>
      <c r="NQ707"/>
      <c r="NR707"/>
      <c r="NS707"/>
      <c r="NT707"/>
      <c r="NU707"/>
      <c r="NV707"/>
      <c r="NW707"/>
      <c r="NX707"/>
      <c r="NY707"/>
      <c r="NZ707"/>
      <c r="OA707"/>
      <c r="OB707"/>
      <c r="OC707"/>
      <c r="OD707"/>
      <c r="OE707"/>
      <c r="OF707"/>
      <c r="OG707"/>
      <c r="OH707"/>
      <c r="OI707"/>
      <c r="OJ707"/>
      <c r="OK707"/>
      <c r="OL707"/>
      <c r="OM707"/>
      <c r="ON707"/>
      <c r="OO707"/>
      <c r="OP707"/>
      <c r="OQ707"/>
      <c r="OR707"/>
      <c r="OS707"/>
      <c r="OT707"/>
      <c r="OU707"/>
      <c r="OV707"/>
      <c r="OW707"/>
      <c r="OX707"/>
      <c r="OY707"/>
      <c r="OZ707"/>
      <c r="PA707"/>
      <c r="PB707"/>
      <c r="PC707"/>
      <c r="PD707"/>
      <c r="PE707"/>
      <c r="PF707"/>
      <c r="PG707"/>
      <c r="PH707"/>
      <c r="PI707"/>
      <c r="PJ707"/>
      <c r="PK707"/>
      <c r="PL707"/>
      <c r="PM707"/>
      <c r="PN707"/>
      <c r="PO707"/>
      <c r="PP707"/>
      <c r="PQ707"/>
      <c r="PR707"/>
      <c r="PS707"/>
      <c r="PT707"/>
      <c r="PU707"/>
      <c r="PV707"/>
      <c r="PW707"/>
      <c r="PX707"/>
      <c r="PY707"/>
      <c r="PZ707"/>
      <c r="QA707"/>
      <c r="QB707"/>
      <c r="QC707"/>
      <c r="QD707"/>
      <c r="QE707"/>
      <c r="QF707"/>
      <c r="QG707"/>
      <c r="QH707"/>
      <c r="QI707"/>
      <c r="QJ707"/>
      <c r="QK707"/>
      <c r="QL707"/>
      <c r="QM707"/>
      <c r="QN707"/>
      <c r="QO707"/>
      <c r="QP707"/>
      <c r="QQ707"/>
      <c r="QR707"/>
      <c r="QS707"/>
      <c r="QT707"/>
      <c r="QU707"/>
      <c r="QV707"/>
      <c r="QW707"/>
      <c r="QX707"/>
      <c r="QY707"/>
      <c r="QZ707"/>
      <c r="RA707"/>
      <c r="RB707"/>
      <c r="RC707"/>
      <c r="RD707"/>
      <c r="RE707"/>
      <c r="RF707"/>
      <c r="RG707"/>
      <c r="RH707"/>
      <c r="RI707"/>
      <c r="RJ707"/>
      <c r="RK707"/>
      <c r="RL707"/>
      <c r="RM707"/>
      <c r="RN707"/>
      <c r="RO707"/>
      <c r="RP707"/>
      <c r="RQ707"/>
      <c r="RR707"/>
      <c r="RS707"/>
      <c r="RT707"/>
      <c r="RU707"/>
      <c r="RV707"/>
      <c r="RW707"/>
      <c r="RX707"/>
      <c r="RY707"/>
      <c r="RZ707"/>
      <c r="SA707"/>
      <c r="SB707"/>
      <c r="SC707"/>
      <c r="SD707"/>
      <c r="SE707"/>
      <c r="SF707"/>
      <c r="SG707"/>
      <c r="SH707"/>
      <c r="SI707"/>
      <c r="SJ707"/>
      <c r="SK707"/>
      <c r="SL707"/>
      <c r="SM707"/>
      <c r="SN707"/>
      <c r="SO707"/>
      <c r="SP707"/>
      <c r="SQ707"/>
      <c r="SR707"/>
      <c r="SS707"/>
      <c r="ST707"/>
      <c r="SU707"/>
      <c r="SV707"/>
      <c r="SW707"/>
      <c r="SX707"/>
      <c r="SY707"/>
      <c r="SZ707"/>
      <c r="TA707"/>
      <c r="TB707"/>
      <c r="TC707"/>
      <c r="TD707"/>
      <c r="TE707"/>
      <c r="TF707"/>
      <c r="TG707"/>
      <c r="TH707"/>
      <c r="TI707"/>
      <c r="TJ707"/>
      <c r="TK707"/>
      <c r="TL707"/>
      <c r="TM707"/>
      <c r="TN707"/>
      <c r="TO707"/>
      <c r="TP707"/>
      <c r="TQ707"/>
      <c r="TR707"/>
      <c r="TS707"/>
      <c r="TT707"/>
      <c r="TU707"/>
      <c r="TV707"/>
      <c r="TW707"/>
      <c r="TX707"/>
      <c r="TY707"/>
      <c r="TZ707"/>
      <c r="UA707"/>
      <c r="UB707"/>
      <c r="UC707"/>
      <c r="UD707"/>
      <c r="UE707"/>
      <c r="UF707"/>
      <c r="UG707"/>
      <c r="UH707"/>
      <c r="UI707"/>
      <c r="UJ707"/>
      <c r="UK707"/>
      <c r="UL707"/>
      <c r="UM707"/>
      <c r="UN707"/>
      <c r="UO707"/>
      <c r="UP707"/>
      <c r="UQ707"/>
      <c r="UR707"/>
      <c r="US707"/>
      <c r="UT707"/>
      <c r="UU707"/>
      <c r="UV707"/>
      <c r="UW707"/>
      <c r="UX707"/>
      <c r="UY707"/>
      <c r="UZ707"/>
      <c r="VA707"/>
      <c r="VB707"/>
      <c r="VC707"/>
      <c r="VD707"/>
      <c r="VE707"/>
      <c r="VF707"/>
      <c r="VG707"/>
      <c r="VH707"/>
      <c r="VI707"/>
      <c r="VJ707"/>
      <c r="VK707"/>
      <c r="VL707"/>
      <c r="VM707"/>
      <c r="VN707"/>
      <c r="VO707"/>
      <c r="VP707"/>
      <c r="VQ707"/>
      <c r="VR707"/>
      <c r="VS707"/>
      <c r="VT707"/>
      <c r="VU707"/>
      <c r="VV707"/>
      <c r="VW707"/>
      <c r="VX707"/>
      <c r="VY707"/>
      <c r="VZ707"/>
      <c r="WA707"/>
      <c r="WB707"/>
      <c r="WC707"/>
      <c r="WD707"/>
      <c r="WE707"/>
      <c r="WF707"/>
      <c r="WG707"/>
      <c r="WH707"/>
      <c r="WI707"/>
      <c r="WJ707"/>
      <c r="WK707"/>
      <c r="WL707"/>
      <c r="WM707"/>
      <c r="WN707"/>
      <c r="WO707"/>
      <c r="WP707"/>
      <c r="WQ707"/>
      <c r="WR707"/>
      <c r="WS707"/>
      <c r="WT707"/>
      <c r="WU707"/>
      <c r="WV707"/>
      <c r="WW707"/>
      <c r="WX707"/>
      <c r="WY707"/>
      <c r="WZ707"/>
      <c r="XA707"/>
      <c r="XB707"/>
      <c r="XC707"/>
      <c r="XD707"/>
      <c r="XE707"/>
      <c r="XF707"/>
      <c r="XG707"/>
      <c r="XH707"/>
      <c r="XI707"/>
      <c r="XJ707"/>
      <c r="XK707"/>
      <c r="XL707"/>
      <c r="XM707"/>
      <c r="XN707"/>
      <c r="XO707"/>
      <c r="XP707"/>
      <c r="XQ707"/>
      <c r="XR707"/>
      <c r="XS707"/>
      <c r="XT707"/>
      <c r="XU707"/>
      <c r="XV707"/>
      <c r="XW707"/>
      <c r="XX707"/>
      <c r="XY707"/>
      <c r="XZ707"/>
      <c r="YA707"/>
      <c r="YB707"/>
      <c r="YC707"/>
      <c r="YD707"/>
      <c r="YE707"/>
      <c r="YF707"/>
      <c r="YG707"/>
      <c r="YH707"/>
      <c r="YI707"/>
      <c r="YJ707"/>
      <c r="YK707"/>
      <c r="YL707"/>
      <c r="YM707"/>
      <c r="YN707"/>
      <c r="YO707"/>
      <c r="YP707"/>
      <c r="YQ707"/>
      <c r="YR707"/>
      <c r="YS707"/>
      <c r="YT707"/>
      <c r="YU707"/>
      <c r="YV707"/>
      <c r="YW707"/>
      <c r="YX707"/>
      <c r="YY707"/>
      <c r="YZ707"/>
      <c r="ZA707"/>
      <c r="ZB707"/>
      <c r="ZC707"/>
      <c r="ZD707"/>
      <c r="ZE707"/>
      <c r="ZF707"/>
      <c r="ZG707"/>
      <c r="ZH707"/>
      <c r="ZI707"/>
      <c r="ZJ707"/>
      <c r="ZK707"/>
      <c r="ZL707"/>
      <c r="ZM707"/>
      <c r="ZN707"/>
      <c r="ZO707"/>
      <c r="ZP707"/>
      <c r="ZQ707"/>
      <c r="ZR707"/>
      <c r="ZS707"/>
      <c r="ZT707"/>
      <c r="ZU707"/>
      <c r="ZV707"/>
      <c r="ZW707"/>
      <c r="ZX707"/>
      <c r="ZY707"/>
      <c r="ZZ707"/>
      <c r="AAA707"/>
      <c r="AAB707"/>
      <c r="AAC707"/>
      <c r="AAD707"/>
      <c r="AAE707"/>
      <c r="AAF707"/>
      <c r="AAG707"/>
      <c r="AAH707"/>
      <c r="AAI707"/>
      <c r="AAJ707"/>
      <c r="AAK707"/>
      <c r="AAL707"/>
      <c r="AAM707"/>
      <c r="AAN707"/>
      <c r="AAO707"/>
      <c r="AAP707"/>
      <c r="AAQ707"/>
      <c r="AAR707"/>
      <c r="AAS707"/>
      <c r="AAT707"/>
      <c r="AAU707"/>
      <c r="AAV707"/>
      <c r="AAW707"/>
      <c r="AAX707"/>
      <c r="AAY707"/>
      <c r="AAZ707"/>
      <c r="ABA707"/>
      <c r="ABB707"/>
      <c r="ABC707"/>
      <c r="ABD707"/>
      <c r="ABE707"/>
      <c r="ABF707"/>
      <c r="ABG707"/>
      <c r="ABH707"/>
      <c r="ABI707"/>
      <c r="ABJ707"/>
      <c r="ABK707"/>
      <c r="ABL707"/>
      <c r="ABM707"/>
      <c r="ABN707"/>
      <c r="ABO707"/>
      <c r="ABP707"/>
      <c r="ABQ707"/>
      <c r="ABR707"/>
      <c r="ABS707"/>
      <c r="ABT707"/>
      <c r="ABU707"/>
      <c r="ABV707"/>
      <c r="ABW707"/>
      <c r="ABX707"/>
      <c r="ABY707"/>
      <c r="ABZ707"/>
      <c r="ACA707"/>
      <c r="ACB707"/>
      <c r="ACC707"/>
      <c r="ACD707"/>
      <c r="ACE707"/>
      <c r="ACF707"/>
      <c r="ACG707"/>
      <c r="ACH707"/>
      <c r="ACI707"/>
      <c r="ACJ707"/>
      <c r="ACK707"/>
      <c r="ACL707"/>
      <c r="ACM707"/>
      <c r="ACN707"/>
      <c r="ACO707"/>
      <c r="ACP707"/>
      <c r="ACQ707"/>
      <c r="ACR707"/>
      <c r="ACS707"/>
      <c r="ACT707"/>
      <c r="ACU707"/>
      <c r="ACV707"/>
      <c r="ACW707"/>
      <c r="ACX707"/>
      <c r="ACY707"/>
      <c r="ACZ707"/>
      <c r="ADA707"/>
      <c r="ADB707"/>
      <c r="ADC707"/>
      <c r="ADD707"/>
      <c r="ADE707"/>
      <c r="ADF707"/>
      <c r="ADG707"/>
      <c r="ADH707"/>
      <c r="ADI707"/>
      <c r="ADJ707"/>
      <c r="ADK707"/>
      <c r="ADL707"/>
      <c r="ADM707"/>
      <c r="ADN707"/>
      <c r="ADO707"/>
      <c r="ADP707"/>
      <c r="ADQ707"/>
      <c r="ADR707"/>
      <c r="ADS707"/>
      <c r="ADT707"/>
      <c r="ADU707"/>
      <c r="ADV707"/>
      <c r="ADW707"/>
      <c r="ADX707"/>
      <c r="ADY707"/>
      <c r="ADZ707"/>
      <c r="AEA707"/>
      <c r="AEB707"/>
      <c r="AEC707"/>
      <c r="AED707"/>
      <c r="AEE707"/>
      <c r="AEF707"/>
      <c r="AEG707"/>
      <c r="AEH707"/>
      <c r="AEI707"/>
      <c r="AEJ707"/>
      <c r="AEK707"/>
      <c r="AEL707"/>
      <c r="AEM707"/>
      <c r="AEN707"/>
      <c r="AEO707"/>
      <c r="AEP707"/>
      <c r="AEQ707"/>
      <c r="AER707"/>
      <c r="AES707"/>
      <c r="AET707"/>
      <c r="AEU707"/>
      <c r="AEV707"/>
      <c r="AEW707"/>
      <c r="AEX707"/>
      <c r="AEY707"/>
      <c r="AEZ707"/>
      <c r="AFA707"/>
      <c r="AFB707"/>
      <c r="AFC707"/>
      <c r="AFD707"/>
      <c r="AFE707"/>
      <c r="AFF707"/>
      <c r="AFG707"/>
      <c r="AFH707"/>
      <c r="AFI707"/>
      <c r="AFJ707"/>
      <c r="AFK707"/>
      <c r="AFL707"/>
      <c r="AFM707"/>
      <c r="AFN707"/>
      <c r="AFO707"/>
      <c r="AFP707"/>
      <c r="AFQ707"/>
      <c r="AFR707"/>
      <c r="AFS707"/>
      <c r="AFT707"/>
      <c r="AFU707"/>
      <c r="AFV707"/>
      <c r="AFW707"/>
      <c r="AFX707"/>
      <c r="AFY707"/>
      <c r="AFZ707"/>
      <c r="AGA707"/>
      <c r="AGB707"/>
      <c r="AGC707"/>
      <c r="AGD707"/>
      <c r="AGE707"/>
      <c r="AGF707"/>
      <c r="AGG707"/>
      <c r="AGH707"/>
      <c r="AGI707"/>
      <c r="AGJ707"/>
      <c r="AGK707"/>
      <c r="AGL707"/>
      <c r="AGM707"/>
      <c r="AGN707"/>
      <c r="AGO707"/>
      <c r="AGP707"/>
      <c r="AGQ707"/>
      <c r="AGR707"/>
      <c r="AGS707"/>
      <c r="AGT707"/>
      <c r="AGU707"/>
      <c r="AGV707"/>
      <c r="AGW707"/>
      <c r="AGX707"/>
      <c r="AGY707"/>
      <c r="AGZ707"/>
      <c r="AHA707"/>
      <c r="AHB707"/>
      <c r="AHC707"/>
      <c r="AHD707"/>
      <c r="AHE707"/>
      <c r="AHF707"/>
      <c r="AHG707"/>
      <c r="AHH707"/>
      <c r="AHI707"/>
      <c r="AHJ707"/>
      <c r="AHK707"/>
      <c r="AHL707"/>
      <c r="AHM707"/>
      <c r="AHN707"/>
      <c r="AHO707"/>
      <c r="AHP707"/>
      <c r="AHQ707"/>
      <c r="AHR707"/>
      <c r="AHS707"/>
      <c r="AHT707"/>
      <c r="AHU707"/>
      <c r="AHV707"/>
      <c r="AHW707"/>
      <c r="AHX707"/>
      <c r="AHY707"/>
      <c r="AHZ707"/>
      <c r="AIA707"/>
      <c r="AIB707"/>
      <c r="AIC707"/>
      <c r="AID707"/>
      <c r="AIE707"/>
      <c r="AIF707"/>
      <c r="AIG707"/>
      <c r="AIH707"/>
      <c r="AII707"/>
      <c r="AIJ707"/>
      <c r="AIK707"/>
      <c r="AIL707"/>
      <c r="AIM707"/>
      <c r="AIN707"/>
      <c r="AIO707"/>
      <c r="AIP707"/>
      <c r="AIQ707"/>
      <c r="AIR707"/>
      <c r="AIS707"/>
      <c r="AIT707"/>
      <c r="AIU707"/>
      <c r="AIV707"/>
      <c r="AIW707"/>
      <c r="AIX707"/>
      <c r="AIY707"/>
      <c r="AIZ707"/>
      <c r="AJA707"/>
      <c r="AJB707"/>
      <c r="AJC707"/>
      <c r="AJD707"/>
      <c r="AJE707"/>
      <c r="AJF707"/>
      <c r="AJG707"/>
      <c r="AJH707"/>
      <c r="AJI707"/>
      <c r="AJJ707"/>
      <c r="AJK707"/>
      <c r="AJL707"/>
      <c r="AJM707"/>
      <c r="AJN707"/>
      <c r="AJO707"/>
      <c r="AJP707"/>
      <c r="AJQ707"/>
      <c r="AJR707"/>
      <c r="AJS707"/>
      <c r="AJT707"/>
      <c r="AJU707"/>
      <c r="AJV707"/>
      <c r="AJW707"/>
      <c r="AJX707"/>
      <c r="AJY707"/>
      <c r="AJZ707"/>
      <c r="AKA707"/>
      <c r="AKB707"/>
      <c r="AKC707"/>
      <c r="AKD707"/>
      <c r="AKE707"/>
      <c r="AKF707"/>
      <c r="AKG707"/>
      <c r="AKH707"/>
      <c r="AKI707"/>
      <c r="AKJ707"/>
      <c r="AKK707"/>
      <c r="AKL707"/>
      <c r="AKM707"/>
      <c r="AKN707"/>
      <c r="AKO707"/>
      <c r="AKP707"/>
      <c r="AKQ707"/>
      <c r="AKR707"/>
      <c r="AKS707"/>
      <c r="AKT707"/>
      <c r="AKU707"/>
      <c r="AKV707"/>
      <c r="AKW707"/>
      <c r="AKX707"/>
      <c r="AKY707"/>
      <c r="AKZ707"/>
      <c r="ALA707"/>
      <c r="ALB707"/>
      <c r="ALC707"/>
      <c r="ALD707"/>
      <c r="ALE707"/>
      <c r="ALF707"/>
      <c r="ALG707"/>
      <c r="ALH707"/>
      <c r="ALI707"/>
      <c r="ALJ707"/>
      <c r="ALK707"/>
      <c r="ALL707"/>
      <c r="ALM707"/>
      <c r="ALN707"/>
      <c r="ALO707"/>
      <c r="ALP707"/>
      <c r="ALQ707"/>
      <c r="ALR707"/>
      <c r="ALS707"/>
      <c r="ALT707"/>
      <c r="ALU707"/>
      <c r="ALV707"/>
      <c r="ALW707"/>
      <c r="ALX707"/>
      <c r="ALY707"/>
      <c r="ALZ707"/>
      <c r="AMA707"/>
      <c r="AMB707"/>
      <c r="AMC707"/>
      <c r="AMD707"/>
      <c r="AME707"/>
      <c r="AMF707"/>
      <c r="AMG707"/>
      <c r="AMH707"/>
      <c r="AMI707"/>
      <c r="AMJ707"/>
      <c r="AMK707"/>
    </row>
    <row r="708" spans="1:1025" s="379" customFormat="1">
      <c r="J708" s="379">
        <f>J707*100</f>
        <v>0.85817693660160932</v>
      </c>
      <c r="L708" s="735">
        <v>1.3702807520761799</v>
      </c>
    </row>
    <row r="709" spans="1:1025" s="379" customFormat="1">
      <c r="L709" s="735"/>
    </row>
    <row r="710" spans="1:1025" s="379" customFormat="1">
      <c r="J710" s="743">
        <f>(J704-J705)/J704</f>
        <v>8.5817693660160937E-3</v>
      </c>
      <c r="L710" s="735">
        <v>1.3702807520761799E-2</v>
      </c>
    </row>
    <row r="711" spans="1:1025" s="379" customFormat="1">
      <c r="J711" s="765">
        <f>J705-'T&amp;D'!F309</f>
        <v>-3102014.9680000097</v>
      </c>
      <c r="L711" s="735">
        <v>-1230813.56072402</v>
      </c>
    </row>
    <row r="712" spans="1:1025" s="379" customFormat="1">
      <c r="D712" s="379">
        <v>2987999.99999998</v>
      </c>
      <c r="E712" s="379">
        <v>2987999.99999998</v>
      </c>
      <c r="L712" s="735"/>
    </row>
    <row r="713" spans="1:1025" s="379" customFormat="1">
      <c r="L713" s="735"/>
    </row>
    <row r="714" spans="1:1025" s="379" customFormat="1">
      <c r="L714" s="735"/>
    </row>
    <row r="715" spans="1:1025" s="379" customFormat="1">
      <c r="D715" s="765">
        <f>I671+I58</f>
        <v>0</v>
      </c>
      <c r="E715" s="765">
        <f>J671+J58</f>
        <v>4340879.9999999832</v>
      </c>
    </row>
    <row r="716" spans="1:1025" s="379" customFormat="1">
      <c r="D716" s="765">
        <f>D712-D715</f>
        <v>2987999.99999998</v>
      </c>
      <c r="E716" s="765">
        <f>E712-E715</f>
        <v>-1352880.0000000033</v>
      </c>
    </row>
    <row r="719" spans="1:1025">
      <c r="A719"/>
      <c r="B719"/>
      <c r="C719"/>
      <c r="J719" s="765">
        <v>111219831.8</v>
      </c>
      <c r="L719" s="379">
        <v>111219831.8</v>
      </c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  <c r="FK719"/>
      <c r="FL719"/>
      <c r="FM719"/>
      <c r="FN719"/>
      <c r="FO719"/>
      <c r="FP719"/>
      <c r="FQ719"/>
      <c r="FR719"/>
      <c r="FS719"/>
      <c r="FT719"/>
      <c r="FU719"/>
      <c r="FV719"/>
      <c r="FW719"/>
      <c r="FX719"/>
      <c r="FY719"/>
      <c r="FZ719"/>
      <c r="GA719"/>
      <c r="GB719"/>
      <c r="GC719"/>
      <c r="GD719"/>
      <c r="GE719"/>
      <c r="GF719"/>
      <c r="GG719"/>
      <c r="GH719"/>
      <c r="GI719"/>
      <c r="GJ719"/>
      <c r="GK719"/>
      <c r="GL719"/>
      <c r="GM719"/>
      <c r="GN719"/>
      <c r="GO719"/>
      <c r="GP719"/>
      <c r="GQ719"/>
      <c r="GR719"/>
      <c r="GS719"/>
      <c r="GT719"/>
      <c r="GU719"/>
      <c r="GV719"/>
      <c r="GW719"/>
      <c r="GX719"/>
      <c r="GY719"/>
      <c r="GZ719"/>
      <c r="HA719"/>
      <c r="HB719"/>
      <c r="HC719"/>
      <c r="HD719"/>
      <c r="HE719"/>
      <c r="HF719"/>
      <c r="HG719"/>
      <c r="HH719"/>
      <c r="HI719"/>
      <c r="HJ719"/>
      <c r="HK719"/>
      <c r="HL719"/>
      <c r="HM719"/>
      <c r="HN719"/>
      <c r="HO719"/>
      <c r="HP719"/>
      <c r="HQ719"/>
      <c r="HR719"/>
      <c r="HS719"/>
      <c r="HT719"/>
      <c r="HU719"/>
      <c r="HV719"/>
      <c r="HW719"/>
      <c r="HX719"/>
      <c r="HY719"/>
      <c r="HZ719"/>
      <c r="IA719"/>
      <c r="IB719"/>
      <c r="IC719"/>
      <c r="ID719"/>
      <c r="IE719"/>
      <c r="IF719"/>
      <c r="IG719"/>
      <c r="IH719"/>
      <c r="II719"/>
      <c r="IJ719"/>
      <c r="IK719"/>
      <c r="IL719"/>
      <c r="IM719"/>
      <c r="IN719"/>
      <c r="IO719"/>
      <c r="IP719"/>
      <c r="IQ719"/>
      <c r="IR719"/>
      <c r="IS719"/>
      <c r="IT719"/>
      <c r="IU719"/>
      <c r="IV719"/>
      <c r="IW719"/>
      <c r="IX719"/>
      <c r="IY719"/>
      <c r="IZ719"/>
      <c r="JA719"/>
      <c r="JB719"/>
      <c r="JC719"/>
      <c r="JD719"/>
      <c r="JE719"/>
      <c r="JF719"/>
      <c r="JG719"/>
      <c r="JH719"/>
      <c r="JI719"/>
      <c r="JJ719"/>
      <c r="JK719"/>
      <c r="JL719"/>
      <c r="JM719"/>
      <c r="JN719"/>
      <c r="JO719"/>
      <c r="JP719"/>
      <c r="JQ719"/>
      <c r="JR719"/>
      <c r="JS719"/>
      <c r="JT719"/>
      <c r="JU719"/>
      <c r="JV719"/>
      <c r="JW719"/>
      <c r="JX719"/>
      <c r="JY719"/>
      <c r="JZ719"/>
      <c r="KA719"/>
      <c r="KB719"/>
      <c r="KC719"/>
      <c r="KD719"/>
      <c r="KE719"/>
      <c r="KF719"/>
      <c r="KG719"/>
      <c r="KH719"/>
      <c r="KI719"/>
      <c r="KJ719"/>
      <c r="KK719"/>
      <c r="KL719"/>
      <c r="KM719"/>
      <c r="KN719"/>
      <c r="KO719"/>
      <c r="KP719"/>
      <c r="KQ719"/>
      <c r="KR719"/>
      <c r="KS719"/>
      <c r="KT719"/>
      <c r="KU719"/>
      <c r="KV719"/>
      <c r="KW719"/>
      <c r="KX719"/>
      <c r="KY719"/>
      <c r="KZ719"/>
      <c r="LA719"/>
      <c r="LB719"/>
      <c r="LC719"/>
      <c r="LD719"/>
      <c r="LE719"/>
      <c r="LF719"/>
      <c r="LG719"/>
      <c r="LH719"/>
      <c r="LI719"/>
      <c r="LJ719"/>
      <c r="LK719"/>
      <c r="LL719"/>
      <c r="LM719"/>
      <c r="LN719"/>
      <c r="LO719"/>
      <c r="LP719"/>
      <c r="LQ719"/>
      <c r="LR719"/>
      <c r="LS719"/>
      <c r="LT719"/>
      <c r="LU719"/>
      <c r="LV719"/>
      <c r="LW719"/>
      <c r="LX719"/>
      <c r="LY719"/>
      <c r="LZ719"/>
      <c r="MA719"/>
      <c r="MB719"/>
      <c r="MC719"/>
      <c r="MD719"/>
      <c r="ME719"/>
      <c r="MF719"/>
      <c r="MG719"/>
      <c r="MH719"/>
      <c r="MI719"/>
      <c r="MJ719"/>
      <c r="MK719"/>
      <c r="ML719"/>
      <c r="MM719"/>
      <c r="MN719"/>
      <c r="MO719"/>
      <c r="MP719"/>
      <c r="MQ719"/>
      <c r="MR719"/>
      <c r="MS719"/>
      <c r="MT719"/>
      <c r="MU719"/>
      <c r="MV719"/>
      <c r="MW719"/>
      <c r="MX719"/>
      <c r="MY719"/>
      <c r="MZ719"/>
      <c r="NA719"/>
      <c r="NB719"/>
      <c r="NC719"/>
      <c r="ND719"/>
      <c r="NE719"/>
      <c r="NF719"/>
      <c r="NG719"/>
      <c r="NH719"/>
      <c r="NI719"/>
      <c r="NJ719"/>
      <c r="NK719"/>
      <c r="NL719"/>
      <c r="NM719"/>
      <c r="NN719"/>
      <c r="NO719"/>
      <c r="NP719"/>
      <c r="NQ719"/>
      <c r="NR719"/>
      <c r="NS719"/>
      <c r="NT719"/>
      <c r="NU719"/>
      <c r="NV719"/>
      <c r="NW719"/>
      <c r="NX719"/>
      <c r="NY719"/>
      <c r="NZ719"/>
      <c r="OA719"/>
      <c r="OB719"/>
      <c r="OC719"/>
      <c r="OD719"/>
      <c r="OE719"/>
      <c r="OF719"/>
      <c r="OG719"/>
      <c r="OH719"/>
      <c r="OI719"/>
      <c r="OJ719"/>
      <c r="OK719"/>
      <c r="OL719"/>
      <c r="OM719"/>
      <c r="ON719"/>
      <c r="OO719"/>
      <c r="OP719"/>
      <c r="OQ719"/>
      <c r="OR719"/>
      <c r="OS719"/>
      <c r="OT719"/>
      <c r="OU719"/>
      <c r="OV719"/>
      <c r="OW719"/>
      <c r="OX719"/>
      <c r="OY719"/>
      <c r="OZ719"/>
      <c r="PA719"/>
      <c r="PB719"/>
      <c r="PC719"/>
      <c r="PD719"/>
      <c r="PE719"/>
      <c r="PF719"/>
      <c r="PG719"/>
      <c r="PH719"/>
      <c r="PI719"/>
      <c r="PJ719"/>
      <c r="PK719"/>
      <c r="PL719"/>
      <c r="PM719"/>
      <c r="PN719"/>
      <c r="PO719"/>
      <c r="PP719"/>
      <c r="PQ719"/>
      <c r="PR719"/>
      <c r="PS719"/>
      <c r="PT719"/>
      <c r="PU719"/>
      <c r="PV719"/>
      <c r="PW719"/>
      <c r="PX719"/>
      <c r="PY719"/>
      <c r="PZ719"/>
      <c r="QA719"/>
      <c r="QB719"/>
      <c r="QC719"/>
      <c r="QD719"/>
      <c r="QE719"/>
      <c r="QF719"/>
      <c r="QG719"/>
      <c r="QH719"/>
      <c r="QI719"/>
      <c r="QJ719"/>
      <c r="QK719"/>
      <c r="QL719"/>
      <c r="QM719"/>
      <c r="QN719"/>
      <c r="QO719"/>
      <c r="QP719"/>
      <c r="QQ719"/>
      <c r="QR719"/>
      <c r="QS719"/>
      <c r="QT719"/>
      <c r="QU719"/>
      <c r="QV719"/>
      <c r="QW719"/>
      <c r="QX719"/>
      <c r="QY719"/>
      <c r="QZ719"/>
      <c r="RA719"/>
      <c r="RB719"/>
      <c r="RC719"/>
      <c r="RD719"/>
      <c r="RE719"/>
      <c r="RF719"/>
      <c r="RG719"/>
      <c r="RH719"/>
      <c r="RI719"/>
      <c r="RJ719"/>
      <c r="RK719"/>
      <c r="RL719"/>
      <c r="RM719"/>
      <c r="RN719"/>
      <c r="RO719"/>
      <c r="RP719"/>
      <c r="RQ719"/>
      <c r="RR719"/>
      <c r="RS719"/>
      <c r="RT719"/>
      <c r="RU719"/>
      <c r="RV719"/>
      <c r="RW719"/>
      <c r="RX719"/>
      <c r="RY719"/>
      <c r="RZ719"/>
      <c r="SA719"/>
      <c r="SB719"/>
      <c r="SC719"/>
      <c r="SD719"/>
      <c r="SE719"/>
      <c r="SF719"/>
      <c r="SG719"/>
      <c r="SH719"/>
      <c r="SI719"/>
      <c r="SJ719"/>
      <c r="SK719"/>
      <c r="SL719"/>
      <c r="SM719"/>
      <c r="SN719"/>
      <c r="SO719"/>
      <c r="SP719"/>
      <c r="SQ719"/>
      <c r="SR719"/>
      <c r="SS719"/>
      <c r="ST719"/>
      <c r="SU719"/>
      <c r="SV719"/>
      <c r="SW719"/>
      <c r="SX719"/>
      <c r="SY719"/>
      <c r="SZ719"/>
      <c r="TA719"/>
      <c r="TB719"/>
      <c r="TC719"/>
      <c r="TD719"/>
      <c r="TE719"/>
      <c r="TF719"/>
      <c r="TG719"/>
      <c r="TH719"/>
      <c r="TI719"/>
      <c r="TJ719"/>
      <c r="TK719"/>
      <c r="TL719"/>
      <c r="TM719"/>
      <c r="TN719"/>
      <c r="TO719"/>
      <c r="TP719"/>
      <c r="TQ719"/>
      <c r="TR719"/>
      <c r="TS719"/>
      <c r="TT719"/>
      <c r="TU719"/>
      <c r="TV719"/>
      <c r="TW719"/>
      <c r="TX719"/>
      <c r="TY719"/>
      <c r="TZ719"/>
      <c r="UA719"/>
      <c r="UB719"/>
      <c r="UC719"/>
      <c r="UD719"/>
      <c r="UE719"/>
      <c r="UF719"/>
      <c r="UG719"/>
      <c r="UH719"/>
      <c r="UI719"/>
      <c r="UJ719"/>
      <c r="UK719"/>
      <c r="UL719"/>
      <c r="UM719"/>
      <c r="UN719"/>
      <c r="UO719"/>
      <c r="UP719"/>
      <c r="UQ719"/>
      <c r="UR719"/>
      <c r="US719"/>
      <c r="UT719"/>
      <c r="UU719"/>
      <c r="UV719"/>
      <c r="UW719"/>
      <c r="UX719"/>
      <c r="UY719"/>
      <c r="UZ719"/>
      <c r="VA719"/>
      <c r="VB719"/>
      <c r="VC719"/>
      <c r="VD719"/>
      <c r="VE719"/>
      <c r="VF719"/>
      <c r="VG719"/>
      <c r="VH719"/>
      <c r="VI719"/>
      <c r="VJ719"/>
      <c r="VK719"/>
      <c r="VL719"/>
      <c r="VM719"/>
      <c r="VN719"/>
      <c r="VO719"/>
      <c r="VP719"/>
      <c r="VQ719"/>
      <c r="VR719"/>
      <c r="VS719"/>
      <c r="VT719"/>
      <c r="VU719"/>
      <c r="VV719"/>
      <c r="VW719"/>
      <c r="VX719"/>
      <c r="VY719"/>
      <c r="VZ719"/>
      <c r="WA719"/>
      <c r="WB719"/>
      <c r="WC719"/>
      <c r="WD719"/>
      <c r="WE719"/>
      <c r="WF719"/>
      <c r="WG719"/>
      <c r="WH719"/>
      <c r="WI719"/>
      <c r="WJ719"/>
      <c r="WK719"/>
      <c r="WL719"/>
      <c r="WM719"/>
      <c r="WN719"/>
      <c r="WO719"/>
      <c r="WP719"/>
      <c r="WQ719"/>
      <c r="WR719"/>
      <c r="WS719"/>
      <c r="WT719"/>
      <c r="WU719"/>
      <c r="WV719"/>
      <c r="WW719"/>
      <c r="WX719"/>
      <c r="WY719"/>
      <c r="WZ719"/>
      <c r="XA719"/>
      <c r="XB719"/>
      <c r="XC719"/>
      <c r="XD719"/>
      <c r="XE719"/>
      <c r="XF719"/>
      <c r="XG719"/>
      <c r="XH719"/>
      <c r="XI719"/>
      <c r="XJ719"/>
      <c r="XK719"/>
      <c r="XL719"/>
      <c r="XM719"/>
      <c r="XN719"/>
      <c r="XO719"/>
      <c r="XP719"/>
      <c r="XQ719"/>
      <c r="XR719"/>
      <c r="XS719"/>
      <c r="XT719"/>
      <c r="XU719"/>
      <c r="XV719"/>
      <c r="XW719"/>
      <c r="XX719"/>
      <c r="XY719"/>
      <c r="XZ719"/>
      <c r="YA719"/>
      <c r="YB719"/>
      <c r="YC719"/>
      <c r="YD719"/>
      <c r="YE719"/>
      <c r="YF719"/>
      <c r="YG719"/>
      <c r="YH719"/>
      <c r="YI719"/>
      <c r="YJ719"/>
      <c r="YK719"/>
      <c r="YL719"/>
      <c r="YM719"/>
      <c r="YN719"/>
      <c r="YO719"/>
      <c r="YP719"/>
      <c r="YQ719"/>
      <c r="YR719"/>
      <c r="YS719"/>
      <c r="YT719"/>
      <c r="YU719"/>
      <c r="YV719"/>
      <c r="YW719"/>
      <c r="YX719"/>
      <c r="YY719"/>
      <c r="YZ719"/>
      <c r="ZA719"/>
      <c r="ZB719"/>
      <c r="ZC719"/>
      <c r="ZD719"/>
      <c r="ZE719"/>
      <c r="ZF719"/>
      <c r="ZG719"/>
      <c r="ZH719"/>
      <c r="ZI719"/>
      <c r="ZJ719"/>
      <c r="ZK719"/>
      <c r="ZL719"/>
      <c r="ZM719"/>
      <c r="ZN719"/>
      <c r="ZO719"/>
      <c r="ZP719"/>
      <c r="ZQ719"/>
      <c r="ZR719"/>
      <c r="ZS719"/>
      <c r="ZT719"/>
      <c r="ZU719"/>
      <c r="ZV719"/>
      <c r="ZW719"/>
      <c r="ZX719"/>
      <c r="ZY719"/>
      <c r="ZZ719"/>
      <c r="AAA719"/>
      <c r="AAB719"/>
      <c r="AAC719"/>
      <c r="AAD719"/>
      <c r="AAE719"/>
      <c r="AAF719"/>
      <c r="AAG719"/>
      <c r="AAH719"/>
      <c r="AAI719"/>
      <c r="AAJ719"/>
      <c r="AAK719"/>
      <c r="AAL719"/>
      <c r="AAM719"/>
      <c r="AAN719"/>
      <c r="AAO719"/>
      <c r="AAP719"/>
      <c r="AAQ719"/>
      <c r="AAR719"/>
      <c r="AAS719"/>
      <c r="AAT719"/>
      <c r="AAU719"/>
      <c r="AAV719"/>
      <c r="AAW719"/>
      <c r="AAX719"/>
      <c r="AAY719"/>
      <c r="AAZ719"/>
      <c r="ABA719"/>
      <c r="ABB719"/>
      <c r="ABC719"/>
      <c r="ABD719"/>
      <c r="ABE719"/>
      <c r="ABF719"/>
      <c r="ABG719"/>
      <c r="ABH719"/>
      <c r="ABI719"/>
      <c r="ABJ719"/>
      <c r="ABK719"/>
      <c r="ABL719"/>
      <c r="ABM719"/>
      <c r="ABN719"/>
      <c r="ABO719"/>
      <c r="ABP719"/>
      <c r="ABQ719"/>
      <c r="ABR719"/>
      <c r="ABS719"/>
      <c r="ABT719"/>
      <c r="ABU719"/>
      <c r="ABV719"/>
      <c r="ABW719"/>
      <c r="ABX719"/>
      <c r="ABY719"/>
      <c r="ABZ719"/>
      <c r="ACA719"/>
      <c r="ACB719"/>
      <c r="ACC719"/>
      <c r="ACD719"/>
      <c r="ACE719"/>
      <c r="ACF719"/>
      <c r="ACG719"/>
      <c r="ACH719"/>
      <c r="ACI719"/>
      <c r="ACJ719"/>
      <c r="ACK719"/>
      <c r="ACL719"/>
      <c r="ACM719"/>
      <c r="ACN719"/>
      <c r="ACO719"/>
      <c r="ACP719"/>
      <c r="ACQ719"/>
      <c r="ACR719"/>
      <c r="ACS719"/>
      <c r="ACT719"/>
      <c r="ACU719"/>
      <c r="ACV719"/>
      <c r="ACW719"/>
      <c r="ACX719"/>
      <c r="ACY719"/>
      <c r="ACZ719"/>
      <c r="ADA719"/>
      <c r="ADB719"/>
      <c r="ADC719"/>
      <c r="ADD719"/>
      <c r="ADE719"/>
      <c r="ADF719"/>
      <c r="ADG719"/>
      <c r="ADH719"/>
      <c r="ADI719"/>
      <c r="ADJ719"/>
      <c r="ADK719"/>
      <c r="ADL719"/>
      <c r="ADM719"/>
      <c r="ADN719"/>
      <c r="ADO719"/>
      <c r="ADP719"/>
      <c r="ADQ719"/>
      <c r="ADR719"/>
      <c r="ADS719"/>
      <c r="ADT719"/>
      <c r="ADU719"/>
      <c r="ADV719"/>
      <c r="ADW719"/>
      <c r="ADX719"/>
      <c r="ADY719"/>
      <c r="ADZ719"/>
      <c r="AEA719"/>
      <c r="AEB719"/>
      <c r="AEC719"/>
      <c r="AED719"/>
      <c r="AEE719"/>
      <c r="AEF719"/>
      <c r="AEG719"/>
      <c r="AEH719"/>
      <c r="AEI719"/>
      <c r="AEJ719"/>
      <c r="AEK719"/>
      <c r="AEL719"/>
      <c r="AEM719"/>
      <c r="AEN719"/>
      <c r="AEO719"/>
      <c r="AEP719"/>
      <c r="AEQ719"/>
      <c r="AER719"/>
      <c r="AES719"/>
      <c r="AET719"/>
      <c r="AEU719"/>
      <c r="AEV719"/>
      <c r="AEW719"/>
      <c r="AEX719"/>
      <c r="AEY719"/>
      <c r="AEZ719"/>
      <c r="AFA719"/>
      <c r="AFB719"/>
      <c r="AFC719"/>
      <c r="AFD719"/>
      <c r="AFE719"/>
      <c r="AFF719"/>
      <c r="AFG719"/>
      <c r="AFH719"/>
      <c r="AFI719"/>
      <c r="AFJ719"/>
      <c r="AFK719"/>
      <c r="AFL719"/>
      <c r="AFM719"/>
      <c r="AFN719"/>
      <c r="AFO719"/>
      <c r="AFP719"/>
      <c r="AFQ719"/>
      <c r="AFR719"/>
      <c r="AFS719"/>
      <c r="AFT719"/>
      <c r="AFU719"/>
      <c r="AFV719"/>
      <c r="AFW719"/>
      <c r="AFX719"/>
      <c r="AFY719"/>
      <c r="AFZ719"/>
      <c r="AGA719"/>
      <c r="AGB719"/>
      <c r="AGC719"/>
      <c r="AGD719"/>
      <c r="AGE719"/>
      <c r="AGF719"/>
      <c r="AGG719"/>
      <c r="AGH719"/>
      <c r="AGI719"/>
      <c r="AGJ719"/>
      <c r="AGK719"/>
      <c r="AGL719"/>
      <c r="AGM719"/>
      <c r="AGN719"/>
      <c r="AGO719"/>
      <c r="AGP719"/>
      <c r="AGQ719"/>
      <c r="AGR719"/>
      <c r="AGS719"/>
      <c r="AGT719"/>
      <c r="AGU719"/>
      <c r="AGV719"/>
      <c r="AGW719"/>
      <c r="AGX719"/>
      <c r="AGY719"/>
      <c r="AGZ719"/>
      <c r="AHA719"/>
      <c r="AHB719"/>
      <c r="AHC719"/>
      <c r="AHD719"/>
      <c r="AHE719"/>
      <c r="AHF719"/>
      <c r="AHG719"/>
      <c r="AHH719"/>
      <c r="AHI719"/>
      <c r="AHJ719"/>
      <c r="AHK719"/>
      <c r="AHL719"/>
      <c r="AHM719"/>
      <c r="AHN719"/>
      <c r="AHO719"/>
      <c r="AHP719"/>
      <c r="AHQ719"/>
      <c r="AHR719"/>
      <c r="AHS719"/>
      <c r="AHT719"/>
      <c r="AHU719"/>
      <c r="AHV719"/>
      <c r="AHW719"/>
      <c r="AHX719"/>
      <c r="AHY719"/>
      <c r="AHZ719"/>
      <c r="AIA719"/>
      <c r="AIB719"/>
      <c r="AIC719"/>
      <c r="AID719"/>
      <c r="AIE719"/>
      <c r="AIF719"/>
      <c r="AIG719"/>
      <c r="AIH719"/>
      <c r="AII719"/>
      <c r="AIJ719"/>
      <c r="AIK719"/>
      <c r="AIL719"/>
      <c r="AIM719"/>
      <c r="AIN719"/>
      <c r="AIO719"/>
      <c r="AIP719"/>
      <c r="AIQ719"/>
      <c r="AIR719"/>
      <c r="AIS719"/>
      <c r="AIT719"/>
      <c r="AIU719"/>
      <c r="AIV719"/>
      <c r="AIW719"/>
      <c r="AIX719"/>
      <c r="AIY719"/>
      <c r="AIZ719"/>
      <c r="AJA719"/>
      <c r="AJB719"/>
      <c r="AJC719"/>
      <c r="AJD719"/>
      <c r="AJE719"/>
      <c r="AJF719"/>
      <c r="AJG719"/>
      <c r="AJH719"/>
      <c r="AJI719"/>
      <c r="AJJ719"/>
      <c r="AJK719"/>
      <c r="AJL719"/>
      <c r="AJM719"/>
      <c r="AJN719"/>
      <c r="AJO719"/>
      <c r="AJP719"/>
      <c r="AJQ719"/>
      <c r="AJR719"/>
      <c r="AJS719"/>
      <c r="AJT719"/>
      <c r="AJU719"/>
      <c r="AJV719"/>
      <c r="AJW719"/>
      <c r="AJX719"/>
      <c r="AJY719"/>
      <c r="AJZ719"/>
      <c r="AKA719"/>
      <c r="AKB719"/>
      <c r="AKC719"/>
      <c r="AKD719"/>
      <c r="AKE719"/>
      <c r="AKF719"/>
      <c r="AKG719"/>
      <c r="AKH719"/>
      <c r="AKI719"/>
      <c r="AKJ719"/>
      <c r="AKK719"/>
      <c r="AKL719"/>
      <c r="AKM719"/>
      <c r="AKN719"/>
      <c r="AKO719"/>
      <c r="AKP719"/>
      <c r="AKQ719"/>
      <c r="AKR719"/>
      <c r="AKS719"/>
      <c r="AKT719"/>
      <c r="AKU719"/>
      <c r="AKV719"/>
      <c r="AKW719"/>
      <c r="AKX719"/>
      <c r="AKY719"/>
      <c r="AKZ719"/>
      <c r="ALA719"/>
      <c r="ALB719"/>
      <c r="ALC719"/>
      <c r="ALD719"/>
      <c r="ALE719"/>
      <c r="ALF719"/>
      <c r="ALG719"/>
      <c r="ALH719"/>
      <c r="ALI719"/>
      <c r="ALJ719"/>
      <c r="ALK719"/>
      <c r="ALL719"/>
      <c r="ALM719"/>
      <c r="ALN719"/>
      <c r="ALO719"/>
      <c r="ALP719"/>
      <c r="ALQ719"/>
      <c r="ALR719"/>
      <c r="ALS719"/>
      <c r="ALT719"/>
      <c r="ALU719"/>
      <c r="ALV719"/>
      <c r="ALW719"/>
      <c r="ALX719"/>
      <c r="ALY719"/>
      <c r="ALZ719"/>
      <c r="AMA719"/>
      <c r="AMB719"/>
      <c r="AMC719"/>
      <c r="AMD719"/>
      <c r="AME719"/>
      <c r="AMF719"/>
      <c r="AMG719"/>
      <c r="AMH719"/>
      <c r="AMI719"/>
      <c r="AMJ719"/>
      <c r="AMK719"/>
    </row>
    <row r="720" spans="1:1025">
      <c r="A720"/>
      <c r="B720"/>
      <c r="C720"/>
      <c r="J720" s="379">
        <v>14041757</v>
      </c>
      <c r="L720" s="379">
        <v>14041757</v>
      </c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  <c r="FK720"/>
      <c r="FL720"/>
      <c r="FM720"/>
      <c r="FN720"/>
      <c r="FO720"/>
      <c r="FP720"/>
      <c r="FQ720"/>
      <c r="FR720"/>
      <c r="FS720"/>
      <c r="FT720"/>
      <c r="FU720"/>
      <c r="FV720"/>
      <c r="FW720"/>
      <c r="FX720"/>
      <c r="FY720"/>
      <c r="FZ720"/>
      <c r="GA720"/>
      <c r="GB720"/>
      <c r="GC720"/>
      <c r="GD720"/>
      <c r="GE720"/>
      <c r="GF720"/>
      <c r="GG720"/>
      <c r="GH720"/>
      <c r="GI720"/>
      <c r="GJ720"/>
      <c r="GK720"/>
      <c r="GL720"/>
      <c r="GM720"/>
      <c r="GN720"/>
      <c r="GO720"/>
      <c r="GP720"/>
      <c r="GQ720"/>
      <c r="GR720"/>
      <c r="GS720"/>
      <c r="GT720"/>
      <c r="GU720"/>
      <c r="GV720"/>
      <c r="GW720"/>
      <c r="GX720"/>
      <c r="GY720"/>
      <c r="GZ720"/>
      <c r="HA720"/>
      <c r="HB720"/>
      <c r="HC720"/>
      <c r="HD720"/>
      <c r="HE720"/>
      <c r="HF720"/>
      <c r="HG720"/>
      <c r="HH720"/>
      <c r="HI720"/>
      <c r="HJ720"/>
      <c r="HK720"/>
      <c r="HL720"/>
      <c r="HM720"/>
      <c r="HN720"/>
      <c r="HO720"/>
      <c r="HP720"/>
      <c r="HQ720"/>
      <c r="HR720"/>
      <c r="HS720"/>
      <c r="HT720"/>
      <c r="HU720"/>
      <c r="HV720"/>
      <c r="HW720"/>
      <c r="HX720"/>
      <c r="HY720"/>
      <c r="HZ720"/>
      <c r="IA720"/>
      <c r="IB720"/>
      <c r="IC720"/>
      <c r="ID720"/>
      <c r="IE720"/>
      <c r="IF720"/>
      <c r="IG720"/>
      <c r="IH720"/>
      <c r="II720"/>
      <c r="IJ720"/>
      <c r="IK720"/>
      <c r="IL720"/>
      <c r="IM720"/>
      <c r="IN720"/>
      <c r="IO720"/>
      <c r="IP720"/>
      <c r="IQ720"/>
      <c r="IR720"/>
      <c r="IS720"/>
      <c r="IT720"/>
      <c r="IU720"/>
      <c r="IV720"/>
      <c r="IW720"/>
      <c r="IX720"/>
      <c r="IY720"/>
      <c r="IZ720"/>
      <c r="JA720"/>
      <c r="JB720"/>
      <c r="JC720"/>
      <c r="JD720"/>
      <c r="JE720"/>
      <c r="JF720"/>
      <c r="JG720"/>
      <c r="JH720"/>
      <c r="JI720"/>
      <c r="JJ720"/>
      <c r="JK720"/>
      <c r="JL720"/>
      <c r="JM720"/>
      <c r="JN720"/>
      <c r="JO720"/>
      <c r="JP720"/>
      <c r="JQ720"/>
      <c r="JR720"/>
      <c r="JS720"/>
      <c r="JT720"/>
      <c r="JU720"/>
      <c r="JV720"/>
      <c r="JW720"/>
      <c r="JX720"/>
      <c r="JY720"/>
      <c r="JZ720"/>
      <c r="KA720"/>
      <c r="KB720"/>
      <c r="KC720"/>
      <c r="KD720"/>
      <c r="KE720"/>
      <c r="KF720"/>
      <c r="KG720"/>
      <c r="KH720"/>
      <c r="KI720"/>
      <c r="KJ720"/>
      <c r="KK720"/>
      <c r="KL720"/>
      <c r="KM720"/>
      <c r="KN720"/>
      <c r="KO720"/>
      <c r="KP720"/>
      <c r="KQ720"/>
      <c r="KR720"/>
      <c r="KS720"/>
      <c r="KT720"/>
      <c r="KU720"/>
      <c r="KV720"/>
      <c r="KW720"/>
      <c r="KX720"/>
      <c r="KY720"/>
      <c r="KZ720"/>
      <c r="LA720"/>
      <c r="LB720"/>
      <c r="LC720"/>
      <c r="LD720"/>
      <c r="LE720"/>
      <c r="LF720"/>
      <c r="LG720"/>
      <c r="LH720"/>
      <c r="LI720"/>
      <c r="LJ720"/>
      <c r="LK720"/>
      <c r="LL720"/>
      <c r="LM720"/>
      <c r="LN720"/>
      <c r="LO720"/>
      <c r="LP720"/>
      <c r="LQ720"/>
      <c r="LR720"/>
      <c r="LS720"/>
      <c r="LT720"/>
      <c r="LU720"/>
      <c r="LV720"/>
      <c r="LW720"/>
      <c r="LX720"/>
      <c r="LY720"/>
      <c r="LZ720"/>
      <c r="MA720"/>
      <c r="MB720"/>
      <c r="MC720"/>
      <c r="MD720"/>
      <c r="ME720"/>
      <c r="MF720"/>
      <c r="MG720"/>
      <c r="MH720"/>
      <c r="MI720"/>
      <c r="MJ720"/>
      <c r="MK720"/>
      <c r="ML720"/>
      <c r="MM720"/>
      <c r="MN720"/>
      <c r="MO720"/>
      <c r="MP720"/>
      <c r="MQ720"/>
      <c r="MR720"/>
      <c r="MS720"/>
      <c r="MT720"/>
      <c r="MU720"/>
      <c r="MV720"/>
      <c r="MW720"/>
      <c r="MX720"/>
      <c r="MY720"/>
      <c r="MZ720"/>
      <c r="NA720"/>
      <c r="NB720"/>
      <c r="NC720"/>
      <c r="ND720"/>
      <c r="NE720"/>
      <c r="NF720"/>
      <c r="NG720"/>
      <c r="NH720"/>
      <c r="NI720"/>
      <c r="NJ720"/>
      <c r="NK720"/>
      <c r="NL720"/>
      <c r="NM720"/>
      <c r="NN720"/>
      <c r="NO720"/>
      <c r="NP720"/>
      <c r="NQ720"/>
      <c r="NR720"/>
      <c r="NS720"/>
      <c r="NT720"/>
      <c r="NU720"/>
      <c r="NV720"/>
      <c r="NW720"/>
      <c r="NX720"/>
      <c r="NY720"/>
      <c r="NZ720"/>
      <c r="OA720"/>
      <c r="OB720"/>
      <c r="OC720"/>
      <c r="OD720"/>
      <c r="OE720"/>
      <c r="OF720"/>
      <c r="OG720"/>
      <c r="OH720"/>
      <c r="OI720"/>
      <c r="OJ720"/>
      <c r="OK720"/>
      <c r="OL720"/>
      <c r="OM720"/>
      <c r="ON720"/>
      <c r="OO720"/>
      <c r="OP720"/>
      <c r="OQ720"/>
      <c r="OR720"/>
      <c r="OS720"/>
      <c r="OT720"/>
      <c r="OU720"/>
      <c r="OV720"/>
      <c r="OW720"/>
      <c r="OX720"/>
      <c r="OY720"/>
      <c r="OZ720"/>
      <c r="PA720"/>
      <c r="PB720"/>
      <c r="PC720"/>
      <c r="PD720"/>
      <c r="PE720"/>
      <c r="PF720"/>
      <c r="PG720"/>
      <c r="PH720"/>
      <c r="PI720"/>
      <c r="PJ720"/>
      <c r="PK720"/>
      <c r="PL720"/>
      <c r="PM720"/>
      <c r="PN720"/>
      <c r="PO720"/>
      <c r="PP720"/>
      <c r="PQ720"/>
      <c r="PR720"/>
      <c r="PS720"/>
      <c r="PT720"/>
      <c r="PU720"/>
      <c r="PV720"/>
      <c r="PW720"/>
      <c r="PX720"/>
      <c r="PY720"/>
      <c r="PZ720"/>
      <c r="QA720"/>
      <c r="QB720"/>
      <c r="QC720"/>
      <c r="QD720"/>
      <c r="QE720"/>
      <c r="QF720"/>
      <c r="QG720"/>
      <c r="QH720"/>
      <c r="QI720"/>
      <c r="QJ720"/>
      <c r="QK720"/>
      <c r="QL720"/>
      <c r="QM720"/>
      <c r="QN720"/>
      <c r="QO720"/>
      <c r="QP720"/>
      <c r="QQ720"/>
      <c r="QR720"/>
      <c r="QS720"/>
      <c r="QT720"/>
      <c r="QU720"/>
      <c r="QV720"/>
      <c r="QW720"/>
      <c r="QX720"/>
      <c r="QY720"/>
      <c r="QZ720"/>
      <c r="RA720"/>
      <c r="RB720"/>
      <c r="RC720"/>
      <c r="RD720"/>
      <c r="RE720"/>
      <c r="RF720"/>
      <c r="RG720"/>
      <c r="RH720"/>
      <c r="RI720"/>
      <c r="RJ720"/>
      <c r="RK720"/>
      <c r="RL720"/>
      <c r="RM720"/>
      <c r="RN720"/>
      <c r="RO720"/>
      <c r="RP720"/>
      <c r="RQ720"/>
      <c r="RR720"/>
      <c r="RS720"/>
      <c r="RT720"/>
      <c r="RU720"/>
      <c r="RV720"/>
      <c r="RW720"/>
      <c r="RX720"/>
      <c r="RY720"/>
      <c r="RZ720"/>
      <c r="SA720"/>
      <c r="SB720"/>
      <c r="SC720"/>
      <c r="SD720"/>
      <c r="SE720"/>
      <c r="SF720"/>
      <c r="SG720"/>
      <c r="SH720"/>
      <c r="SI720"/>
      <c r="SJ720"/>
      <c r="SK720"/>
      <c r="SL720"/>
      <c r="SM720"/>
      <c r="SN720"/>
      <c r="SO720"/>
      <c r="SP720"/>
      <c r="SQ720"/>
      <c r="SR720"/>
      <c r="SS720"/>
      <c r="ST720"/>
      <c r="SU720"/>
      <c r="SV720"/>
      <c r="SW720"/>
      <c r="SX720"/>
      <c r="SY720"/>
      <c r="SZ720"/>
      <c r="TA720"/>
      <c r="TB720"/>
      <c r="TC720"/>
      <c r="TD720"/>
      <c r="TE720"/>
      <c r="TF720"/>
      <c r="TG720"/>
      <c r="TH720"/>
      <c r="TI720"/>
      <c r="TJ720"/>
      <c r="TK720"/>
      <c r="TL720"/>
      <c r="TM720"/>
      <c r="TN720"/>
      <c r="TO720"/>
      <c r="TP720"/>
      <c r="TQ720"/>
      <c r="TR720"/>
      <c r="TS720"/>
      <c r="TT720"/>
      <c r="TU720"/>
      <c r="TV720"/>
      <c r="TW720"/>
      <c r="TX720"/>
      <c r="TY720"/>
      <c r="TZ720"/>
      <c r="UA720"/>
      <c r="UB720"/>
      <c r="UC720"/>
      <c r="UD720"/>
      <c r="UE720"/>
      <c r="UF720"/>
      <c r="UG720"/>
      <c r="UH720"/>
      <c r="UI720"/>
      <c r="UJ720"/>
      <c r="UK720"/>
      <c r="UL720"/>
      <c r="UM720"/>
      <c r="UN720"/>
      <c r="UO720"/>
      <c r="UP720"/>
      <c r="UQ720"/>
      <c r="UR720"/>
      <c r="US720"/>
      <c r="UT720"/>
      <c r="UU720"/>
      <c r="UV720"/>
      <c r="UW720"/>
      <c r="UX720"/>
      <c r="UY720"/>
      <c r="UZ720"/>
      <c r="VA720"/>
      <c r="VB720"/>
      <c r="VC720"/>
      <c r="VD720"/>
      <c r="VE720"/>
      <c r="VF720"/>
      <c r="VG720"/>
      <c r="VH720"/>
      <c r="VI720"/>
      <c r="VJ720"/>
      <c r="VK720"/>
      <c r="VL720"/>
      <c r="VM720"/>
      <c r="VN720"/>
      <c r="VO720"/>
      <c r="VP720"/>
      <c r="VQ720"/>
      <c r="VR720"/>
      <c r="VS720"/>
      <c r="VT720"/>
      <c r="VU720"/>
      <c r="VV720"/>
      <c r="VW720"/>
      <c r="VX720"/>
      <c r="VY720"/>
      <c r="VZ720"/>
      <c r="WA720"/>
      <c r="WB720"/>
      <c r="WC720"/>
      <c r="WD720"/>
      <c r="WE720"/>
      <c r="WF720"/>
      <c r="WG720"/>
      <c r="WH720"/>
      <c r="WI720"/>
      <c r="WJ720"/>
      <c r="WK720"/>
      <c r="WL720"/>
      <c r="WM720"/>
      <c r="WN720"/>
      <c r="WO720"/>
      <c r="WP720"/>
      <c r="WQ720"/>
      <c r="WR720"/>
      <c r="WS720"/>
      <c r="WT720"/>
      <c r="WU720"/>
      <c r="WV720"/>
      <c r="WW720"/>
      <c r="WX720"/>
      <c r="WY720"/>
      <c r="WZ720"/>
      <c r="XA720"/>
      <c r="XB720"/>
      <c r="XC720"/>
      <c r="XD720"/>
      <c r="XE720"/>
      <c r="XF720"/>
      <c r="XG720"/>
      <c r="XH720"/>
      <c r="XI720"/>
      <c r="XJ720"/>
      <c r="XK720"/>
      <c r="XL720"/>
      <c r="XM720"/>
      <c r="XN720"/>
      <c r="XO720"/>
      <c r="XP720"/>
      <c r="XQ720"/>
      <c r="XR720"/>
      <c r="XS720"/>
      <c r="XT720"/>
      <c r="XU720"/>
      <c r="XV720"/>
      <c r="XW720"/>
      <c r="XX720"/>
      <c r="XY720"/>
      <c r="XZ720"/>
      <c r="YA720"/>
      <c r="YB720"/>
      <c r="YC720"/>
      <c r="YD720"/>
      <c r="YE720"/>
      <c r="YF720"/>
      <c r="YG720"/>
      <c r="YH720"/>
      <c r="YI720"/>
      <c r="YJ720"/>
      <c r="YK720"/>
      <c r="YL720"/>
      <c r="YM720"/>
      <c r="YN720"/>
      <c r="YO720"/>
      <c r="YP720"/>
      <c r="YQ720"/>
      <c r="YR720"/>
      <c r="YS720"/>
      <c r="YT720"/>
      <c r="YU720"/>
      <c r="YV720"/>
      <c r="YW720"/>
      <c r="YX720"/>
      <c r="YY720"/>
      <c r="YZ720"/>
      <c r="ZA720"/>
      <c r="ZB720"/>
      <c r="ZC720"/>
      <c r="ZD720"/>
      <c r="ZE720"/>
      <c r="ZF720"/>
      <c r="ZG720"/>
      <c r="ZH720"/>
      <c r="ZI720"/>
      <c r="ZJ720"/>
      <c r="ZK720"/>
      <c r="ZL720"/>
      <c r="ZM720"/>
      <c r="ZN720"/>
      <c r="ZO720"/>
      <c r="ZP720"/>
      <c r="ZQ720"/>
      <c r="ZR720"/>
      <c r="ZS720"/>
      <c r="ZT720"/>
      <c r="ZU720"/>
      <c r="ZV720"/>
      <c r="ZW720"/>
      <c r="ZX720"/>
      <c r="ZY720"/>
      <c r="ZZ720"/>
      <c r="AAA720"/>
      <c r="AAB720"/>
      <c r="AAC720"/>
      <c r="AAD720"/>
      <c r="AAE720"/>
      <c r="AAF720"/>
      <c r="AAG720"/>
      <c r="AAH720"/>
      <c r="AAI720"/>
      <c r="AAJ720"/>
      <c r="AAK720"/>
      <c r="AAL720"/>
      <c r="AAM720"/>
      <c r="AAN720"/>
      <c r="AAO720"/>
      <c r="AAP720"/>
      <c r="AAQ720"/>
      <c r="AAR720"/>
      <c r="AAS720"/>
      <c r="AAT720"/>
      <c r="AAU720"/>
      <c r="AAV720"/>
      <c r="AAW720"/>
      <c r="AAX720"/>
      <c r="AAY720"/>
      <c r="AAZ720"/>
      <c r="ABA720"/>
      <c r="ABB720"/>
      <c r="ABC720"/>
      <c r="ABD720"/>
      <c r="ABE720"/>
      <c r="ABF720"/>
      <c r="ABG720"/>
      <c r="ABH720"/>
      <c r="ABI720"/>
      <c r="ABJ720"/>
      <c r="ABK720"/>
      <c r="ABL720"/>
      <c r="ABM720"/>
      <c r="ABN720"/>
      <c r="ABO720"/>
      <c r="ABP720"/>
      <c r="ABQ720"/>
      <c r="ABR720"/>
      <c r="ABS720"/>
      <c r="ABT720"/>
      <c r="ABU720"/>
      <c r="ABV720"/>
      <c r="ABW720"/>
      <c r="ABX720"/>
      <c r="ABY720"/>
      <c r="ABZ720"/>
      <c r="ACA720"/>
      <c r="ACB720"/>
      <c r="ACC720"/>
      <c r="ACD720"/>
      <c r="ACE720"/>
      <c r="ACF720"/>
      <c r="ACG720"/>
      <c r="ACH720"/>
      <c r="ACI720"/>
      <c r="ACJ720"/>
      <c r="ACK720"/>
      <c r="ACL720"/>
      <c r="ACM720"/>
      <c r="ACN720"/>
      <c r="ACO720"/>
      <c r="ACP720"/>
      <c r="ACQ720"/>
      <c r="ACR720"/>
      <c r="ACS720"/>
      <c r="ACT720"/>
      <c r="ACU720"/>
      <c r="ACV720"/>
      <c r="ACW720"/>
      <c r="ACX720"/>
      <c r="ACY720"/>
      <c r="ACZ720"/>
      <c r="ADA720"/>
      <c r="ADB720"/>
      <c r="ADC720"/>
      <c r="ADD720"/>
      <c r="ADE720"/>
      <c r="ADF720"/>
      <c r="ADG720"/>
      <c r="ADH720"/>
      <c r="ADI720"/>
      <c r="ADJ720"/>
      <c r="ADK720"/>
      <c r="ADL720"/>
      <c r="ADM720"/>
      <c r="ADN720"/>
      <c r="ADO720"/>
      <c r="ADP720"/>
      <c r="ADQ720"/>
      <c r="ADR720"/>
      <c r="ADS720"/>
      <c r="ADT720"/>
      <c r="ADU720"/>
      <c r="ADV720"/>
      <c r="ADW720"/>
      <c r="ADX720"/>
      <c r="ADY720"/>
      <c r="ADZ720"/>
      <c r="AEA720"/>
      <c r="AEB720"/>
      <c r="AEC720"/>
      <c r="AED720"/>
      <c r="AEE720"/>
      <c r="AEF720"/>
      <c r="AEG720"/>
      <c r="AEH720"/>
      <c r="AEI720"/>
      <c r="AEJ720"/>
      <c r="AEK720"/>
      <c r="AEL720"/>
      <c r="AEM720"/>
      <c r="AEN720"/>
      <c r="AEO720"/>
      <c r="AEP720"/>
      <c r="AEQ720"/>
      <c r="AER720"/>
      <c r="AES720"/>
      <c r="AET720"/>
      <c r="AEU720"/>
      <c r="AEV720"/>
      <c r="AEW720"/>
      <c r="AEX720"/>
      <c r="AEY720"/>
      <c r="AEZ720"/>
      <c r="AFA720"/>
      <c r="AFB720"/>
      <c r="AFC720"/>
      <c r="AFD720"/>
      <c r="AFE720"/>
      <c r="AFF720"/>
      <c r="AFG720"/>
      <c r="AFH720"/>
      <c r="AFI720"/>
      <c r="AFJ720"/>
      <c r="AFK720"/>
      <c r="AFL720"/>
      <c r="AFM720"/>
      <c r="AFN720"/>
      <c r="AFO720"/>
      <c r="AFP720"/>
      <c r="AFQ720"/>
      <c r="AFR720"/>
      <c r="AFS720"/>
      <c r="AFT720"/>
      <c r="AFU720"/>
      <c r="AFV720"/>
      <c r="AFW720"/>
      <c r="AFX720"/>
      <c r="AFY720"/>
      <c r="AFZ720"/>
      <c r="AGA720"/>
      <c r="AGB720"/>
      <c r="AGC720"/>
      <c r="AGD720"/>
      <c r="AGE720"/>
      <c r="AGF720"/>
      <c r="AGG720"/>
      <c r="AGH720"/>
      <c r="AGI720"/>
      <c r="AGJ720"/>
      <c r="AGK720"/>
      <c r="AGL720"/>
      <c r="AGM720"/>
      <c r="AGN720"/>
      <c r="AGO720"/>
      <c r="AGP720"/>
      <c r="AGQ720"/>
      <c r="AGR720"/>
      <c r="AGS720"/>
      <c r="AGT720"/>
      <c r="AGU720"/>
      <c r="AGV720"/>
      <c r="AGW720"/>
      <c r="AGX720"/>
      <c r="AGY720"/>
      <c r="AGZ720"/>
      <c r="AHA720"/>
      <c r="AHB720"/>
      <c r="AHC720"/>
      <c r="AHD720"/>
      <c r="AHE720"/>
      <c r="AHF720"/>
      <c r="AHG720"/>
      <c r="AHH720"/>
      <c r="AHI720"/>
      <c r="AHJ720"/>
      <c r="AHK720"/>
      <c r="AHL720"/>
      <c r="AHM720"/>
      <c r="AHN720"/>
      <c r="AHO720"/>
      <c r="AHP720"/>
      <c r="AHQ720"/>
      <c r="AHR720"/>
      <c r="AHS720"/>
      <c r="AHT720"/>
      <c r="AHU720"/>
      <c r="AHV720"/>
      <c r="AHW720"/>
      <c r="AHX720"/>
      <c r="AHY720"/>
      <c r="AHZ720"/>
      <c r="AIA720"/>
      <c r="AIB720"/>
      <c r="AIC720"/>
      <c r="AID720"/>
      <c r="AIE720"/>
      <c r="AIF720"/>
      <c r="AIG720"/>
      <c r="AIH720"/>
      <c r="AII720"/>
      <c r="AIJ720"/>
      <c r="AIK720"/>
      <c r="AIL720"/>
      <c r="AIM720"/>
      <c r="AIN720"/>
      <c r="AIO720"/>
      <c r="AIP720"/>
      <c r="AIQ720"/>
      <c r="AIR720"/>
      <c r="AIS720"/>
      <c r="AIT720"/>
      <c r="AIU720"/>
      <c r="AIV720"/>
      <c r="AIW720"/>
      <c r="AIX720"/>
      <c r="AIY720"/>
      <c r="AIZ720"/>
      <c r="AJA720"/>
      <c r="AJB720"/>
      <c r="AJC720"/>
      <c r="AJD720"/>
      <c r="AJE720"/>
      <c r="AJF720"/>
      <c r="AJG720"/>
      <c r="AJH720"/>
      <c r="AJI720"/>
      <c r="AJJ720"/>
      <c r="AJK720"/>
      <c r="AJL720"/>
      <c r="AJM720"/>
      <c r="AJN720"/>
      <c r="AJO720"/>
      <c r="AJP720"/>
      <c r="AJQ720"/>
      <c r="AJR720"/>
      <c r="AJS720"/>
      <c r="AJT720"/>
      <c r="AJU720"/>
      <c r="AJV720"/>
      <c r="AJW720"/>
      <c r="AJX720"/>
      <c r="AJY720"/>
      <c r="AJZ720"/>
      <c r="AKA720"/>
      <c r="AKB720"/>
      <c r="AKC720"/>
      <c r="AKD720"/>
      <c r="AKE720"/>
      <c r="AKF720"/>
      <c r="AKG720"/>
      <c r="AKH720"/>
      <c r="AKI720"/>
      <c r="AKJ720"/>
      <c r="AKK720"/>
      <c r="AKL720"/>
      <c r="AKM720"/>
      <c r="AKN720"/>
      <c r="AKO720"/>
      <c r="AKP720"/>
      <c r="AKQ720"/>
      <c r="AKR720"/>
      <c r="AKS720"/>
      <c r="AKT720"/>
      <c r="AKU720"/>
      <c r="AKV720"/>
      <c r="AKW720"/>
      <c r="AKX720"/>
      <c r="AKY720"/>
      <c r="AKZ720"/>
      <c r="ALA720"/>
      <c r="ALB720"/>
      <c r="ALC720"/>
      <c r="ALD720"/>
      <c r="ALE720"/>
      <c r="ALF720"/>
      <c r="ALG720"/>
      <c r="ALH720"/>
      <c r="ALI720"/>
      <c r="ALJ720"/>
      <c r="ALK720"/>
      <c r="ALL720"/>
      <c r="ALM720"/>
      <c r="ALN720"/>
      <c r="ALO720"/>
      <c r="ALP720"/>
      <c r="ALQ720"/>
      <c r="ALR720"/>
      <c r="ALS720"/>
      <c r="ALT720"/>
      <c r="ALU720"/>
      <c r="ALV720"/>
      <c r="ALW720"/>
      <c r="ALX720"/>
      <c r="ALY720"/>
      <c r="ALZ720"/>
      <c r="AMA720"/>
      <c r="AMB720"/>
      <c r="AMC720"/>
      <c r="AMD720"/>
      <c r="AME720"/>
      <c r="AMF720"/>
      <c r="AMG720"/>
      <c r="AMH720"/>
      <c r="AMI720"/>
      <c r="AMJ720"/>
      <c r="AMK720"/>
    </row>
    <row r="721" spans="1:1025">
      <c r="A721"/>
      <c r="B721"/>
      <c r="C721"/>
      <c r="J721" s="765">
        <f>J719-J720</f>
        <v>97178074.799999997</v>
      </c>
      <c r="L721" s="379">
        <v>97178074.799999997</v>
      </c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  <c r="FK721"/>
      <c r="FL721"/>
      <c r="FM721"/>
      <c r="FN721"/>
      <c r="FO721"/>
      <c r="FP721"/>
      <c r="FQ721"/>
      <c r="FR721"/>
      <c r="FS721"/>
      <c r="FT721"/>
      <c r="FU721"/>
      <c r="FV721"/>
      <c r="FW721"/>
      <c r="FX721"/>
      <c r="FY721"/>
      <c r="FZ721"/>
      <c r="GA721"/>
      <c r="GB721"/>
      <c r="GC721"/>
      <c r="GD721"/>
      <c r="GE721"/>
      <c r="GF721"/>
      <c r="GG721"/>
      <c r="GH721"/>
      <c r="GI721"/>
      <c r="GJ721"/>
      <c r="GK721"/>
      <c r="GL721"/>
      <c r="GM721"/>
      <c r="GN721"/>
      <c r="GO721"/>
      <c r="GP721"/>
      <c r="GQ721"/>
      <c r="GR721"/>
      <c r="GS721"/>
      <c r="GT721"/>
      <c r="GU721"/>
      <c r="GV721"/>
      <c r="GW721"/>
      <c r="GX721"/>
      <c r="GY721"/>
      <c r="GZ721"/>
      <c r="HA721"/>
      <c r="HB721"/>
      <c r="HC721"/>
      <c r="HD721"/>
      <c r="HE721"/>
      <c r="HF721"/>
      <c r="HG721"/>
      <c r="HH721"/>
      <c r="HI721"/>
      <c r="HJ721"/>
      <c r="HK721"/>
      <c r="HL721"/>
      <c r="HM721"/>
      <c r="HN721"/>
      <c r="HO721"/>
      <c r="HP721"/>
      <c r="HQ721"/>
      <c r="HR721"/>
      <c r="HS721"/>
      <c r="HT721"/>
      <c r="HU721"/>
      <c r="HV721"/>
      <c r="HW721"/>
      <c r="HX721"/>
      <c r="HY721"/>
      <c r="HZ721"/>
      <c r="IA721"/>
      <c r="IB721"/>
      <c r="IC721"/>
      <c r="ID721"/>
      <c r="IE721"/>
      <c r="IF721"/>
      <c r="IG721"/>
      <c r="IH721"/>
      <c r="II721"/>
      <c r="IJ721"/>
      <c r="IK721"/>
      <c r="IL721"/>
      <c r="IM721"/>
      <c r="IN721"/>
      <c r="IO721"/>
      <c r="IP721"/>
      <c r="IQ721"/>
      <c r="IR721"/>
      <c r="IS721"/>
      <c r="IT721"/>
      <c r="IU721"/>
      <c r="IV721"/>
      <c r="IW721"/>
      <c r="IX721"/>
      <c r="IY721"/>
      <c r="IZ721"/>
      <c r="JA721"/>
      <c r="JB721"/>
      <c r="JC721"/>
      <c r="JD721"/>
      <c r="JE721"/>
      <c r="JF721"/>
      <c r="JG721"/>
      <c r="JH721"/>
      <c r="JI721"/>
      <c r="JJ721"/>
      <c r="JK721"/>
      <c r="JL721"/>
      <c r="JM721"/>
      <c r="JN721"/>
      <c r="JO721"/>
      <c r="JP721"/>
      <c r="JQ721"/>
      <c r="JR721"/>
      <c r="JS721"/>
      <c r="JT721"/>
      <c r="JU721"/>
      <c r="JV721"/>
      <c r="JW721"/>
      <c r="JX721"/>
      <c r="JY721"/>
      <c r="JZ721"/>
      <c r="KA721"/>
      <c r="KB721"/>
      <c r="KC721"/>
      <c r="KD721"/>
      <c r="KE721"/>
      <c r="KF721"/>
      <c r="KG721"/>
      <c r="KH721"/>
      <c r="KI721"/>
      <c r="KJ721"/>
      <c r="KK721"/>
      <c r="KL721"/>
      <c r="KM721"/>
      <c r="KN721"/>
      <c r="KO721"/>
      <c r="KP721"/>
      <c r="KQ721"/>
      <c r="KR721"/>
      <c r="KS721"/>
      <c r="KT721"/>
      <c r="KU721"/>
      <c r="KV721"/>
      <c r="KW721"/>
      <c r="KX721"/>
      <c r="KY721"/>
      <c r="KZ721"/>
      <c r="LA721"/>
      <c r="LB721"/>
      <c r="LC721"/>
      <c r="LD721"/>
      <c r="LE721"/>
      <c r="LF721"/>
      <c r="LG721"/>
      <c r="LH721"/>
      <c r="LI721"/>
      <c r="LJ721"/>
      <c r="LK721"/>
      <c r="LL721"/>
      <c r="LM721"/>
      <c r="LN721"/>
      <c r="LO721"/>
      <c r="LP721"/>
      <c r="LQ721"/>
      <c r="LR721"/>
      <c r="LS721"/>
      <c r="LT721"/>
      <c r="LU721"/>
      <c r="LV721"/>
      <c r="LW721"/>
      <c r="LX721"/>
      <c r="LY721"/>
      <c r="LZ721"/>
      <c r="MA721"/>
      <c r="MB721"/>
      <c r="MC721"/>
      <c r="MD721"/>
      <c r="ME721"/>
      <c r="MF721"/>
      <c r="MG721"/>
      <c r="MH721"/>
      <c r="MI721"/>
      <c r="MJ721"/>
      <c r="MK721"/>
      <c r="ML721"/>
      <c r="MM721"/>
      <c r="MN721"/>
      <c r="MO721"/>
      <c r="MP721"/>
      <c r="MQ721"/>
      <c r="MR721"/>
      <c r="MS721"/>
      <c r="MT721"/>
      <c r="MU721"/>
      <c r="MV721"/>
      <c r="MW721"/>
      <c r="MX721"/>
      <c r="MY721"/>
      <c r="MZ721"/>
      <c r="NA721"/>
      <c r="NB721"/>
      <c r="NC721"/>
      <c r="ND721"/>
      <c r="NE721"/>
      <c r="NF721"/>
      <c r="NG721"/>
      <c r="NH721"/>
      <c r="NI721"/>
      <c r="NJ721"/>
      <c r="NK721"/>
      <c r="NL721"/>
      <c r="NM721"/>
      <c r="NN721"/>
      <c r="NO721"/>
      <c r="NP721"/>
      <c r="NQ721"/>
      <c r="NR721"/>
      <c r="NS721"/>
      <c r="NT721"/>
      <c r="NU721"/>
      <c r="NV721"/>
      <c r="NW721"/>
      <c r="NX721"/>
      <c r="NY721"/>
      <c r="NZ721"/>
      <c r="OA721"/>
      <c r="OB721"/>
      <c r="OC721"/>
      <c r="OD721"/>
      <c r="OE721"/>
      <c r="OF721"/>
      <c r="OG721"/>
      <c r="OH721"/>
      <c r="OI721"/>
      <c r="OJ721"/>
      <c r="OK721"/>
      <c r="OL721"/>
      <c r="OM721"/>
      <c r="ON721"/>
      <c r="OO721"/>
      <c r="OP721"/>
      <c r="OQ721"/>
      <c r="OR721"/>
      <c r="OS721"/>
      <c r="OT721"/>
      <c r="OU721"/>
      <c r="OV721"/>
      <c r="OW721"/>
      <c r="OX721"/>
      <c r="OY721"/>
      <c r="OZ721"/>
      <c r="PA721"/>
      <c r="PB721"/>
      <c r="PC721"/>
      <c r="PD721"/>
      <c r="PE721"/>
      <c r="PF721"/>
      <c r="PG721"/>
      <c r="PH721"/>
      <c r="PI721"/>
      <c r="PJ721"/>
      <c r="PK721"/>
      <c r="PL721"/>
      <c r="PM721"/>
      <c r="PN721"/>
      <c r="PO721"/>
      <c r="PP721"/>
      <c r="PQ721"/>
      <c r="PR721"/>
      <c r="PS721"/>
      <c r="PT721"/>
      <c r="PU721"/>
      <c r="PV721"/>
      <c r="PW721"/>
      <c r="PX721"/>
      <c r="PY721"/>
      <c r="PZ721"/>
      <c r="QA721"/>
      <c r="QB721"/>
      <c r="QC721"/>
      <c r="QD721"/>
      <c r="QE721"/>
      <c r="QF721"/>
      <c r="QG721"/>
      <c r="QH721"/>
      <c r="QI721"/>
      <c r="QJ721"/>
      <c r="QK721"/>
      <c r="QL721"/>
      <c r="QM721"/>
      <c r="QN721"/>
      <c r="QO721"/>
      <c r="QP721"/>
      <c r="QQ721"/>
      <c r="QR721"/>
      <c r="QS721"/>
      <c r="QT721"/>
      <c r="QU721"/>
      <c r="QV721"/>
      <c r="QW721"/>
      <c r="QX721"/>
      <c r="QY721"/>
      <c r="QZ721"/>
      <c r="RA721"/>
      <c r="RB721"/>
      <c r="RC721"/>
      <c r="RD721"/>
      <c r="RE721"/>
      <c r="RF721"/>
      <c r="RG721"/>
      <c r="RH721"/>
      <c r="RI721"/>
      <c r="RJ721"/>
      <c r="RK721"/>
      <c r="RL721"/>
      <c r="RM721"/>
      <c r="RN721"/>
      <c r="RO721"/>
      <c r="RP721"/>
      <c r="RQ721"/>
      <c r="RR721"/>
      <c r="RS721"/>
      <c r="RT721"/>
      <c r="RU721"/>
      <c r="RV721"/>
      <c r="RW721"/>
      <c r="RX721"/>
      <c r="RY721"/>
      <c r="RZ721"/>
      <c r="SA721"/>
      <c r="SB721"/>
      <c r="SC721"/>
      <c r="SD721"/>
      <c r="SE721"/>
      <c r="SF721"/>
      <c r="SG721"/>
      <c r="SH721"/>
      <c r="SI721"/>
      <c r="SJ721"/>
      <c r="SK721"/>
      <c r="SL721"/>
      <c r="SM721"/>
      <c r="SN721"/>
      <c r="SO721"/>
      <c r="SP721"/>
      <c r="SQ721"/>
      <c r="SR721"/>
      <c r="SS721"/>
      <c r="ST721"/>
      <c r="SU721"/>
      <c r="SV721"/>
      <c r="SW721"/>
      <c r="SX721"/>
      <c r="SY721"/>
      <c r="SZ721"/>
      <c r="TA721"/>
      <c r="TB721"/>
      <c r="TC721"/>
      <c r="TD721"/>
      <c r="TE721"/>
      <c r="TF721"/>
      <c r="TG721"/>
      <c r="TH721"/>
      <c r="TI721"/>
      <c r="TJ721"/>
      <c r="TK721"/>
      <c r="TL721"/>
      <c r="TM721"/>
      <c r="TN721"/>
      <c r="TO721"/>
      <c r="TP721"/>
      <c r="TQ721"/>
      <c r="TR721"/>
      <c r="TS721"/>
      <c r="TT721"/>
      <c r="TU721"/>
      <c r="TV721"/>
      <c r="TW721"/>
      <c r="TX721"/>
      <c r="TY721"/>
      <c r="TZ721"/>
      <c r="UA721"/>
      <c r="UB721"/>
      <c r="UC721"/>
      <c r="UD721"/>
      <c r="UE721"/>
      <c r="UF721"/>
      <c r="UG721"/>
      <c r="UH721"/>
      <c r="UI721"/>
      <c r="UJ721"/>
      <c r="UK721"/>
      <c r="UL721"/>
      <c r="UM721"/>
      <c r="UN721"/>
      <c r="UO721"/>
      <c r="UP721"/>
      <c r="UQ721"/>
      <c r="UR721"/>
      <c r="US721"/>
      <c r="UT721"/>
      <c r="UU721"/>
      <c r="UV721"/>
      <c r="UW721"/>
      <c r="UX721"/>
      <c r="UY721"/>
      <c r="UZ721"/>
      <c r="VA721"/>
      <c r="VB721"/>
      <c r="VC721"/>
      <c r="VD721"/>
      <c r="VE721"/>
      <c r="VF721"/>
      <c r="VG721"/>
      <c r="VH721"/>
      <c r="VI721"/>
      <c r="VJ721"/>
      <c r="VK721"/>
      <c r="VL721"/>
      <c r="VM721"/>
      <c r="VN721"/>
      <c r="VO721"/>
      <c r="VP721"/>
      <c r="VQ721"/>
      <c r="VR721"/>
      <c r="VS721"/>
      <c r="VT721"/>
      <c r="VU721"/>
      <c r="VV721"/>
      <c r="VW721"/>
      <c r="VX721"/>
      <c r="VY721"/>
      <c r="VZ721"/>
      <c r="WA721"/>
      <c r="WB721"/>
      <c r="WC721"/>
      <c r="WD721"/>
      <c r="WE721"/>
      <c r="WF721"/>
      <c r="WG721"/>
      <c r="WH721"/>
      <c r="WI721"/>
      <c r="WJ721"/>
      <c r="WK721"/>
      <c r="WL721"/>
      <c r="WM721"/>
      <c r="WN721"/>
      <c r="WO721"/>
      <c r="WP721"/>
      <c r="WQ721"/>
      <c r="WR721"/>
      <c r="WS721"/>
      <c r="WT721"/>
      <c r="WU721"/>
      <c r="WV721"/>
      <c r="WW721"/>
      <c r="WX721"/>
      <c r="WY721"/>
      <c r="WZ721"/>
      <c r="XA721"/>
      <c r="XB721"/>
      <c r="XC721"/>
      <c r="XD721"/>
      <c r="XE721"/>
      <c r="XF721"/>
      <c r="XG721"/>
      <c r="XH721"/>
      <c r="XI721"/>
      <c r="XJ721"/>
      <c r="XK721"/>
      <c r="XL721"/>
      <c r="XM721"/>
      <c r="XN721"/>
      <c r="XO721"/>
      <c r="XP721"/>
      <c r="XQ721"/>
      <c r="XR721"/>
      <c r="XS721"/>
      <c r="XT721"/>
      <c r="XU721"/>
      <c r="XV721"/>
      <c r="XW721"/>
      <c r="XX721"/>
      <c r="XY721"/>
      <c r="XZ721"/>
      <c r="YA721"/>
      <c r="YB721"/>
      <c r="YC721"/>
      <c r="YD721"/>
      <c r="YE721"/>
      <c r="YF721"/>
      <c r="YG721"/>
      <c r="YH721"/>
      <c r="YI721"/>
      <c r="YJ721"/>
      <c r="YK721"/>
      <c r="YL721"/>
      <c r="YM721"/>
      <c r="YN721"/>
      <c r="YO721"/>
      <c r="YP721"/>
      <c r="YQ721"/>
      <c r="YR721"/>
      <c r="YS721"/>
      <c r="YT721"/>
      <c r="YU721"/>
      <c r="YV721"/>
      <c r="YW721"/>
      <c r="YX721"/>
      <c r="YY721"/>
      <c r="YZ721"/>
      <c r="ZA721"/>
      <c r="ZB721"/>
      <c r="ZC721"/>
      <c r="ZD721"/>
      <c r="ZE721"/>
      <c r="ZF721"/>
      <c r="ZG721"/>
      <c r="ZH721"/>
      <c r="ZI721"/>
      <c r="ZJ721"/>
      <c r="ZK721"/>
      <c r="ZL721"/>
      <c r="ZM721"/>
      <c r="ZN721"/>
      <c r="ZO721"/>
      <c r="ZP721"/>
      <c r="ZQ721"/>
      <c r="ZR721"/>
      <c r="ZS721"/>
      <c r="ZT721"/>
      <c r="ZU721"/>
      <c r="ZV721"/>
      <c r="ZW721"/>
      <c r="ZX721"/>
      <c r="ZY721"/>
      <c r="ZZ721"/>
      <c r="AAA721"/>
      <c r="AAB721"/>
      <c r="AAC721"/>
      <c r="AAD721"/>
      <c r="AAE721"/>
      <c r="AAF721"/>
      <c r="AAG721"/>
      <c r="AAH721"/>
      <c r="AAI721"/>
      <c r="AAJ721"/>
      <c r="AAK721"/>
      <c r="AAL721"/>
      <c r="AAM721"/>
      <c r="AAN721"/>
      <c r="AAO721"/>
      <c r="AAP721"/>
      <c r="AAQ721"/>
      <c r="AAR721"/>
      <c r="AAS721"/>
      <c r="AAT721"/>
      <c r="AAU721"/>
      <c r="AAV721"/>
      <c r="AAW721"/>
      <c r="AAX721"/>
      <c r="AAY721"/>
      <c r="AAZ721"/>
      <c r="ABA721"/>
      <c r="ABB721"/>
      <c r="ABC721"/>
      <c r="ABD721"/>
      <c r="ABE721"/>
      <c r="ABF721"/>
      <c r="ABG721"/>
      <c r="ABH721"/>
      <c r="ABI721"/>
      <c r="ABJ721"/>
      <c r="ABK721"/>
      <c r="ABL721"/>
      <c r="ABM721"/>
      <c r="ABN721"/>
      <c r="ABO721"/>
      <c r="ABP721"/>
      <c r="ABQ721"/>
      <c r="ABR721"/>
      <c r="ABS721"/>
      <c r="ABT721"/>
      <c r="ABU721"/>
      <c r="ABV721"/>
      <c r="ABW721"/>
      <c r="ABX721"/>
      <c r="ABY721"/>
      <c r="ABZ721"/>
      <c r="ACA721"/>
      <c r="ACB721"/>
      <c r="ACC721"/>
      <c r="ACD721"/>
      <c r="ACE721"/>
      <c r="ACF721"/>
      <c r="ACG721"/>
      <c r="ACH721"/>
      <c r="ACI721"/>
      <c r="ACJ721"/>
      <c r="ACK721"/>
      <c r="ACL721"/>
      <c r="ACM721"/>
      <c r="ACN721"/>
      <c r="ACO721"/>
      <c r="ACP721"/>
      <c r="ACQ721"/>
      <c r="ACR721"/>
      <c r="ACS721"/>
      <c r="ACT721"/>
      <c r="ACU721"/>
      <c r="ACV721"/>
      <c r="ACW721"/>
      <c r="ACX721"/>
      <c r="ACY721"/>
      <c r="ACZ721"/>
      <c r="ADA721"/>
      <c r="ADB721"/>
      <c r="ADC721"/>
      <c r="ADD721"/>
      <c r="ADE721"/>
      <c r="ADF721"/>
      <c r="ADG721"/>
      <c r="ADH721"/>
      <c r="ADI721"/>
      <c r="ADJ721"/>
      <c r="ADK721"/>
      <c r="ADL721"/>
      <c r="ADM721"/>
      <c r="ADN721"/>
      <c r="ADO721"/>
      <c r="ADP721"/>
      <c r="ADQ721"/>
      <c r="ADR721"/>
      <c r="ADS721"/>
      <c r="ADT721"/>
      <c r="ADU721"/>
      <c r="ADV721"/>
      <c r="ADW721"/>
      <c r="ADX721"/>
      <c r="ADY721"/>
      <c r="ADZ721"/>
      <c r="AEA721"/>
      <c r="AEB721"/>
      <c r="AEC721"/>
      <c r="AED721"/>
      <c r="AEE721"/>
      <c r="AEF721"/>
      <c r="AEG721"/>
      <c r="AEH721"/>
      <c r="AEI721"/>
      <c r="AEJ721"/>
      <c r="AEK721"/>
      <c r="AEL721"/>
      <c r="AEM721"/>
      <c r="AEN721"/>
      <c r="AEO721"/>
      <c r="AEP721"/>
      <c r="AEQ721"/>
      <c r="AER721"/>
      <c r="AES721"/>
      <c r="AET721"/>
      <c r="AEU721"/>
      <c r="AEV721"/>
      <c r="AEW721"/>
      <c r="AEX721"/>
      <c r="AEY721"/>
      <c r="AEZ721"/>
      <c r="AFA721"/>
      <c r="AFB721"/>
      <c r="AFC721"/>
      <c r="AFD721"/>
      <c r="AFE721"/>
      <c r="AFF721"/>
      <c r="AFG721"/>
      <c r="AFH721"/>
      <c r="AFI721"/>
      <c r="AFJ721"/>
      <c r="AFK721"/>
      <c r="AFL721"/>
      <c r="AFM721"/>
      <c r="AFN721"/>
      <c r="AFO721"/>
      <c r="AFP721"/>
      <c r="AFQ721"/>
      <c r="AFR721"/>
      <c r="AFS721"/>
      <c r="AFT721"/>
      <c r="AFU721"/>
      <c r="AFV721"/>
      <c r="AFW721"/>
      <c r="AFX721"/>
      <c r="AFY721"/>
      <c r="AFZ721"/>
      <c r="AGA721"/>
      <c r="AGB721"/>
      <c r="AGC721"/>
      <c r="AGD721"/>
      <c r="AGE721"/>
      <c r="AGF721"/>
      <c r="AGG721"/>
      <c r="AGH721"/>
      <c r="AGI721"/>
      <c r="AGJ721"/>
      <c r="AGK721"/>
      <c r="AGL721"/>
      <c r="AGM721"/>
      <c r="AGN721"/>
      <c r="AGO721"/>
      <c r="AGP721"/>
      <c r="AGQ721"/>
      <c r="AGR721"/>
      <c r="AGS721"/>
      <c r="AGT721"/>
      <c r="AGU721"/>
      <c r="AGV721"/>
      <c r="AGW721"/>
      <c r="AGX721"/>
      <c r="AGY721"/>
      <c r="AGZ721"/>
      <c r="AHA721"/>
      <c r="AHB721"/>
      <c r="AHC721"/>
      <c r="AHD721"/>
      <c r="AHE721"/>
      <c r="AHF721"/>
      <c r="AHG721"/>
      <c r="AHH721"/>
      <c r="AHI721"/>
      <c r="AHJ721"/>
      <c r="AHK721"/>
      <c r="AHL721"/>
      <c r="AHM721"/>
      <c r="AHN721"/>
      <c r="AHO721"/>
      <c r="AHP721"/>
      <c r="AHQ721"/>
      <c r="AHR721"/>
      <c r="AHS721"/>
      <c r="AHT721"/>
      <c r="AHU721"/>
      <c r="AHV721"/>
      <c r="AHW721"/>
      <c r="AHX721"/>
      <c r="AHY721"/>
      <c r="AHZ721"/>
      <c r="AIA721"/>
      <c r="AIB721"/>
      <c r="AIC721"/>
      <c r="AID721"/>
      <c r="AIE721"/>
      <c r="AIF721"/>
      <c r="AIG721"/>
      <c r="AIH721"/>
      <c r="AII721"/>
      <c r="AIJ721"/>
      <c r="AIK721"/>
      <c r="AIL721"/>
      <c r="AIM721"/>
      <c r="AIN721"/>
      <c r="AIO721"/>
      <c r="AIP721"/>
      <c r="AIQ721"/>
      <c r="AIR721"/>
      <c r="AIS721"/>
      <c r="AIT721"/>
      <c r="AIU721"/>
      <c r="AIV721"/>
      <c r="AIW721"/>
      <c r="AIX721"/>
      <c r="AIY721"/>
      <c r="AIZ721"/>
      <c r="AJA721"/>
      <c r="AJB721"/>
      <c r="AJC721"/>
      <c r="AJD721"/>
      <c r="AJE721"/>
      <c r="AJF721"/>
      <c r="AJG721"/>
      <c r="AJH721"/>
      <c r="AJI721"/>
      <c r="AJJ721"/>
      <c r="AJK721"/>
      <c r="AJL721"/>
      <c r="AJM721"/>
      <c r="AJN721"/>
      <c r="AJO721"/>
      <c r="AJP721"/>
      <c r="AJQ721"/>
      <c r="AJR721"/>
      <c r="AJS721"/>
      <c r="AJT721"/>
      <c r="AJU721"/>
      <c r="AJV721"/>
      <c r="AJW721"/>
      <c r="AJX721"/>
      <c r="AJY721"/>
      <c r="AJZ721"/>
      <c r="AKA721"/>
      <c r="AKB721"/>
      <c r="AKC721"/>
      <c r="AKD721"/>
      <c r="AKE721"/>
      <c r="AKF721"/>
      <c r="AKG721"/>
      <c r="AKH721"/>
      <c r="AKI721"/>
      <c r="AKJ721"/>
      <c r="AKK721"/>
      <c r="AKL721"/>
      <c r="AKM721"/>
      <c r="AKN721"/>
      <c r="AKO721"/>
      <c r="AKP721"/>
      <c r="AKQ721"/>
      <c r="AKR721"/>
      <c r="AKS721"/>
      <c r="AKT721"/>
      <c r="AKU721"/>
      <c r="AKV721"/>
      <c r="AKW721"/>
      <c r="AKX721"/>
      <c r="AKY721"/>
      <c r="AKZ721"/>
      <c r="ALA721"/>
      <c r="ALB721"/>
      <c r="ALC721"/>
      <c r="ALD721"/>
      <c r="ALE721"/>
      <c r="ALF721"/>
      <c r="ALG721"/>
      <c r="ALH721"/>
      <c r="ALI721"/>
      <c r="ALJ721"/>
      <c r="ALK721"/>
      <c r="ALL721"/>
      <c r="ALM721"/>
      <c r="ALN721"/>
      <c r="ALO721"/>
      <c r="ALP721"/>
      <c r="ALQ721"/>
      <c r="ALR721"/>
      <c r="ALS721"/>
      <c r="ALT721"/>
      <c r="ALU721"/>
      <c r="ALV721"/>
      <c r="ALW721"/>
      <c r="ALX721"/>
      <c r="ALY721"/>
      <c r="ALZ721"/>
      <c r="AMA721"/>
      <c r="AMB721"/>
      <c r="AMC721"/>
      <c r="AMD721"/>
      <c r="AME721"/>
      <c r="AMF721"/>
      <c r="AMG721"/>
      <c r="AMH721"/>
      <c r="AMI721"/>
      <c r="AMJ721"/>
      <c r="AMK721"/>
    </row>
  </sheetData>
  <mergeCells count="20">
    <mergeCell ref="A1:K1"/>
    <mergeCell ref="A2:C2"/>
    <mergeCell ref="D2:E2"/>
    <mergeCell ref="D3:E3"/>
    <mergeCell ref="A18:A19"/>
    <mergeCell ref="B18:B19"/>
    <mergeCell ref="A253:C253"/>
    <mergeCell ref="D253:E253"/>
    <mergeCell ref="B529:D529"/>
    <mergeCell ref="E529:G529"/>
    <mergeCell ref="J22:J23"/>
    <mergeCell ref="A157:K157"/>
    <mergeCell ref="A158:C158"/>
    <mergeCell ref="D158:E158"/>
    <mergeCell ref="A252:K252"/>
    <mergeCell ref="C22:C23"/>
    <mergeCell ref="F22:F23"/>
    <mergeCell ref="G22:G23"/>
    <mergeCell ref="H22:H23"/>
    <mergeCell ref="I22:I23"/>
  </mergeCells>
  <printOptions horizontalCentered="1"/>
  <pageMargins left="0.196527777777778" right="0.118055555555556" top="0.5" bottom="0.5" header="0.51180555555555496" footer="0.51180555555555496"/>
  <pageSetup paperSize="9" firstPageNumber="0" fitToHeight="3" orientation="portrait" horizontalDpi="300" verticalDpi="300"/>
  <rowBreaks count="1" manualBreakCount="1">
    <brk id="155" max="16383" man="1"/>
  </rowBreak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2"/>
  <sheetViews>
    <sheetView topLeftCell="A22" zoomScaleNormal="100" workbookViewId="0">
      <selection activeCell="F40" sqref="F40"/>
    </sheetView>
  </sheetViews>
  <sheetFormatPr defaultRowHeight="15"/>
  <cols>
    <col min="1" max="1" width="5.7109375" customWidth="1"/>
    <col min="2" max="2" width="18.140625" customWidth="1"/>
    <col min="3" max="3" width="28.85546875" customWidth="1"/>
    <col min="4" max="4" width="24.7109375" customWidth="1"/>
    <col min="5" max="5" width="14" customWidth="1"/>
    <col min="6" max="6" width="27.28515625" customWidth="1"/>
    <col min="7" max="7" width="26.140625" customWidth="1"/>
    <col min="8" max="9" width="8.5703125" customWidth="1"/>
    <col min="10" max="11" width="11" customWidth="1"/>
    <col min="12" max="12" width="14.7109375" customWidth="1"/>
    <col min="13" max="13" width="24.7109375" customWidth="1"/>
    <col min="14" max="14" width="14" customWidth="1"/>
    <col min="15" max="15" width="27.28515625" customWidth="1"/>
    <col min="16" max="16" width="26.140625" customWidth="1"/>
    <col min="17" max="17" width="8.5703125" customWidth="1"/>
    <col min="18" max="18" width="7.5703125" customWidth="1"/>
    <col min="19" max="20" width="11" customWidth="1"/>
    <col min="21" max="21" width="14.7109375" customWidth="1"/>
    <col min="22" max="22" width="35.85546875" customWidth="1"/>
    <col min="23" max="23" width="15.7109375" customWidth="1"/>
    <col min="24" max="24" width="13.42578125" style="12" customWidth="1"/>
    <col min="25" max="25" width="28.42578125" customWidth="1"/>
    <col min="26" max="26" width="8.5703125" customWidth="1"/>
    <col min="27" max="27" width="9" customWidth="1"/>
    <col min="28" max="28" width="14.7109375" customWidth="1"/>
    <col min="29" max="29" width="13.28515625" customWidth="1"/>
    <col min="30" max="30" width="14.7109375" customWidth="1"/>
    <col min="31" max="31" width="8.7109375" customWidth="1"/>
    <col min="32" max="32" width="12" customWidth="1"/>
    <col min="33" max="1025" width="8.7109375" customWidth="1"/>
  </cols>
  <sheetData>
    <row r="1" spans="1:35">
      <c r="D1" t="s">
        <v>6</v>
      </c>
      <c r="M1" t="s">
        <v>5</v>
      </c>
      <c r="V1" t="s">
        <v>6</v>
      </c>
    </row>
    <row r="2" spans="1:35">
      <c r="A2" t="s">
        <v>1058</v>
      </c>
      <c r="B2" t="s">
        <v>901</v>
      </c>
      <c r="C2" t="s">
        <v>2079</v>
      </c>
      <c r="D2" t="s">
        <v>2080</v>
      </c>
      <c r="E2" t="s">
        <v>2081</v>
      </c>
      <c r="F2" t="s">
        <v>2082</v>
      </c>
      <c r="G2" t="s">
        <v>2083</v>
      </c>
      <c r="H2" t="s">
        <v>290</v>
      </c>
      <c r="I2" t="s">
        <v>2084</v>
      </c>
      <c r="J2" t="s">
        <v>2085</v>
      </c>
      <c r="K2" t="s">
        <v>2086</v>
      </c>
      <c r="L2" t="s">
        <v>2087</v>
      </c>
      <c r="M2" t="s">
        <v>2080</v>
      </c>
      <c r="N2" t="s">
        <v>2081</v>
      </c>
      <c r="O2" t="s">
        <v>2082</v>
      </c>
      <c r="P2" t="s">
        <v>2083</v>
      </c>
      <c r="Q2" t="s">
        <v>290</v>
      </c>
      <c r="R2" t="s">
        <v>2084</v>
      </c>
      <c r="S2" t="s">
        <v>2085</v>
      </c>
      <c r="T2" t="s">
        <v>2086</v>
      </c>
      <c r="U2" t="s">
        <v>2087</v>
      </c>
      <c r="V2" t="s">
        <v>2088</v>
      </c>
      <c r="W2" t="s">
        <v>2081</v>
      </c>
      <c r="X2" s="846" t="s">
        <v>2082</v>
      </c>
      <c r="Y2" t="s">
        <v>2083</v>
      </c>
      <c r="Z2" t="s">
        <v>290</v>
      </c>
      <c r="AA2" t="s">
        <v>2084</v>
      </c>
      <c r="AB2" t="s">
        <v>2085</v>
      </c>
      <c r="AC2" t="s">
        <v>2086</v>
      </c>
      <c r="AD2" t="s">
        <v>2085</v>
      </c>
      <c r="AH2" t="s">
        <v>2089</v>
      </c>
    </row>
    <row r="3" spans="1:35">
      <c r="A3" s="238">
        <v>1</v>
      </c>
      <c r="B3" s="238" t="s">
        <v>80</v>
      </c>
      <c r="C3" s="238" t="s">
        <v>156</v>
      </c>
      <c r="D3" s="238" t="s">
        <v>1356</v>
      </c>
      <c r="E3" s="238" t="s">
        <v>1357</v>
      </c>
      <c r="F3" s="14">
        <f>'SS INPUT'!D6</f>
        <v>588.64</v>
      </c>
      <c r="G3" s="14">
        <f>'SS INPUT'!E6</f>
        <v>588.64</v>
      </c>
      <c r="H3" s="14">
        <f>'SS INPUT'!F6</f>
        <v>0</v>
      </c>
      <c r="I3" s="14">
        <f>'SS INPUT'!G6</f>
        <v>80000</v>
      </c>
      <c r="J3" s="14">
        <f>'SS INPUT'!H6</f>
        <v>0</v>
      </c>
      <c r="K3" s="14">
        <f>'SS INPUT'!I6</f>
        <v>0</v>
      </c>
      <c r="L3" s="14">
        <f>'SS INPUT'!J6</f>
        <v>0</v>
      </c>
      <c r="M3" s="238" t="s">
        <v>1361</v>
      </c>
      <c r="N3" s="238" t="s">
        <v>1362</v>
      </c>
      <c r="O3" s="238">
        <f>'SS INPUT'!D9</f>
        <v>109.16</v>
      </c>
      <c r="P3" s="238">
        <f>'SS INPUT'!E9</f>
        <v>109.16</v>
      </c>
      <c r="Q3" s="238">
        <f>'SS INPUT'!F9</f>
        <v>0</v>
      </c>
      <c r="R3" s="238">
        <f>'SS INPUT'!G9</f>
        <v>24000</v>
      </c>
      <c r="S3" s="238">
        <f>'SS INPUT'!H9</f>
        <v>0</v>
      </c>
      <c r="T3" s="238">
        <f>'SS INPUT'!I9</f>
        <v>0</v>
      </c>
      <c r="U3" s="238">
        <f>'SS INPUT'!J9</f>
        <v>0</v>
      </c>
      <c r="V3" s="238" t="s">
        <v>1365</v>
      </c>
      <c r="W3" s="238" t="s">
        <v>2090</v>
      </c>
      <c r="X3" s="14">
        <f>'SS INPUT'!D14</f>
        <v>52882.2</v>
      </c>
      <c r="Y3" s="14">
        <f>'SS INPUT'!E14</f>
        <v>56991.199999999997</v>
      </c>
      <c r="Z3" s="14">
        <f>'SS INPUT'!F14</f>
        <v>4109</v>
      </c>
      <c r="AA3" s="14">
        <f>'SS INPUT'!G14</f>
        <v>133.333</v>
      </c>
      <c r="AB3" s="14">
        <f>'SS INPUT'!H14</f>
        <v>547865.29700000002</v>
      </c>
      <c r="AC3" s="14">
        <f>'SS INPUT'!I14</f>
        <v>0</v>
      </c>
      <c r="AD3" s="14">
        <f>'SS INPUT'!J14</f>
        <v>547865.29700000002</v>
      </c>
      <c r="AE3" s="238"/>
      <c r="AF3" s="238"/>
      <c r="AG3" s="238"/>
      <c r="AH3" s="238"/>
      <c r="AI3" s="238"/>
    </row>
    <row r="4" spans="1:35">
      <c r="A4" s="238">
        <v>2</v>
      </c>
      <c r="B4" s="238" t="s">
        <v>80</v>
      </c>
      <c r="C4" s="238" t="s">
        <v>156</v>
      </c>
      <c r="D4" s="238" t="s">
        <v>1358</v>
      </c>
      <c r="E4" s="238" t="s">
        <v>1359</v>
      </c>
      <c r="F4" s="14">
        <f>'SS INPUT'!D7</f>
        <v>100948.1</v>
      </c>
      <c r="G4" s="14">
        <f>'SS INPUT'!E7</f>
        <v>100948.1</v>
      </c>
      <c r="H4" s="14">
        <f>'SS INPUT'!F7</f>
        <v>0</v>
      </c>
      <c r="I4" s="14">
        <f>'SS INPUT'!G7</f>
        <v>4000</v>
      </c>
      <c r="J4" s="14">
        <f>'SS INPUT'!H7</f>
        <v>0</v>
      </c>
      <c r="K4" s="14">
        <f>'SS INPUT'!I7</f>
        <v>1700000</v>
      </c>
      <c r="L4" s="14">
        <f>'SS INPUT'!J7</f>
        <v>1700000</v>
      </c>
      <c r="M4" s="238" t="s">
        <v>2091</v>
      </c>
      <c r="N4" s="238" t="s">
        <v>1362</v>
      </c>
      <c r="O4" s="238">
        <f>'SS INPUT'!D10</f>
        <v>74.599999999999994</v>
      </c>
      <c r="P4" s="238">
        <f>'SS INPUT'!E10</f>
        <v>74.599999999999994</v>
      </c>
      <c r="Q4" s="238">
        <f>'SS INPUT'!F10</f>
        <v>0</v>
      </c>
      <c r="R4" s="238">
        <f>'SS INPUT'!G10</f>
        <v>4000</v>
      </c>
      <c r="S4" s="238">
        <f>'SS INPUT'!H10</f>
        <v>0</v>
      </c>
      <c r="T4" s="238">
        <f>'SS INPUT'!I10</f>
        <v>0</v>
      </c>
      <c r="U4" s="238">
        <f>'SS INPUT'!J10</f>
        <v>0</v>
      </c>
      <c r="V4" s="238" t="s">
        <v>1296</v>
      </c>
      <c r="W4" s="238" t="s">
        <v>1367</v>
      </c>
      <c r="X4" s="14">
        <f>'SS INPUT'!D15</f>
        <v>89990.7</v>
      </c>
      <c r="Y4" s="14">
        <f>'SS INPUT'!E15</f>
        <v>89990.7</v>
      </c>
      <c r="Z4" s="14">
        <f>'SS INPUT'!F15</f>
        <v>0</v>
      </c>
      <c r="AA4" s="14">
        <f>'SS INPUT'!G15</f>
        <v>2000</v>
      </c>
      <c r="AB4" s="14">
        <f>'SS INPUT'!H15</f>
        <v>0</v>
      </c>
      <c r="AC4" s="14">
        <f>'SS INPUT'!I15</f>
        <v>0</v>
      </c>
      <c r="AD4" s="14">
        <f>'SS INPUT'!J15</f>
        <v>0</v>
      </c>
      <c r="AE4" s="238"/>
      <c r="AF4" s="238"/>
      <c r="AG4" s="238"/>
      <c r="AH4" s="238"/>
      <c r="AI4" s="238"/>
    </row>
    <row r="5" spans="1:35">
      <c r="A5" s="238">
        <v>3</v>
      </c>
      <c r="B5" s="238" t="s">
        <v>80</v>
      </c>
      <c r="C5" s="238" t="s">
        <v>156</v>
      </c>
      <c r="D5" s="238"/>
      <c r="E5" s="238"/>
      <c r="F5" s="14"/>
      <c r="G5" s="14"/>
      <c r="H5" s="14"/>
      <c r="I5" s="14"/>
      <c r="J5" s="14"/>
      <c r="K5" s="14"/>
      <c r="L5" s="14"/>
      <c r="M5" s="238" t="s">
        <v>2092</v>
      </c>
      <c r="N5" s="238" t="s">
        <v>1359</v>
      </c>
      <c r="O5" s="238">
        <f>'SS INPUT'!D11</f>
        <v>7.77</v>
      </c>
      <c r="P5" s="238">
        <f>'SS INPUT'!E11</f>
        <v>7.77</v>
      </c>
      <c r="Q5" s="238">
        <f>'SS INPUT'!F11</f>
        <v>0</v>
      </c>
      <c r="R5" s="238">
        <f>'SS INPUT'!G11</f>
        <v>80000</v>
      </c>
      <c r="S5" s="238">
        <f>'SS INPUT'!H11</f>
        <v>0</v>
      </c>
      <c r="T5" s="238">
        <f>'SS INPUT'!I11</f>
        <v>0</v>
      </c>
      <c r="U5" s="238">
        <f>'SS INPUT'!J11</f>
        <v>0</v>
      </c>
      <c r="V5" s="238" t="s">
        <v>1368</v>
      </c>
      <c r="W5" s="238" t="s">
        <v>1369</v>
      </c>
      <c r="X5" s="14">
        <f>'SS INPUT'!D16</f>
        <v>5818.2</v>
      </c>
      <c r="Y5" s="14">
        <f>'SS INPUT'!E16</f>
        <v>5837.9</v>
      </c>
      <c r="Z5" s="14">
        <f>'SS INPUT'!F16</f>
        <v>19.699999999999818</v>
      </c>
      <c r="AA5" s="14">
        <f>'SS INPUT'!G16</f>
        <v>1000</v>
      </c>
      <c r="AB5" s="14">
        <f>'SS INPUT'!H16</f>
        <v>19699.999999999818</v>
      </c>
      <c r="AC5" s="14">
        <f>'SS INPUT'!I16</f>
        <v>0</v>
      </c>
      <c r="AD5" s="14">
        <f>'SS INPUT'!J16</f>
        <v>19699.999999999818</v>
      </c>
      <c r="AE5" s="238"/>
      <c r="AF5" s="238"/>
      <c r="AG5" s="238"/>
      <c r="AH5" s="238"/>
      <c r="AI5" s="238"/>
    </row>
    <row r="6" spans="1:35">
      <c r="A6" s="238">
        <v>4</v>
      </c>
      <c r="B6" s="238" t="s">
        <v>80</v>
      </c>
      <c r="C6" s="238" t="s">
        <v>156</v>
      </c>
      <c r="D6" s="238"/>
      <c r="E6" s="238"/>
      <c r="F6" s="14"/>
      <c r="G6" s="14"/>
      <c r="H6" s="14"/>
      <c r="I6" s="14"/>
      <c r="J6" s="14"/>
      <c r="K6" s="14"/>
      <c r="L6" s="14"/>
      <c r="M6" s="238"/>
      <c r="N6" s="238"/>
      <c r="O6" s="238"/>
      <c r="P6" s="238"/>
      <c r="Q6" s="238"/>
      <c r="R6" s="238"/>
      <c r="S6" s="238"/>
      <c r="T6" s="238"/>
      <c r="U6" s="238"/>
      <c r="V6" s="238" t="s">
        <v>1154</v>
      </c>
      <c r="W6" s="238" t="s">
        <v>1370</v>
      </c>
      <c r="X6" s="14">
        <f>'SS INPUT'!D17</f>
        <v>106481.1</v>
      </c>
      <c r="Y6" s="14">
        <f>'SS INPUT'!E17</f>
        <v>107025.2</v>
      </c>
      <c r="Z6" s="14">
        <f>'SS INPUT'!F17</f>
        <v>544.09999999999127</v>
      </c>
      <c r="AA6" s="14">
        <f>'SS INPUT'!G17</f>
        <v>2000</v>
      </c>
      <c r="AB6" s="14">
        <f>'SS INPUT'!H17</f>
        <v>1088199.9999999825</v>
      </c>
      <c r="AC6" s="14">
        <f>'SS INPUT'!I17</f>
        <v>0</v>
      </c>
      <c r="AD6" s="14">
        <f>'SS INPUT'!J17</f>
        <v>1088199.9999999825</v>
      </c>
      <c r="AE6" s="238"/>
      <c r="AF6" s="238"/>
      <c r="AG6" s="238"/>
      <c r="AH6" s="238"/>
      <c r="AI6" s="238"/>
    </row>
    <row r="7" spans="1:35">
      <c r="A7" s="238">
        <v>5</v>
      </c>
      <c r="B7" s="238" t="s">
        <v>80</v>
      </c>
      <c r="C7" s="238" t="s">
        <v>156</v>
      </c>
      <c r="D7" s="238"/>
      <c r="E7" s="238"/>
      <c r="F7" s="14"/>
      <c r="G7" s="14"/>
      <c r="H7" s="14"/>
      <c r="I7" s="14"/>
      <c r="J7" s="14"/>
      <c r="K7" s="14"/>
      <c r="L7" s="14"/>
      <c r="M7" s="238"/>
      <c r="N7" s="238"/>
      <c r="O7" s="238"/>
      <c r="P7" s="238"/>
      <c r="Q7" s="238"/>
      <c r="R7" s="238"/>
      <c r="S7" s="238"/>
      <c r="T7" s="238"/>
      <c r="U7" s="238"/>
      <c r="V7" s="238" t="s">
        <v>1371</v>
      </c>
      <c r="W7" s="238">
        <v>3721482</v>
      </c>
      <c r="X7" s="14">
        <f>'SS INPUT'!D18</f>
        <v>2186.1999999999998</v>
      </c>
      <c r="Y7" s="14">
        <f>'SS INPUT'!E18</f>
        <v>2326.1</v>
      </c>
      <c r="Z7" s="14">
        <f>'SS INPUT'!F18</f>
        <v>139.90000000000009</v>
      </c>
      <c r="AA7" s="14">
        <f>'SS INPUT'!G18</f>
        <v>133.33000000000001</v>
      </c>
      <c r="AB7" s="14">
        <f>'SS INPUT'!H18</f>
        <v>18652.867000000013</v>
      </c>
      <c r="AC7" s="14">
        <f>'SS INPUT'!I18</f>
        <v>6986.9772000000339</v>
      </c>
      <c r="AD7" s="20">
        <f>'SS INPUT'!J18</f>
        <v>25639.844200000047</v>
      </c>
      <c r="AE7" s="238"/>
      <c r="AF7" s="238"/>
      <c r="AG7" s="238"/>
      <c r="AH7" s="238"/>
      <c r="AI7" s="238"/>
    </row>
    <row r="8" spans="1:35">
      <c r="A8" s="238">
        <v>6</v>
      </c>
      <c r="B8" s="238" t="s">
        <v>80</v>
      </c>
      <c r="C8" s="238" t="s">
        <v>156</v>
      </c>
      <c r="D8" s="238"/>
      <c r="E8" s="238"/>
      <c r="F8" s="14"/>
      <c r="G8" s="14"/>
      <c r="H8" s="14"/>
      <c r="I8" s="14"/>
      <c r="J8" s="14"/>
      <c r="K8" s="14"/>
      <c r="L8" s="14"/>
      <c r="M8" s="238"/>
      <c r="N8" s="238"/>
      <c r="O8" s="238"/>
      <c r="P8" s="238"/>
      <c r="Q8" s="238"/>
      <c r="R8" s="238"/>
      <c r="S8" s="238"/>
      <c r="T8" s="238"/>
      <c r="U8" s="238"/>
      <c r="V8" s="238" t="s">
        <v>1371</v>
      </c>
      <c r="W8" s="238" t="s">
        <v>1373</v>
      </c>
      <c r="X8" s="14">
        <f>'SS INPUT'!D19</f>
        <v>1161680</v>
      </c>
      <c r="Y8" s="14">
        <f>'SS INPUT'!E19</f>
        <v>1161680</v>
      </c>
      <c r="Z8" s="14">
        <f>'SS INPUT'!F19</f>
        <v>0</v>
      </c>
      <c r="AA8" s="14">
        <f>'SS INPUT'!G19</f>
        <v>0.5</v>
      </c>
      <c r="AB8" s="14">
        <f>'SS INPUT'!H19</f>
        <v>0</v>
      </c>
      <c r="AC8" s="14">
        <f>'SS INPUT'!I19</f>
        <v>0</v>
      </c>
      <c r="AD8" s="14">
        <f>'SS INPUT'!J19</f>
        <v>0</v>
      </c>
      <c r="AE8" s="238"/>
      <c r="AF8" s="238"/>
      <c r="AG8" s="238"/>
      <c r="AH8" s="238"/>
      <c r="AI8" s="238"/>
    </row>
    <row r="9" spans="1:35">
      <c r="A9" s="238">
        <v>7</v>
      </c>
      <c r="B9" s="238" t="s">
        <v>80</v>
      </c>
      <c r="C9" s="238" t="s">
        <v>2093</v>
      </c>
      <c r="D9" s="238" t="s">
        <v>1375</v>
      </c>
      <c r="E9" s="238">
        <v>3743657</v>
      </c>
      <c r="F9" s="14">
        <f>'SS INPUT'!D22</f>
        <v>974488.5</v>
      </c>
      <c r="G9" s="14">
        <f>'SS INPUT'!E22</f>
        <v>996561.8</v>
      </c>
      <c r="H9" s="14">
        <f>'SS INPUT'!F22</f>
        <v>22073.300000000047</v>
      </c>
      <c r="I9" s="14">
        <f>'SS INPUT'!G22</f>
        <v>80</v>
      </c>
      <c r="J9" s="14">
        <f>'SS INPUT'!H22</f>
        <v>1765864.0000000037</v>
      </c>
      <c r="K9" s="14">
        <f>'SS INPUT'!I22</f>
        <v>0</v>
      </c>
      <c r="L9" s="14">
        <f>'SS INPUT'!J22</f>
        <v>1765864.0000000037</v>
      </c>
      <c r="M9" s="238"/>
      <c r="N9" s="238"/>
      <c r="O9" s="238"/>
      <c r="P9" s="238"/>
      <c r="Q9" s="238"/>
      <c r="R9" s="238"/>
      <c r="S9" s="238"/>
      <c r="T9" s="238"/>
      <c r="U9" s="238"/>
      <c r="V9" s="238" t="s">
        <v>1162</v>
      </c>
      <c r="W9" s="238" t="s">
        <v>1377</v>
      </c>
      <c r="X9" s="778">
        <f>'SS INPUT'!D26</f>
        <v>2953.83</v>
      </c>
      <c r="Y9" s="778">
        <f>'SS INPUT'!E26</f>
        <v>3001.75</v>
      </c>
      <c r="Z9" s="778">
        <f>'SS INPUT'!F26</f>
        <v>47.920000000000073</v>
      </c>
      <c r="AA9" s="778">
        <f>'SS INPUT'!G26</f>
        <v>6000</v>
      </c>
      <c r="AB9" s="20">
        <f>'SS INPUT'!H26</f>
        <v>287520.00000000047</v>
      </c>
      <c r="AC9" s="778">
        <f>'SS INPUT'!I26</f>
        <v>35000</v>
      </c>
      <c r="AD9" s="20">
        <f>'SS INPUT'!J26</f>
        <v>322520.00000000047</v>
      </c>
      <c r="AE9" s="238"/>
      <c r="AF9" s="238"/>
      <c r="AG9" s="238"/>
      <c r="AH9" s="238"/>
      <c r="AI9" s="238"/>
    </row>
    <row r="10" spans="1:35">
      <c r="A10" s="238">
        <v>8</v>
      </c>
      <c r="B10" s="238" t="s">
        <v>80</v>
      </c>
      <c r="C10" s="238" t="s">
        <v>2093</v>
      </c>
      <c r="D10" s="238" t="s">
        <v>1376</v>
      </c>
      <c r="E10" s="238"/>
      <c r="F10" s="14"/>
      <c r="G10" s="14"/>
      <c r="H10" s="14"/>
      <c r="I10" s="14"/>
      <c r="J10" s="14"/>
      <c r="K10" s="14"/>
      <c r="L10" s="14"/>
      <c r="M10" s="238"/>
      <c r="N10" s="238"/>
      <c r="O10" s="238"/>
      <c r="P10" s="238"/>
      <c r="Q10" s="238"/>
      <c r="R10" s="238"/>
      <c r="S10" s="238"/>
      <c r="T10" s="238"/>
      <c r="U10" s="238"/>
      <c r="V10" s="238" t="s">
        <v>1165</v>
      </c>
      <c r="W10" s="238" t="s">
        <v>1378</v>
      </c>
      <c r="X10" s="778">
        <f>'SS INPUT'!D27</f>
        <v>60989</v>
      </c>
      <c r="Y10" s="778">
        <f>'SS INPUT'!E27</f>
        <v>61303.4</v>
      </c>
      <c r="Z10" s="778">
        <f>'SS INPUT'!F27</f>
        <v>314.40000000000146</v>
      </c>
      <c r="AA10" s="778">
        <f>'SS INPUT'!G27</f>
        <v>2000</v>
      </c>
      <c r="AB10" s="20">
        <f>'SS INPUT'!H27</f>
        <v>628800.00000000291</v>
      </c>
      <c r="AC10" s="778">
        <f>'SS INPUT'!I27</f>
        <v>620000</v>
      </c>
      <c r="AD10" s="20">
        <f>'SS INPUT'!J27</f>
        <v>1248800.0000000028</v>
      </c>
      <c r="AE10" s="238"/>
      <c r="AF10" s="238"/>
      <c r="AG10" s="238"/>
      <c r="AH10" s="238"/>
      <c r="AI10" s="238"/>
    </row>
    <row r="11" spans="1:35">
      <c r="A11" s="238">
        <v>9</v>
      </c>
      <c r="B11" s="238" t="s">
        <v>80</v>
      </c>
      <c r="C11" s="238" t="s">
        <v>2093</v>
      </c>
      <c r="D11" s="238"/>
      <c r="E11" s="238"/>
      <c r="F11" s="14"/>
      <c r="G11" s="14"/>
      <c r="H11" s="14"/>
      <c r="I11" s="14"/>
      <c r="J11" s="14"/>
      <c r="K11" s="14"/>
      <c r="L11" s="14"/>
      <c r="M11" s="238"/>
      <c r="N11" s="238"/>
      <c r="O11" s="238"/>
      <c r="P11" s="238"/>
      <c r="Q11" s="238"/>
      <c r="R11" s="238"/>
      <c r="S11" s="238"/>
      <c r="T11" s="238"/>
      <c r="U11" s="238"/>
      <c r="V11" s="238" t="s">
        <v>1158</v>
      </c>
      <c r="W11" s="238" t="s">
        <v>1379</v>
      </c>
      <c r="X11" s="778">
        <f>'SS INPUT'!D28</f>
        <v>62823.9</v>
      </c>
      <c r="Y11" s="778">
        <f>'SS INPUT'!E28</f>
        <v>62907.8</v>
      </c>
      <c r="Z11" s="778">
        <f>'SS INPUT'!F28</f>
        <v>83.900000000001455</v>
      </c>
      <c r="AA11" s="778">
        <f>'SS INPUT'!G28</f>
        <v>2000</v>
      </c>
      <c r="AB11" s="20">
        <f>'SS INPUT'!H28</f>
        <v>167800.00000000291</v>
      </c>
      <c r="AC11" s="778">
        <f>'SS INPUT'!I28</f>
        <v>0</v>
      </c>
      <c r="AD11" s="20">
        <f>'SS INPUT'!J28</f>
        <v>167800.00000000291</v>
      </c>
      <c r="AE11" s="238"/>
      <c r="AF11" s="238"/>
      <c r="AG11" s="238"/>
      <c r="AH11" s="238"/>
      <c r="AI11" s="238"/>
    </row>
    <row r="12" spans="1:35">
      <c r="A12" s="238">
        <v>10</v>
      </c>
      <c r="B12" s="238" t="s">
        <v>80</v>
      </c>
      <c r="C12" s="238" t="s">
        <v>928</v>
      </c>
      <c r="D12" s="238" t="s">
        <v>1381</v>
      </c>
      <c r="E12" s="238" t="s">
        <v>1382</v>
      </c>
      <c r="F12" s="14">
        <f>'SS INPUT'!D31</f>
        <v>163068.79999999999</v>
      </c>
      <c r="G12" s="14">
        <f>'SS INPUT'!E31</f>
        <v>163880.9</v>
      </c>
      <c r="H12" s="14">
        <f>'SS INPUT'!F31</f>
        <v>812.10000000000582</v>
      </c>
      <c r="I12" s="14">
        <f>'SS INPUT'!G31</f>
        <v>2000</v>
      </c>
      <c r="J12" s="14">
        <f>'SS INPUT'!H31</f>
        <v>1624200.0000000116</v>
      </c>
      <c r="K12" s="14">
        <f>'SS INPUT'!I31</f>
        <v>0</v>
      </c>
      <c r="L12" s="14">
        <f>'SS INPUT'!J31</f>
        <v>1624200.0000000116</v>
      </c>
      <c r="M12" s="238"/>
      <c r="N12" s="238"/>
      <c r="O12" s="238"/>
      <c r="P12" s="238"/>
      <c r="Q12" s="238"/>
      <c r="R12" s="238"/>
      <c r="S12" s="238"/>
      <c r="T12" s="238"/>
      <c r="U12" s="238"/>
      <c r="V12" s="238" t="s">
        <v>1383</v>
      </c>
      <c r="W12" s="238" t="s">
        <v>335</v>
      </c>
      <c r="X12" s="14">
        <f>'SS INPUT'!D34</f>
        <v>38667.800000000003</v>
      </c>
      <c r="Y12" s="14">
        <f>'SS INPUT'!E34</f>
        <v>38940.300000000003</v>
      </c>
      <c r="Z12" s="14">
        <f>'SS INPUT'!F34</f>
        <v>272.5</v>
      </c>
      <c r="AA12" s="14">
        <f>'SS INPUT'!G34</f>
        <v>2000</v>
      </c>
      <c r="AB12" s="14">
        <f>'SS INPUT'!H34</f>
        <v>545000</v>
      </c>
      <c r="AC12" s="14">
        <f>'SS INPUT'!I34</f>
        <v>0</v>
      </c>
      <c r="AD12" s="14">
        <f>'SS INPUT'!J34</f>
        <v>545000</v>
      </c>
      <c r="AE12" s="238"/>
      <c r="AF12" s="238"/>
      <c r="AG12" s="238"/>
      <c r="AH12" s="238"/>
      <c r="AI12" s="238"/>
    </row>
    <row r="13" spans="1:35">
      <c r="A13" s="238">
        <v>11</v>
      </c>
      <c r="B13" s="238" t="s">
        <v>80</v>
      </c>
      <c r="C13" s="238" t="s">
        <v>928</v>
      </c>
      <c r="D13" s="238"/>
      <c r="E13" s="238"/>
      <c r="F13" s="14"/>
      <c r="G13" s="14"/>
      <c r="H13" s="14"/>
      <c r="I13" s="14"/>
      <c r="J13" s="14"/>
      <c r="K13" s="14"/>
      <c r="L13" s="14"/>
      <c r="M13" s="238"/>
      <c r="N13" s="238"/>
      <c r="O13" s="238"/>
      <c r="P13" s="238"/>
      <c r="Q13" s="238"/>
      <c r="R13" s="238"/>
      <c r="S13" s="238"/>
      <c r="T13" s="238"/>
      <c r="U13" s="238"/>
      <c r="V13" s="238" t="s">
        <v>1183</v>
      </c>
      <c r="W13" s="238" t="s">
        <v>1384</v>
      </c>
      <c r="X13" s="14">
        <f>'SS INPUT'!D35</f>
        <v>42299.9</v>
      </c>
      <c r="Y13" s="14">
        <f>'SS INPUT'!E35</f>
        <v>42299.9</v>
      </c>
      <c r="Z13" s="14">
        <f>'SS INPUT'!F35</f>
        <v>0</v>
      </c>
      <c r="AA13" s="14">
        <f>'SS INPUT'!G35</f>
        <v>2000</v>
      </c>
      <c r="AB13" s="14">
        <f>'SS INPUT'!H35</f>
        <v>0</v>
      </c>
      <c r="AC13" s="14">
        <f>'SS INPUT'!I35</f>
        <v>99360</v>
      </c>
      <c r="AD13" s="14">
        <f>'SS INPUT'!J35</f>
        <v>99360</v>
      </c>
      <c r="AE13" s="238"/>
      <c r="AF13" s="238"/>
      <c r="AG13" s="238"/>
      <c r="AH13" s="238"/>
      <c r="AI13" s="238"/>
    </row>
    <row r="14" spans="1:35">
      <c r="A14" s="238">
        <v>12</v>
      </c>
      <c r="B14" s="238" t="s">
        <v>80</v>
      </c>
      <c r="C14" s="238" t="s">
        <v>928</v>
      </c>
      <c r="D14" s="238"/>
      <c r="E14" s="238"/>
      <c r="F14" s="14"/>
      <c r="G14" s="14"/>
      <c r="H14" s="14"/>
      <c r="I14" s="14"/>
      <c r="J14" s="14"/>
      <c r="K14" s="14"/>
      <c r="L14" s="14"/>
      <c r="M14" s="238"/>
      <c r="N14" s="238"/>
      <c r="O14" s="238"/>
      <c r="P14" s="238"/>
      <c r="Q14" s="238"/>
      <c r="R14" s="238"/>
      <c r="S14" s="238"/>
      <c r="T14" s="238"/>
      <c r="U14" s="238"/>
      <c r="V14" s="238" t="s">
        <v>1385</v>
      </c>
      <c r="W14" s="238" t="s">
        <v>1386</v>
      </c>
      <c r="X14" s="14">
        <f>'SS INPUT'!D36</f>
        <v>53961.2</v>
      </c>
      <c r="Y14" s="14">
        <f>'SS INPUT'!E36</f>
        <v>54256.3</v>
      </c>
      <c r="Z14" s="14">
        <f>'SS INPUT'!F36</f>
        <v>295.10000000000582</v>
      </c>
      <c r="AA14" s="14">
        <f>'SS INPUT'!G36</f>
        <v>2000</v>
      </c>
      <c r="AB14" s="14">
        <f>'SS INPUT'!H36</f>
        <v>590200.00000001164</v>
      </c>
      <c r="AC14" s="14">
        <f>'SS INPUT'!I36</f>
        <v>0</v>
      </c>
      <c r="AD14" s="14">
        <f>'SS INPUT'!J36</f>
        <v>590200.00000001164</v>
      </c>
      <c r="AE14" s="238"/>
      <c r="AF14" s="238"/>
      <c r="AG14" s="238"/>
      <c r="AH14" s="238"/>
      <c r="AI14" s="238"/>
    </row>
    <row r="15" spans="1:35">
      <c r="A15" s="238">
        <v>13</v>
      </c>
      <c r="B15" s="238" t="s">
        <v>80</v>
      </c>
      <c r="C15" s="238" t="s">
        <v>928</v>
      </c>
      <c r="D15" s="238"/>
      <c r="E15" s="238"/>
      <c r="F15" s="14"/>
      <c r="G15" s="14"/>
      <c r="H15" s="14"/>
      <c r="I15" s="14"/>
      <c r="J15" s="14"/>
      <c r="K15" s="14"/>
      <c r="L15" s="14"/>
      <c r="M15" s="238"/>
      <c r="N15" s="238"/>
      <c r="O15" s="238"/>
      <c r="P15" s="238"/>
      <c r="Q15" s="238"/>
      <c r="R15" s="238"/>
      <c r="S15" s="238"/>
      <c r="T15" s="238"/>
      <c r="U15" s="238"/>
      <c r="V15" s="238" t="s">
        <v>1387</v>
      </c>
      <c r="W15" s="238" t="s">
        <v>1388</v>
      </c>
      <c r="X15" s="14">
        <f>'SS INPUT'!D37</f>
        <v>2199.29</v>
      </c>
      <c r="Y15" s="14">
        <f>'SS INPUT'!E37</f>
        <v>2199.29</v>
      </c>
      <c r="Z15" s="14">
        <f>'SS INPUT'!F37</f>
        <v>0</v>
      </c>
      <c r="AA15" s="14">
        <f>'SS INPUT'!G37</f>
        <v>20000</v>
      </c>
      <c r="AB15" s="14">
        <f>'SS INPUT'!H37</f>
        <v>0</v>
      </c>
      <c r="AC15" s="14">
        <f>'SS INPUT'!I37</f>
        <v>364884</v>
      </c>
      <c r="AD15" s="14">
        <f>'SS INPUT'!J37</f>
        <v>364884</v>
      </c>
      <c r="AE15" s="238"/>
      <c r="AF15" s="238"/>
      <c r="AG15" s="238"/>
      <c r="AH15" s="238"/>
      <c r="AI15" s="238"/>
    </row>
    <row r="16" spans="1:35">
      <c r="A16" s="238">
        <v>14</v>
      </c>
      <c r="B16" s="238" t="s">
        <v>80</v>
      </c>
      <c r="C16" s="238" t="s">
        <v>1175</v>
      </c>
      <c r="D16" s="238" t="s">
        <v>925</v>
      </c>
      <c r="E16" s="238"/>
      <c r="F16" s="14">
        <f>'SS INPUT'!D42</f>
        <v>0</v>
      </c>
      <c r="G16" s="14">
        <f>'SS INPUT'!E42</f>
        <v>0</v>
      </c>
      <c r="H16" s="14">
        <f>'SS INPUT'!F42</f>
        <v>0</v>
      </c>
      <c r="I16" s="14">
        <f>'SS INPUT'!G42</f>
        <v>0</v>
      </c>
      <c r="J16" s="14">
        <f>'SS INPUT'!H42</f>
        <v>0</v>
      </c>
      <c r="K16" s="14">
        <f>'SS INPUT'!I42</f>
        <v>0</v>
      </c>
      <c r="L16" s="14">
        <f>'SS INPUT'!J42</f>
        <v>0</v>
      </c>
      <c r="M16" s="238"/>
      <c r="N16" s="238"/>
      <c r="O16" s="238"/>
      <c r="P16" s="238"/>
      <c r="Q16" s="238"/>
      <c r="R16" s="238"/>
      <c r="S16" s="238"/>
      <c r="T16" s="238"/>
      <c r="U16" s="238"/>
      <c r="V16" s="238" t="s">
        <v>1394</v>
      </c>
      <c r="W16" s="238"/>
      <c r="X16" s="14" t="e">
        <f>'SS INPUT'!#REF!</f>
        <v>#REF!</v>
      </c>
      <c r="Y16" s="14" t="e">
        <f>'SS INPUT'!#REF!</f>
        <v>#REF!</v>
      </c>
      <c r="Z16" s="14" t="e">
        <f>'SS INPUT'!#REF!</f>
        <v>#REF!</v>
      </c>
      <c r="AA16" s="14" t="e">
        <f>'SS INPUT'!#REF!</f>
        <v>#REF!</v>
      </c>
      <c r="AB16" s="14" t="e">
        <f>'SS INPUT'!#REF!</f>
        <v>#REF!</v>
      </c>
      <c r="AC16" s="14" t="e">
        <f>'SS INPUT'!#REF!</f>
        <v>#REF!</v>
      </c>
      <c r="AD16" s="14" t="e">
        <f>'SS INPUT'!#REF!</f>
        <v>#REF!</v>
      </c>
      <c r="AE16" s="238"/>
      <c r="AF16" s="238"/>
      <c r="AG16" s="238"/>
      <c r="AH16" s="238"/>
      <c r="AI16" s="238"/>
    </row>
    <row r="17" spans="1:35">
      <c r="A17" s="238">
        <v>15</v>
      </c>
      <c r="B17" s="238" t="s">
        <v>80</v>
      </c>
      <c r="C17" s="238" t="s">
        <v>1175</v>
      </c>
      <c r="D17" s="238"/>
      <c r="E17" s="238"/>
      <c r="F17" s="14"/>
      <c r="G17" s="14"/>
      <c r="H17" s="14"/>
      <c r="I17" s="14"/>
      <c r="J17" s="14"/>
      <c r="K17" s="14"/>
      <c r="L17" s="14"/>
      <c r="M17" s="238"/>
      <c r="N17" s="238"/>
      <c r="O17" s="238"/>
      <c r="P17" s="238"/>
      <c r="Q17" s="238"/>
      <c r="R17" s="238"/>
      <c r="S17" s="238"/>
      <c r="T17" s="238"/>
      <c r="U17" s="238"/>
      <c r="V17" s="238" t="s">
        <v>1174</v>
      </c>
      <c r="W17" s="238"/>
      <c r="X17" s="14" t="e">
        <f>'SS INPUT'!#REF!</f>
        <v>#REF!</v>
      </c>
      <c r="Y17" s="14" t="e">
        <f>'SS INPUT'!#REF!</f>
        <v>#REF!</v>
      </c>
      <c r="Z17" s="14" t="e">
        <f>'SS INPUT'!#REF!</f>
        <v>#REF!</v>
      </c>
      <c r="AA17" s="14" t="e">
        <f>'SS INPUT'!#REF!</f>
        <v>#REF!</v>
      </c>
      <c r="AB17" s="14" t="e">
        <f>'SS INPUT'!#REF!</f>
        <v>#REF!</v>
      </c>
      <c r="AC17" s="14" t="e">
        <f>'SS INPUT'!#REF!</f>
        <v>#REF!</v>
      </c>
      <c r="AD17" s="14" t="e">
        <f>'SS INPUT'!#REF!</f>
        <v>#REF!</v>
      </c>
      <c r="AE17" s="238"/>
      <c r="AF17" s="238"/>
      <c r="AG17" s="238"/>
      <c r="AH17" s="238"/>
      <c r="AI17" s="238"/>
    </row>
    <row r="18" spans="1:35">
      <c r="A18" s="238">
        <v>16</v>
      </c>
      <c r="B18" s="238" t="s">
        <v>80</v>
      </c>
      <c r="C18" s="238" t="s">
        <v>1175</v>
      </c>
      <c r="D18" s="238"/>
      <c r="E18" s="238"/>
      <c r="F18" s="14"/>
      <c r="G18" s="14"/>
      <c r="H18" s="14"/>
      <c r="I18" s="14"/>
      <c r="J18" s="14"/>
      <c r="K18" s="14"/>
      <c r="L18" s="14"/>
      <c r="M18" s="238"/>
      <c r="N18" s="238"/>
      <c r="O18" s="238"/>
      <c r="P18" s="238"/>
      <c r="Q18" s="238"/>
      <c r="R18" s="238"/>
      <c r="S18" s="238"/>
      <c r="T18" s="238"/>
      <c r="U18" s="238"/>
      <c r="V18" s="238" t="s">
        <v>1397</v>
      </c>
      <c r="W18" s="238"/>
      <c r="X18" s="14" t="e">
        <f>'SS INPUT'!#REF!</f>
        <v>#REF!</v>
      </c>
      <c r="Y18" s="14" t="e">
        <f>'SS INPUT'!#REF!</f>
        <v>#REF!</v>
      </c>
      <c r="Z18" s="14" t="e">
        <f>'SS INPUT'!#REF!</f>
        <v>#REF!</v>
      </c>
      <c r="AA18" s="14" t="e">
        <f>'SS INPUT'!#REF!</f>
        <v>#REF!</v>
      </c>
      <c r="AB18" s="14" t="e">
        <f>'SS INPUT'!#REF!</f>
        <v>#REF!</v>
      </c>
      <c r="AC18" s="14" t="e">
        <f>'SS INPUT'!#REF!</f>
        <v>#REF!</v>
      </c>
      <c r="AD18" s="14" t="e">
        <f>'SS INPUT'!#REF!</f>
        <v>#REF!</v>
      </c>
      <c r="AE18" s="238"/>
      <c r="AF18" s="238"/>
      <c r="AG18" s="238"/>
      <c r="AH18" s="238"/>
      <c r="AI18" s="238"/>
    </row>
    <row r="19" spans="1:35">
      <c r="A19" s="238">
        <v>17</v>
      </c>
      <c r="B19" s="238" t="s">
        <v>80</v>
      </c>
      <c r="C19" s="238" t="s">
        <v>1284</v>
      </c>
      <c r="D19" s="238" t="s">
        <v>1400</v>
      </c>
      <c r="E19" s="238" t="s">
        <v>1401</v>
      </c>
      <c r="F19" s="14">
        <f>'SS INPUT'!D51</f>
        <v>350278</v>
      </c>
      <c r="G19" s="14">
        <f>'SS INPUT'!E51</f>
        <v>350278</v>
      </c>
      <c r="H19" s="14">
        <f>'SS INPUT'!F51</f>
        <v>0</v>
      </c>
      <c r="I19" s="14">
        <f>'SS INPUT'!G51</f>
        <v>240</v>
      </c>
      <c r="J19" s="14">
        <f>'SS INPUT'!H51</f>
        <v>0</v>
      </c>
      <c r="K19" s="14">
        <f>'SS INPUT'!I51</f>
        <v>1640000</v>
      </c>
      <c r="L19" s="14">
        <f>'SS INPUT'!J51</f>
        <v>1640000</v>
      </c>
      <c r="M19" s="238"/>
      <c r="N19" s="238"/>
      <c r="O19" s="238"/>
      <c r="P19" s="238"/>
      <c r="Q19" s="238"/>
      <c r="R19" s="238"/>
      <c r="S19" s="238"/>
      <c r="T19" s="238"/>
      <c r="U19" s="238"/>
      <c r="V19" s="238" t="s">
        <v>1402</v>
      </c>
      <c r="W19" s="238" t="s">
        <v>1403</v>
      </c>
      <c r="X19" s="14">
        <f>'SS INPUT'!D54</f>
        <v>99325.7</v>
      </c>
      <c r="Y19" s="14">
        <f>'SS INPUT'!E54</f>
        <v>99880.3</v>
      </c>
      <c r="Z19" s="14">
        <f>'SS INPUT'!F54</f>
        <v>554.60000000000582</v>
      </c>
      <c r="AA19" s="14">
        <f>'SS INPUT'!G54</f>
        <v>1333.33</v>
      </c>
      <c r="AB19" s="20">
        <f>'SS INPUT'!H54</f>
        <v>739464.81800000777</v>
      </c>
      <c r="AC19" s="14">
        <f>'SS INPUT'!I54</f>
        <v>0</v>
      </c>
      <c r="AD19" s="20">
        <f>'SS INPUT'!J54</f>
        <v>739464.81800000777</v>
      </c>
      <c r="AE19" s="238"/>
      <c r="AF19" s="238"/>
      <c r="AG19" s="238"/>
      <c r="AH19" s="238"/>
      <c r="AI19" s="238"/>
    </row>
    <row r="20" spans="1:35">
      <c r="A20" s="238">
        <v>18</v>
      </c>
      <c r="B20" s="238" t="s">
        <v>80</v>
      </c>
      <c r="C20" s="238" t="s">
        <v>1284</v>
      </c>
      <c r="D20" s="238"/>
      <c r="E20" s="238"/>
      <c r="F20" s="14"/>
      <c r="G20" s="14"/>
      <c r="H20" s="14"/>
      <c r="I20" s="14"/>
      <c r="J20" s="14"/>
      <c r="K20" s="14"/>
      <c r="L20" s="14"/>
      <c r="M20" s="238"/>
      <c r="N20" s="238"/>
      <c r="O20" s="238"/>
      <c r="P20" s="238"/>
      <c r="Q20" s="238"/>
      <c r="R20" s="238"/>
      <c r="S20" s="238"/>
      <c r="T20" s="238"/>
      <c r="U20" s="238"/>
      <c r="V20" s="238" t="s">
        <v>1404</v>
      </c>
      <c r="W20" s="238" t="s">
        <v>1405</v>
      </c>
      <c r="X20" s="14">
        <f>'SS INPUT'!D55</f>
        <v>86000.3</v>
      </c>
      <c r="Y20" s="14">
        <f>'SS INPUT'!E55</f>
        <v>86435.1</v>
      </c>
      <c r="Z20" s="14">
        <f>'SS INPUT'!F55</f>
        <v>434.80000000000291</v>
      </c>
      <c r="AA20" s="14">
        <f>'SS INPUT'!G55</f>
        <v>2000</v>
      </c>
      <c r="AB20" s="14">
        <f>'SS INPUT'!H55</f>
        <v>869600.00000000582</v>
      </c>
      <c r="AC20" s="14">
        <f>'SS INPUT'!I55</f>
        <v>0</v>
      </c>
      <c r="AD20" s="14">
        <f>'SS INPUT'!J55</f>
        <v>869600.00000000582</v>
      </c>
      <c r="AE20" s="238"/>
      <c r="AF20" s="238"/>
      <c r="AG20" s="238"/>
      <c r="AH20" s="238"/>
      <c r="AI20" s="238"/>
    </row>
    <row r="21" spans="1:35">
      <c r="A21" s="238">
        <v>19</v>
      </c>
      <c r="B21" s="238" t="s">
        <v>80</v>
      </c>
      <c r="C21" s="238" t="s">
        <v>2094</v>
      </c>
      <c r="D21" s="238" t="s">
        <v>1407</v>
      </c>
      <c r="E21" s="238" t="s">
        <v>1408</v>
      </c>
      <c r="F21" s="14">
        <f>'SS INPUT'!D58</f>
        <v>76654.5</v>
      </c>
      <c r="G21" s="14">
        <f>'SS INPUT'!E58</f>
        <v>77226.899999999994</v>
      </c>
      <c r="H21" s="14">
        <f>'SS INPUT'!F58</f>
        <v>572.39999999999418</v>
      </c>
      <c r="I21" s="14">
        <f>'SS INPUT'!G58</f>
        <v>4000</v>
      </c>
      <c r="J21" s="14">
        <f>'SS INPUT'!H58</f>
        <v>2289599.9999999767</v>
      </c>
      <c r="K21" s="14">
        <f>'SS INPUT'!I58</f>
        <v>0</v>
      </c>
      <c r="L21" s="14">
        <f>'SS INPUT'!J58</f>
        <v>2289599.9999999767</v>
      </c>
      <c r="M21" s="238" t="s">
        <v>1399</v>
      </c>
      <c r="N21" s="238"/>
      <c r="O21" s="238">
        <f>'SS INPUT'!D60</f>
        <v>0</v>
      </c>
      <c r="P21" s="238">
        <f>'SS INPUT'!E60</f>
        <v>0</v>
      </c>
      <c r="Q21" s="238">
        <f>'SS INPUT'!F60</f>
        <v>0</v>
      </c>
      <c r="R21" s="238">
        <f>'SS INPUT'!G60</f>
        <v>0</v>
      </c>
      <c r="S21" s="238">
        <f>'SS INPUT'!H60</f>
        <v>0</v>
      </c>
      <c r="T21" s="238">
        <f>'SS INPUT'!I60</f>
        <v>0</v>
      </c>
      <c r="U21" s="238">
        <f>'SS INPUT'!J60</f>
        <v>1650000</v>
      </c>
      <c r="V21" s="238" t="s">
        <v>1169</v>
      </c>
      <c r="W21" s="238" t="s">
        <v>1411</v>
      </c>
      <c r="X21" s="14">
        <f>'SS INPUT'!D63</f>
        <v>105984.8</v>
      </c>
      <c r="Y21" s="14">
        <f>'SS INPUT'!E63</f>
        <v>106594.4</v>
      </c>
      <c r="Z21" s="14">
        <f>'SS INPUT'!F63</f>
        <v>609.59999999999127</v>
      </c>
      <c r="AA21" s="14">
        <f>'SS INPUT'!G63</f>
        <v>2000</v>
      </c>
      <c r="AB21" s="14">
        <f>'SS INPUT'!H63</f>
        <v>1219199.9999999825</v>
      </c>
      <c r="AC21" s="14">
        <f>'SS INPUT'!I63</f>
        <v>0</v>
      </c>
      <c r="AD21" s="14">
        <f>'SS INPUT'!J63</f>
        <v>1219199.9999999825</v>
      </c>
      <c r="AE21" s="238"/>
      <c r="AF21" s="238"/>
      <c r="AG21" s="238"/>
      <c r="AH21" s="238"/>
      <c r="AI21" s="238"/>
    </row>
    <row r="22" spans="1:35">
      <c r="A22" s="238">
        <v>20</v>
      </c>
      <c r="B22" s="238" t="s">
        <v>80</v>
      </c>
      <c r="C22" s="238" t="s">
        <v>2094</v>
      </c>
      <c r="D22" s="238" t="s">
        <v>1400</v>
      </c>
      <c r="E22" s="238" t="s">
        <v>1409</v>
      </c>
      <c r="F22" s="14">
        <f>'SS INPUT'!D59</f>
        <v>174486</v>
      </c>
      <c r="G22" s="14">
        <f>'SS INPUT'!E59</f>
        <v>179393</v>
      </c>
      <c r="H22" s="14">
        <f>'SS INPUT'!F59</f>
        <v>4907</v>
      </c>
      <c r="I22" s="14">
        <f>'SS INPUT'!G59</f>
        <v>240</v>
      </c>
      <c r="J22" s="14">
        <f>'SS INPUT'!H59</f>
        <v>1177680</v>
      </c>
      <c r="K22" s="14">
        <f>'SS INPUT'!I59</f>
        <v>0</v>
      </c>
      <c r="L22" s="14">
        <f>'SS INPUT'!J59</f>
        <v>1177680</v>
      </c>
      <c r="M22" s="238"/>
      <c r="N22" s="238"/>
      <c r="O22" s="238"/>
      <c r="P22" s="238"/>
      <c r="Q22" s="238"/>
      <c r="R22" s="238"/>
      <c r="S22" s="238"/>
      <c r="T22" s="238"/>
      <c r="U22" s="238"/>
      <c r="V22" s="238" t="s">
        <v>1412</v>
      </c>
      <c r="W22" s="238" t="s">
        <v>1413</v>
      </c>
      <c r="X22" s="14">
        <f>'SS INPUT'!D64</f>
        <v>22067.8</v>
      </c>
      <c r="Y22" s="14">
        <f>'SS INPUT'!E64</f>
        <v>22158.2</v>
      </c>
      <c r="Z22" s="14">
        <f>'SS INPUT'!F64</f>
        <v>90.400000000001455</v>
      </c>
      <c r="AA22" s="14">
        <f>'SS INPUT'!G64</f>
        <v>2000</v>
      </c>
      <c r="AB22" s="14">
        <f>'SS INPUT'!H64</f>
        <v>180800.00000000291</v>
      </c>
      <c r="AC22" s="14">
        <f>'SS INPUT'!I64</f>
        <v>0</v>
      </c>
      <c r="AD22" s="14">
        <f>'SS INPUT'!J64</f>
        <v>180800.00000000291</v>
      </c>
      <c r="AE22" s="238"/>
      <c r="AF22" s="238"/>
      <c r="AG22" s="238"/>
      <c r="AH22" s="238"/>
      <c r="AI22" s="238"/>
    </row>
    <row r="23" spans="1:35">
      <c r="A23" s="238">
        <v>21</v>
      </c>
      <c r="B23" s="238" t="s">
        <v>80</v>
      </c>
      <c r="C23" s="238" t="s">
        <v>2094</v>
      </c>
      <c r="D23" s="238"/>
      <c r="E23" s="238"/>
      <c r="F23" s="14"/>
      <c r="G23" s="14"/>
      <c r="H23" s="14"/>
      <c r="I23" s="14"/>
      <c r="J23" s="14"/>
      <c r="K23" s="14"/>
      <c r="L23" s="14"/>
      <c r="M23" s="238"/>
      <c r="N23" s="238"/>
      <c r="O23" s="238"/>
      <c r="P23" s="238"/>
      <c r="Q23" s="238"/>
      <c r="R23" s="238"/>
      <c r="S23" s="238"/>
      <c r="T23" s="238"/>
      <c r="U23" s="238"/>
      <c r="V23" s="238" t="s">
        <v>1414</v>
      </c>
      <c r="W23" s="238" t="s">
        <v>1415</v>
      </c>
      <c r="X23" s="14">
        <f>'SS INPUT'!D65</f>
        <v>433850</v>
      </c>
      <c r="Y23" s="14">
        <f>'SS INPUT'!E65</f>
        <v>440673.5</v>
      </c>
      <c r="Z23" s="14">
        <f>'SS INPUT'!F65</f>
        <v>6823.5</v>
      </c>
      <c r="AA23" s="14">
        <f>'SS INPUT'!G65</f>
        <v>60</v>
      </c>
      <c r="AB23" s="14">
        <f>'SS INPUT'!H65</f>
        <v>409410</v>
      </c>
      <c r="AC23" s="14">
        <f>'SS INPUT'!I65</f>
        <v>0</v>
      </c>
      <c r="AD23" s="14">
        <f>'SS INPUT'!J65</f>
        <v>409410</v>
      </c>
      <c r="AE23" s="238"/>
      <c r="AF23" s="238"/>
      <c r="AG23" s="238"/>
      <c r="AH23" s="238"/>
      <c r="AI23" s="238"/>
    </row>
    <row r="24" spans="1:35">
      <c r="A24" s="238">
        <v>22</v>
      </c>
      <c r="B24" s="238" t="s">
        <v>80</v>
      </c>
      <c r="C24" s="238" t="s">
        <v>202</v>
      </c>
      <c r="D24" s="238" t="s">
        <v>1417</v>
      </c>
      <c r="E24" s="238" t="s">
        <v>1418</v>
      </c>
      <c r="F24" s="14">
        <f>'SS INPUT'!D68</f>
        <v>254731.6</v>
      </c>
      <c r="G24" s="14">
        <f>'SS INPUT'!E68</f>
        <v>254731.6</v>
      </c>
      <c r="H24" s="14">
        <f>'SS INPUT'!F68</f>
        <v>0</v>
      </c>
      <c r="I24" s="14">
        <f>'SS INPUT'!G68</f>
        <v>2000</v>
      </c>
      <c r="J24" s="14">
        <f>'SS INPUT'!H68</f>
        <v>0</v>
      </c>
      <c r="K24" s="14">
        <f>'SS INPUT'!I68</f>
        <v>0</v>
      </c>
      <c r="L24" s="14">
        <f>'SS INPUT'!J68</f>
        <v>0</v>
      </c>
      <c r="M24" s="238"/>
      <c r="N24" s="238"/>
      <c r="O24" s="238"/>
      <c r="P24" s="238"/>
      <c r="Q24" s="238"/>
      <c r="R24" s="238"/>
      <c r="S24" s="238"/>
      <c r="T24" s="238"/>
      <c r="U24" s="238"/>
      <c r="V24" s="238" t="s">
        <v>1419</v>
      </c>
      <c r="W24" s="238" t="s">
        <v>1420</v>
      </c>
      <c r="X24" s="14">
        <f>'SS INPUT'!D72</f>
        <v>9068.89</v>
      </c>
      <c r="Y24" s="14">
        <f>'SS INPUT'!E72</f>
        <v>9113.5300000000007</v>
      </c>
      <c r="Z24" s="14">
        <f>'SS INPUT'!F72</f>
        <v>44.640000000001237</v>
      </c>
      <c r="AA24" s="14">
        <f>'SS INPUT'!G72</f>
        <v>12000</v>
      </c>
      <c r="AB24" s="14">
        <f>'SS INPUT'!H72</f>
        <v>535680.0000000149</v>
      </c>
      <c r="AC24" s="14">
        <f>'SS INPUT'!I72</f>
        <v>0</v>
      </c>
      <c r="AD24" s="14">
        <f>'SS INPUT'!J72</f>
        <v>535680.0000000149</v>
      </c>
      <c r="AE24" s="238"/>
      <c r="AF24" s="238"/>
      <c r="AG24" s="238"/>
      <c r="AH24" s="238"/>
      <c r="AI24" s="238"/>
    </row>
    <row r="25" spans="1:35">
      <c r="A25" s="238">
        <v>23</v>
      </c>
      <c r="B25" s="238" t="s">
        <v>80</v>
      </c>
      <c r="C25" s="238" t="s">
        <v>202</v>
      </c>
      <c r="D25" s="238"/>
      <c r="E25" s="238"/>
      <c r="F25" s="14"/>
      <c r="G25" s="14"/>
      <c r="H25" s="14"/>
      <c r="I25" s="14"/>
      <c r="J25" s="14"/>
      <c r="K25" s="14"/>
      <c r="L25" s="14"/>
      <c r="M25" s="238"/>
      <c r="N25" s="238"/>
      <c r="O25" s="238"/>
      <c r="P25" s="238"/>
      <c r="Q25" s="238"/>
      <c r="R25" s="238"/>
      <c r="S25" s="238"/>
      <c r="T25" s="238"/>
      <c r="U25" s="238"/>
      <c r="V25" s="238" t="s">
        <v>1421</v>
      </c>
      <c r="W25" s="238" t="s">
        <v>1422</v>
      </c>
      <c r="X25" s="14">
        <f>'SS INPUT'!D73</f>
        <v>10125.09</v>
      </c>
      <c r="Y25" s="14">
        <f>'SS INPUT'!E73</f>
        <v>10125.09</v>
      </c>
      <c r="Z25" s="14">
        <f>'SS INPUT'!F73</f>
        <v>0</v>
      </c>
      <c r="AA25" s="14">
        <f>'SS INPUT'!G73</f>
        <v>12000</v>
      </c>
      <c r="AB25" s="14">
        <f>'SS INPUT'!H73</f>
        <v>0</v>
      </c>
      <c r="AC25" s="14">
        <f>'SS INPUT'!I73</f>
        <v>859302.11009999202</v>
      </c>
      <c r="AD25" s="14">
        <f>'SS INPUT'!J73</f>
        <v>859302.11009999202</v>
      </c>
      <c r="AE25" s="238"/>
      <c r="AF25" s="238"/>
      <c r="AG25" s="238"/>
      <c r="AH25" s="238"/>
      <c r="AI25" s="238"/>
    </row>
    <row r="26" spans="1:35">
      <c r="A26" s="238">
        <v>24</v>
      </c>
      <c r="B26" s="238" t="s">
        <v>80</v>
      </c>
      <c r="C26" s="238" t="s">
        <v>202</v>
      </c>
      <c r="D26" s="238"/>
      <c r="E26" s="238"/>
      <c r="F26" s="14"/>
      <c r="G26" s="14"/>
      <c r="H26" s="14"/>
      <c r="I26" s="14"/>
      <c r="J26" s="14"/>
      <c r="K26" s="14"/>
      <c r="L26" s="14"/>
      <c r="M26" s="238"/>
      <c r="N26" s="238"/>
      <c r="O26" s="238"/>
      <c r="P26" s="238"/>
      <c r="Q26" s="238"/>
      <c r="R26" s="238"/>
      <c r="S26" s="238"/>
      <c r="T26" s="238"/>
      <c r="U26" s="238"/>
      <c r="V26" s="238" t="s">
        <v>1423</v>
      </c>
      <c r="W26" s="238" t="s">
        <v>1424</v>
      </c>
      <c r="X26" s="14">
        <f>'SS INPUT'!D74</f>
        <v>4209.34</v>
      </c>
      <c r="Y26" s="14">
        <f>'SS INPUT'!E74</f>
        <v>4291.3100000000004</v>
      </c>
      <c r="Z26" s="14">
        <f>'SS INPUT'!F74</f>
        <v>81.970000000000255</v>
      </c>
      <c r="AA26" s="14">
        <f>'SS INPUT'!G74</f>
        <v>6000</v>
      </c>
      <c r="AB26" s="14">
        <f>'SS INPUT'!H74</f>
        <v>491820.00000000151</v>
      </c>
      <c r="AC26" s="14">
        <f>'SS INPUT'!I74</f>
        <v>0</v>
      </c>
      <c r="AD26" s="14">
        <f>'SS INPUT'!J74</f>
        <v>491820.00000000151</v>
      </c>
      <c r="AE26" s="238"/>
      <c r="AF26" s="238"/>
      <c r="AG26" s="238"/>
      <c r="AH26" s="238"/>
      <c r="AI26" s="238"/>
    </row>
    <row r="27" spans="1:35">
      <c r="A27" s="238">
        <v>25</v>
      </c>
      <c r="B27" s="238" t="s">
        <v>80</v>
      </c>
      <c r="C27" s="238" t="s">
        <v>202</v>
      </c>
      <c r="D27" s="238"/>
      <c r="E27" s="238"/>
      <c r="F27" s="14"/>
      <c r="G27" s="14"/>
      <c r="H27" s="14"/>
      <c r="I27" s="14"/>
      <c r="J27" s="14"/>
      <c r="K27" s="14"/>
      <c r="L27" s="14"/>
      <c r="M27" s="238"/>
      <c r="N27" s="238"/>
      <c r="O27" s="238"/>
      <c r="P27" s="238"/>
      <c r="Q27" s="238"/>
      <c r="R27" s="238"/>
      <c r="S27" s="238"/>
      <c r="T27" s="238"/>
      <c r="U27" s="238"/>
      <c r="V27" s="238" t="s">
        <v>1425</v>
      </c>
      <c r="W27" s="238" t="s">
        <v>1426</v>
      </c>
      <c r="X27" s="14">
        <f>'SS INPUT'!D75</f>
        <v>2067.02</v>
      </c>
      <c r="Y27" s="14">
        <f>'SS INPUT'!E75</f>
        <v>2103.0100000000002</v>
      </c>
      <c r="Z27" s="14">
        <f>'SS INPUT'!F75</f>
        <v>35.990000000000236</v>
      </c>
      <c r="AA27" s="14">
        <f>'SS INPUT'!G75</f>
        <v>20000</v>
      </c>
      <c r="AB27" s="14">
        <f>'SS INPUT'!H75</f>
        <v>719800.00000000477</v>
      </c>
      <c r="AC27" s="14">
        <f>'SS INPUT'!I75</f>
        <v>0</v>
      </c>
      <c r="AD27" s="14">
        <f>'SS INPUT'!J75</f>
        <v>719800.00000000477</v>
      </c>
      <c r="AE27" s="238"/>
      <c r="AF27" s="238"/>
      <c r="AG27" s="238"/>
      <c r="AH27" s="238"/>
      <c r="AI27" s="238"/>
    </row>
    <row r="28" spans="1:35">
      <c r="A28" s="238">
        <v>26</v>
      </c>
      <c r="B28" s="238" t="s">
        <v>80</v>
      </c>
      <c r="C28" s="238" t="s">
        <v>202</v>
      </c>
      <c r="D28" s="238"/>
      <c r="E28" s="238"/>
      <c r="F28" s="14"/>
      <c r="G28" s="14"/>
      <c r="H28" s="14"/>
      <c r="I28" s="14"/>
      <c r="J28" s="14"/>
      <c r="K28" s="14"/>
      <c r="L28" s="14"/>
      <c r="M28" s="238"/>
      <c r="N28" s="238"/>
      <c r="O28" s="238"/>
      <c r="P28" s="238"/>
      <c r="Q28" s="238"/>
      <c r="R28" s="238"/>
      <c r="S28" s="238"/>
      <c r="T28" s="238"/>
      <c r="U28" s="238"/>
      <c r="V28" s="238" t="s">
        <v>1427</v>
      </c>
      <c r="W28" s="238" t="s">
        <v>1428</v>
      </c>
      <c r="X28" s="14">
        <f>'SS INPUT'!D76</f>
        <v>543982.5</v>
      </c>
      <c r="Y28" s="14">
        <f>'SS INPUT'!E76</f>
        <v>553886.5</v>
      </c>
      <c r="Z28" s="14">
        <f>'SS INPUT'!F76</f>
        <v>9904</v>
      </c>
      <c r="AA28" s="14">
        <f>'SS INPUT'!G76</f>
        <v>60</v>
      </c>
      <c r="AB28" s="14">
        <f>'SS INPUT'!H76</f>
        <v>594240</v>
      </c>
      <c r="AC28" s="14">
        <f>'SS INPUT'!I76</f>
        <v>0</v>
      </c>
      <c r="AD28" s="14">
        <f>'SS INPUT'!J76</f>
        <v>594240</v>
      </c>
      <c r="AE28" s="238"/>
      <c r="AF28" s="238"/>
      <c r="AG28" s="238"/>
      <c r="AH28" s="238"/>
      <c r="AI28" s="238"/>
    </row>
    <row r="29" spans="1:35">
      <c r="A29" s="238">
        <v>27</v>
      </c>
      <c r="B29" s="238" t="s">
        <v>80</v>
      </c>
      <c r="C29" s="238" t="s">
        <v>1287</v>
      </c>
      <c r="D29" s="238" t="s">
        <v>1375</v>
      </c>
      <c r="E29" s="238" t="s">
        <v>1430</v>
      </c>
      <c r="F29" s="14">
        <f>'SS INPUT'!D79</f>
        <v>96755</v>
      </c>
      <c r="G29" s="14">
        <f>'SS INPUT'!E79</f>
        <v>97536.9</v>
      </c>
      <c r="H29" s="14">
        <f>'SS INPUT'!F79</f>
        <v>781.89999999999418</v>
      </c>
      <c r="I29" s="14">
        <f>'SS INPUT'!G79</f>
        <v>2000</v>
      </c>
      <c r="J29" s="14">
        <f>'SS INPUT'!H79</f>
        <v>1563799.9999999884</v>
      </c>
      <c r="K29" s="14">
        <f>'SS INPUT'!I79</f>
        <v>30000</v>
      </c>
      <c r="L29" s="14">
        <f>'SS INPUT'!J79</f>
        <v>1593799.9999999884</v>
      </c>
      <c r="M29" s="238"/>
      <c r="N29" s="238"/>
      <c r="O29" s="238"/>
      <c r="P29" s="238"/>
      <c r="Q29" s="238"/>
      <c r="R29" s="238"/>
      <c r="S29" s="238"/>
      <c r="T29" s="238"/>
      <c r="U29" s="238"/>
      <c r="V29" s="238" t="s">
        <v>1431</v>
      </c>
      <c r="W29" s="238" t="s">
        <v>1432</v>
      </c>
      <c r="X29" s="14">
        <f>'SS INPUT'!D83</f>
        <v>3437.69</v>
      </c>
      <c r="Y29" s="14">
        <f>'SS INPUT'!E83</f>
        <v>3495.53</v>
      </c>
      <c r="Z29" s="14">
        <f>'SS INPUT'!F83</f>
        <v>57.840000000000146</v>
      </c>
      <c r="AA29" s="14">
        <f>'SS INPUT'!G83</f>
        <v>13333.333000000001</v>
      </c>
      <c r="AB29" s="14">
        <f>'SS INPUT'!H83</f>
        <v>771199.98072000197</v>
      </c>
      <c r="AC29" s="14">
        <f>'SS INPUT'!I83</f>
        <v>0</v>
      </c>
      <c r="AD29" s="14">
        <f>'SS INPUT'!J83</f>
        <v>771199.98072000197</v>
      </c>
      <c r="AE29" s="238"/>
      <c r="AF29" s="238"/>
      <c r="AG29" s="238"/>
      <c r="AH29" s="238"/>
      <c r="AI29" s="238"/>
    </row>
    <row r="30" spans="1:35">
      <c r="A30" s="238">
        <v>28</v>
      </c>
      <c r="B30" s="238" t="s">
        <v>80</v>
      </c>
      <c r="C30" s="238" t="s">
        <v>1287</v>
      </c>
      <c r="D30" s="238" t="s">
        <v>1375</v>
      </c>
      <c r="E30" s="238">
        <v>3300081</v>
      </c>
      <c r="F30" s="14">
        <f>'SS INPUT'!D80</f>
        <v>524544.30000000005</v>
      </c>
      <c r="G30" s="14">
        <f>'SS INPUT'!E80</f>
        <v>524544.30000000005</v>
      </c>
      <c r="H30" s="14">
        <f>'SS INPUT'!F80</f>
        <v>0</v>
      </c>
      <c r="I30" s="14">
        <f>'SS INPUT'!G80</f>
        <v>80</v>
      </c>
      <c r="J30" s="14">
        <f>'SS INPUT'!H80</f>
        <v>0</v>
      </c>
      <c r="K30" s="14">
        <f>'SS INPUT'!I80</f>
        <v>0</v>
      </c>
      <c r="L30" s="14">
        <f>'SS INPUT'!J80</f>
        <v>0</v>
      </c>
      <c r="M30" s="238"/>
      <c r="N30" s="238"/>
      <c r="O30" s="238"/>
      <c r="P30" s="238"/>
      <c r="Q30" s="238"/>
      <c r="R30" s="238"/>
      <c r="S30" s="238"/>
      <c r="T30" s="238"/>
      <c r="U30" s="238"/>
      <c r="V30" s="238" t="s">
        <v>1433</v>
      </c>
      <c r="W30" s="238" t="s">
        <v>1434</v>
      </c>
      <c r="X30" s="14">
        <f>'SS INPUT'!D84</f>
        <v>4472.99</v>
      </c>
      <c r="Y30" s="14">
        <f>'SS INPUT'!E84</f>
        <v>4472.99</v>
      </c>
      <c r="Z30" s="14">
        <f>'SS INPUT'!F84</f>
        <v>0</v>
      </c>
      <c r="AA30" s="14">
        <f>'SS INPUT'!G84</f>
        <v>20000</v>
      </c>
      <c r="AB30" s="14">
        <f>'SS INPUT'!H84</f>
        <v>0</v>
      </c>
      <c r="AC30" s="14">
        <f>'SS INPUT'!I84</f>
        <v>694522.4571</v>
      </c>
      <c r="AD30" s="14">
        <f>'SS INPUT'!J84</f>
        <v>694522.4571</v>
      </c>
      <c r="AE30" s="238"/>
      <c r="AF30" s="238"/>
      <c r="AG30" s="238"/>
      <c r="AH30" s="238"/>
      <c r="AI30" s="238"/>
    </row>
    <row r="31" spans="1:35">
      <c r="A31" s="238">
        <v>29</v>
      </c>
      <c r="B31" s="238" t="s">
        <v>80</v>
      </c>
      <c r="C31" s="238" t="s">
        <v>1287</v>
      </c>
      <c r="D31" s="238"/>
      <c r="E31" s="238"/>
      <c r="F31" s="14"/>
      <c r="G31" s="14"/>
      <c r="H31" s="14"/>
      <c r="I31" s="14"/>
      <c r="J31" s="14"/>
      <c r="K31" s="14"/>
      <c r="L31" s="14"/>
      <c r="M31" s="238"/>
      <c r="N31" s="238"/>
      <c r="O31" s="238"/>
      <c r="P31" s="238"/>
      <c r="Q31" s="238"/>
      <c r="R31" s="238"/>
      <c r="S31" s="238"/>
      <c r="T31" s="238"/>
      <c r="U31" s="238"/>
      <c r="V31" s="238" t="s">
        <v>1435</v>
      </c>
      <c r="W31" s="238" t="s">
        <v>1436</v>
      </c>
      <c r="X31" s="14">
        <f>'SS INPUT'!D85</f>
        <v>6881.9</v>
      </c>
      <c r="Y31" s="14">
        <f>'SS INPUT'!E85</f>
        <v>6954.9</v>
      </c>
      <c r="Z31" s="14">
        <f>'SS INPUT'!F85</f>
        <v>73</v>
      </c>
      <c r="AA31" s="14">
        <f>'SS INPUT'!G85</f>
        <v>1333.33</v>
      </c>
      <c r="AB31" s="20">
        <f>'SS INPUT'!H85</f>
        <v>97333.09</v>
      </c>
      <c r="AC31" s="20">
        <f>'SS INPUT'!I85</f>
        <v>28400.418099999999</v>
      </c>
      <c r="AD31" s="20">
        <f>'SS INPUT'!J85</f>
        <v>125733.50809999999</v>
      </c>
      <c r="AE31" s="238"/>
      <c r="AF31" s="238"/>
      <c r="AG31" s="238"/>
      <c r="AH31" s="238"/>
      <c r="AI31" s="238"/>
    </row>
    <row r="32" spans="1:35">
      <c r="A32" s="238">
        <v>30</v>
      </c>
      <c r="B32" s="238" t="s">
        <v>80</v>
      </c>
      <c r="C32" s="238" t="s">
        <v>1287</v>
      </c>
      <c r="D32" s="238"/>
      <c r="E32" s="238"/>
      <c r="F32" s="14"/>
      <c r="G32" s="14"/>
      <c r="H32" s="14"/>
      <c r="I32" s="14"/>
      <c r="J32" s="14"/>
      <c r="K32" s="14"/>
      <c r="L32" s="14"/>
      <c r="M32" s="238"/>
      <c r="N32" s="238"/>
      <c r="O32" s="238"/>
      <c r="P32" s="238"/>
      <c r="Q32" s="238"/>
      <c r="R32" s="238"/>
      <c r="S32" s="238"/>
      <c r="T32" s="238"/>
      <c r="U32" s="238"/>
      <c r="V32" s="238" t="s">
        <v>1437</v>
      </c>
      <c r="W32" s="238" t="s">
        <v>1438</v>
      </c>
      <c r="X32" s="14">
        <f>'SS INPUT'!D86</f>
        <v>18264.599999999999</v>
      </c>
      <c r="Y32" s="14">
        <f>'SS INPUT'!E86</f>
        <v>18264.599999999999</v>
      </c>
      <c r="Z32" s="14">
        <f>'SS INPUT'!F86</f>
        <v>0</v>
      </c>
      <c r="AA32" s="14">
        <f>'SS INPUT'!G86</f>
        <v>1000</v>
      </c>
      <c r="AB32" s="14">
        <f>'SS INPUT'!H86</f>
        <v>0</v>
      </c>
      <c r="AC32" s="14">
        <f>'SS INPUT'!I86</f>
        <v>0</v>
      </c>
      <c r="AD32" s="14">
        <f>'SS INPUT'!J86</f>
        <v>0</v>
      </c>
      <c r="AE32" s="238"/>
      <c r="AF32" s="238"/>
      <c r="AG32" s="238"/>
      <c r="AH32" s="238"/>
      <c r="AI32" s="238"/>
    </row>
    <row r="33" spans="1:35">
      <c r="A33" s="238">
        <v>31</v>
      </c>
      <c r="B33" s="238" t="s">
        <v>80</v>
      </c>
      <c r="C33" s="238" t="s">
        <v>2095</v>
      </c>
      <c r="D33" s="238" t="s">
        <v>1440</v>
      </c>
      <c r="E33" s="238" t="s">
        <v>1441</v>
      </c>
      <c r="F33" s="14">
        <f>'SS INPUT'!D89</f>
        <v>1585.59</v>
      </c>
      <c r="G33" s="14">
        <f>'SS INPUT'!E89</f>
        <v>1607.5</v>
      </c>
      <c r="H33" s="14">
        <f>'SS INPUT'!F89</f>
        <v>21.910000000000082</v>
      </c>
      <c r="I33" s="14">
        <f>'SS INPUT'!G89</f>
        <v>60000</v>
      </c>
      <c r="J33" s="14">
        <f>'SS INPUT'!H89</f>
        <v>1314600.0000000049</v>
      </c>
      <c r="K33" s="14">
        <f>'SS INPUT'!I89</f>
        <v>0</v>
      </c>
      <c r="L33" s="14">
        <f>'SS INPUT'!J89</f>
        <v>1314600.0000000049</v>
      </c>
      <c r="M33" s="238"/>
      <c r="N33" s="238"/>
      <c r="O33" s="238"/>
      <c r="P33" s="238"/>
      <c r="Q33" s="238"/>
      <c r="R33" s="238"/>
      <c r="S33" s="238"/>
      <c r="T33" s="238"/>
      <c r="U33" s="238"/>
      <c r="V33" s="238" t="s">
        <v>1167</v>
      </c>
      <c r="W33" s="238" t="s">
        <v>1442</v>
      </c>
      <c r="X33" s="14">
        <f>'SS INPUT'!D92</f>
        <v>74830.2</v>
      </c>
      <c r="Y33" s="14">
        <f>'SS INPUT'!E92</f>
        <v>75059.199999999997</v>
      </c>
      <c r="Z33" s="14">
        <f>'SS INPUT'!F92</f>
        <v>229</v>
      </c>
      <c r="AA33" s="14">
        <f>'SS INPUT'!G92</f>
        <v>2000</v>
      </c>
      <c r="AB33" s="14">
        <f>'SS INPUT'!H92</f>
        <v>458000</v>
      </c>
      <c r="AC33" s="14">
        <f>'SS INPUT'!I92</f>
        <v>0</v>
      </c>
      <c r="AD33" s="14">
        <f>'SS INPUT'!J92</f>
        <v>458000</v>
      </c>
      <c r="AE33" s="238"/>
      <c r="AF33" s="238"/>
      <c r="AG33" s="238"/>
      <c r="AH33" s="238"/>
      <c r="AI33" s="238"/>
    </row>
    <row r="34" spans="1:35">
      <c r="A34" s="238">
        <v>32</v>
      </c>
      <c r="B34" s="238" t="s">
        <v>80</v>
      </c>
      <c r="C34" s="238" t="s">
        <v>2095</v>
      </c>
      <c r="D34" s="238"/>
      <c r="E34" s="238"/>
      <c r="F34" s="14"/>
      <c r="G34" s="14"/>
      <c r="H34" s="14"/>
      <c r="I34" s="14"/>
      <c r="J34" s="14"/>
      <c r="K34" s="14"/>
      <c r="L34" s="14"/>
      <c r="M34" s="238"/>
      <c r="N34" s="238"/>
      <c r="O34" s="238"/>
      <c r="P34" s="238"/>
      <c r="Q34" s="238"/>
      <c r="R34" s="238"/>
      <c r="S34" s="238"/>
      <c r="T34" s="238"/>
      <c r="U34" s="238"/>
      <c r="V34" s="238" t="s">
        <v>1443</v>
      </c>
      <c r="W34" s="238" t="s">
        <v>1444</v>
      </c>
      <c r="X34" s="14">
        <f>'SS INPUT'!D93</f>
        <v>95452.6</v>
      </c>
      <c r="Y34" s="14">
        <f>'SS INPUT'!E93</f>
        <v>95875.3</v>
      </c>
      <c r="Z34" s="14">
        <f>'SS INPUT'!F93</f>
        <v>422.69999999999709</v>
      </c>
      <c r="AA34" s="14">
        <f>'SS INPUT'!G93</f>
        <v>2000</v>
      </c>
      <c r="AB34" s="14">
        <f>'SS INPUT'!H93</f>
        <v>845399.99999999418</v>
      </c>
      <c r="AC34" s="14">
        <f>'SS INPUT'!I93</f>
        <v>0</v>
      </c>
      <c r="AD34" s="14">
        <f>'SS INPUT'!J93</f>
        <v>845399.99999999418</v>
      </c>
      <c r="AE34" s="238"/>
      <c r="AF34" s="238"/>
      <c r="AG34" s="238"/>
      <c r="AH34" s="238"/>
      <c r="AI34" s="238"/>
    </row>
    <row r="35" spans="1:35">
      <c r="A35" s="238">
        <v>33</v>
      </c>
      <c r="B35" s="238" t="s">
        <v>80</v>
      </c>
      <c r="C35" s="238" t="s">
        <v>2096</v>
      </c>
      <c r="D35" s="238" t="s">
        <v>1381</v>
      </c>
      <c r="E35" s="238" t="s">
        <v>1446</v>
      </c>
      <c r="F35" s="14">
        <f>'SS INPUT'!D97</f>
        <v>5689.8</v>
      </c>
      <c r="G35" s="14">
        <f>'SS INPUT'!E97</f>
        <v>5777.1</v>
      </c>
      <c r="H35" s="14">
        <f>'SS INPUT'!F97</f>
        <v>87.300000000000182</v>
      </c>
      <c r="I35" s="14">
        <f>'SS INPUT'!G97</f>
        <v>2000</v>
      </c>
      <c r="J35" s="14">
        <f>'SS INPUT'!H97</f>
        <v>174600.00000000035</v>
      </c>
      <c r="K35" s="14">
        <f>'SS INPUT'!I97</f>
        <v>0</v>
      </c>
      <c r="L35" s="14">
        <f>'SS INPUT'!J97</f>
        <v>174600.00000000035</v>
      </c>
      <c r="M35" s="238"/>
      <c r="N35" s="238"/>
      <c r="O35" s="238"/>
      <c r="P35" s="238"/>
      <c r="Q35" s="238"/>
      <c r="R35" s="238"/>
      <c r="S35" s="238"/>
      <c r="T35" s="238"/>
      <c r="U35" s="238"/>
      <c r="V35" s="238" t="s">
        <v>1447</v>
      </c>
      <c r="W35" s="238">
        <v>3300073</v>
      </c>
      <c r="X35" s="14">
        <f>'SS INPUT'!D97</f>
        <v>5689.8</v>
      </c>
      <c r="Y35" s="14">
        <f>'SS INPUT'!E97</f>
        <v>5777.1</v>
      </c>
      <c r="Z35" s="14">
        <f>'SS INPUT'!F97</f>
        <v>87.300000000000182</v>
      </c>
      <c r="AA35" s="14">
        <f>'SS INPUT'!G97</f>
        <v>2000</v>
      </c>
      <c r="AB35" s="14">
        <f>'SS INPUT'!H97</f>
        <v>174600.00000000035</v>
      </c>
      <c r="AC35" s="14">
        <f>'SS INPUT'!I97</f>
        <v>0</v>
      </c>
      <c r="AD35" s="14">
        <f>'SS INPUT'!J97</f>
        <v>174600.00000000035</v>
      </c>
      <c r="AE35" s="238"/>
      <c r="AF35" s="238"/>
      <c r="AG35" s="238"/>
      <c r="AH35" s="238"/>
      <c r="AI35" s="238"/>
    </row>
    <row r="36" spans="1:35">
      <c r="A36" s="238">
        <v>34</v>
      </c>
      <c r="B36" s="238" t="s">
        <v>80</v>
      </c>
      <c r="C36" s="238" t="s">
        <v>1289</v>
      </c>
      <c r="D36" s="238" t="s">
        <v>1381</v>
      </c>
      <c r="E36" s="238" t="s">
        <v>1450</v>
      </c>
      <c r="F36" s="14">
        <f>'SS INPUT'!D104</f>
        <v>2858350</v>
      </c>
      <c r="G36" s="14">
        <f>'SS INPUT'!E104</f>
        <v>2864300</v>
      </c>
      <c r="H36" s="14">
        <f>'SS INPUT'!F104</f>
        <v>5950</v>
      </c>
      <c r="I36" s="14">
        <f>'SS INPUT'!G104</f>
        <v>1</v>
      </c>
      <c r="J36" s="14">
        <f>'SS INPUT'!H104</f>
        <v>5950</v>
      </c>
      <c r="K36" s="14">
        <f>'SS INPUT'!I104</f>
        <v>58805</v>
      </c>
      <c r="L36" s="14">
        <f>'SS INPUT'!J104</f>
        <v>64755</v>
      </c>
      <c r="M36" s="238"/>
      <c r="N36" s="238"/>
      <c r="O36" s="238"/>
      <c r="P36" s="238"/>
      <c r="Q36" s="238"/>
      <c r="R36" s="238"/>
      <c r="S36" s="238"/>
      <c r="T36" s="238"/>
      <c r="U36" s="238"/>
      <c r="V36" s="238" t="s">
        <v>1451</v>
      </c>
      <c r="W36" s="238"/>
      <c r="X36" s="14">
        <f>'SS INPUT'!D107</f>
        <v>0</v>
      </c>
      <c r="Y36" s="14">
        <f>'SS INPUT'!E107</f>
        <v>0</v>
      </c>
      <c r="Z36" s="14">
        <f>'SS INPUT'!F107</f>
        <v>0</v>
      </c>
      <c r="AA36" s="14">
        <f>'SS INPUT'!G107</f>
        <v>2000</v>
      </c>
      <c r="AB36" s="14">
        <f>'SS INPUT'!H107</f>
        <v>0</v>
      </c>
      <c r="AC36" s="14">
        <f>'SS INPUT'!I107</f>
        <v>33700</v>
      </c>
      <c r="AD36" s="14">
        <f>'SS INPUT'!J107</f>
        <v>33700</v>
      </c>
      <c r="AE36" s="238"/>
      <c r="AF36" s="238"/>
      <c r="AG36" s="238"/>
      <c r="AH36" s="238"/>
      <c r="AI36" s="238"/>
    </row>
    <row r="37" spans="1:35">
      <c r="A37" s="238">
        <v>35</v>
      </c>
      <c r="B37" s="238" t="s">
        <v>80</v>
      </c>
      <c r="C37" s="238" t="s">
        <v>1289</v>
      </c>
      <c r="D37" s="238"/>
      <c r="E37" s="238"/>
      <c r="F37" s="14"/>
      <c r="G37" s="14"/>
      <c r="H37" s="14"/>
      <c r="I37" s="14"/>
      <c r="J37" s="14"/>
      <c r="K37" s="14"/>
      <c r="L37" s="14"/>
      <c r="M37" s="238"/>
      <c r="N37" s="238"/>
      <c r="O37" s="238"/>
      <c r="P37" s="238"/>
      <c r="Q37" s="238"/>
      <c r="R37" s="238"/>
      <c r="S37" s="238"/>
      <c r="T37" s="238"/>
      <c r="U37" s="238"/>
      <c r="V37" s="238" t="s">
        <v>1452</v>
      </c>
      <c r="W37" s="238" t="s">
        <v>1453</v>
      </c>
      <c r="X37" s="14">
        <f>'SS INPUT'!D109</f>
        <v>1580345</v>
      </c>
      <c r="Y37" s="14">
        <f>'SS INPUT'!E109</f>
        <v>1603300</v>
      </c>
      <c r="Z37" s="14">
        <f>'SS INPUT'!F109</f>
        <v>22955</v>
      </c>
      <c r="AA37" s="14">
        <f>'SS INPUT'!G109</f>
        <v>1</v>
      </c>
      <c r="AB37" s="14">
        <f>'SS INPUT'!H109</f>
        <v>22955</v>
      </c>
      <c r="AC37" s="14">
        <f>'SS INPUT'!I109</f>
        <v>0</v>
      </c>
      <c r="AD37" s="14">
        <f>'SS INPUT'!J109</f>
        <v>22955</v>
      </c>
      <c r="AE37" s="238"/>
      <c r="AF37" s="238"/>
      <c r="AG37" s="238"/>
      <c r="AH37" s="238"/>
      <c r="AI37" s="238"/>
    </row>
    <row r="38" spans="1:35">
      <c r="A38" s="238">
        <v>36</v>
      </c>
      <c r="B38" s="238" t="s">
        <v>80</v>
      </c>
      <c r="C38" s="238" t="s">
        <v>1291</v>
      </c>
      <c r="D38" s="238" t="s">
        <v>1376</v>
      </c>
      <c r="E38" s="238" t="s">
        <v>1456</v>
      </c>
      <c r="F38" s="14">
        <f>'SS INPUT'!D112</f>
        <v>3437</v>
      </c>
      <c r="G38" s="14">
        <f>'SS INPUT'!E112</f>
        <v>3437</v>
      </c>
      <c r="H38" s="14">
        <f>'SS INPUT'!F112</f>
        <v>0</v>
      </c>
      <c r="I38" s="14">
        <f>'SS INPUT'!G112</f>
        <v>24000</v>
      </c>
      <c r="J38" s="14">
        <f>'SS INPUT'!H112</f>
        <v>0</v>
      </c>
      <c r="K38" s="14">
        <f>'SS INPUT'!I112</f>
        <v>0</v>
      </c>
      <c r="L38" s="14">
        <f>'SS INPUT'!J112</f>
        <v>0</v>
      </c>
      <c r="M38" s="238"/>
      <c r="N38" s="238"/>
      <c r="O38" s="238"/>
      <c r="P38" s="238"/>
      <c r="Q38" s="238"/>
      <c r="R38" s="238"/>
      <c r="S38" s="238"/>
      <c r="T38" s="238"/>
      <c r="U38" s="238"/>
      <c r="V38" s="238" t="s">
        <v>1137</v>
      </c>
      <c r="W38" s="238" t="s">
        <v>1460</v>
      </c>
      <c r="X38" s="14">
        <f>'SS INPUT'!D116</f>
        <v>8258.76</v>
      </c>
      <c r="Y38" s="14">
        <f>'SS INPUT'!E116</f>
        <v>8348.4500000000007</v>
      </c>
      <c r="Z38" s="14">
        <f>'SS INPUT'!F116</f>
        <v>89.690000000000509</v>
      </c>
      <c r="AA38" s="14">
        <f>'SS INPUT'!G116</f>
        <v>6000</v>
      </c>
      <c r="AB38" s="14">
        <f>'SS INPUT'!H116</f>
        <v>538140.00000000303</v>
      </c>
      <c r="AC38" s="14">
        <f>'SS INPUT'!I116</f>
        <v>0</v>
      </c>
      <c r="AD38" s="14">
        <f>'SS INPUT'!J116</f>
        <v>538140.00000000303</v>
      </c>
      <c r="AE38" s="238"/>
      <c r="AF38" s="238"/>
      <c r="AG38" s="238"/>
      <c r="AH38" s="238"/>
      <c r="AI38" s="238"/>
    </row>
    <row r="39" spans="1:35">
      <c r="A39" s="238">
        <v>37</v>
      </c>
      <c r="B39" s="238" t="s">
        <v>80</v>
      </c>
      <c r="C39" s="238" t="s">
        <v>1291</v>
      </c>
      <c r="D39" s="238" t="s">
        <v>1376</v>
      </c>
      <c r="E39" s="238" t="s">
        <v>1457</v>
      </c>
      <c r="F39" s="14">
        <f>'SS INPUT'!D113</f>
        <v>3977.07</v>
      </c>
      <c r="G39" s="14">
        <f>'SS INPUT'!E113</f>
        <v>4053.22</v>
      </c>
      <c r="H39" s="14">
        <f>'SS INPUT'!F113</f>
        <v>76.149999999999636</v>
      </c>
      <c r="I39" s="14">
        <f>'SS INPUT'!G113</f>
        <v>24000</v>
      </c>
      <c r="J39" s="14">
        <f>'SS INPUT'!H113</f>
        <v>1827599.9999999912</v>
      </c>
      <c r="K39" s="14">
        <f>'SS INPUT'!I113</f>
        <v>177500</v>
      </c>
      <c r="L39" s="14">
        <f>'SS INPUT'!J113</f>
        <v>2005099.9999999912</v>
      </c>
      <c r="M39" s="238"/>
      <c r="N39" s="238"/>
      <c r="O39" s="238"/>
      <c r="P39" s="238"/>
      <c r="Q39" s="238"/>
      <c r="R39" s="238"/>
      <c r="S39" s="238"/>
      <c r="T39" s="238"/>
      <c r="U39" s="238"/>
      <c r="V39" s="238" t="s">
        <v>1461</v>
      </c>
      <c r="W39" s="238" t="s">
        <v>1462</v>
      </c>
      <c r="X39" s="14">
        <f>'SS INPUT'!D117</f>
        <v>7286.97</v>
      </c>
      <c r="Y39" s="14">
        <f>'SS INPUT'!E117</f>
        <v>7369.32</v>
      </c>
      <c r="Z39" s="14">
        <f>'SS INPUT'!F117</f>
        <v>82.349999999999454</v>
      </c>
      <c r="AA39" s="14">
        <f>'SS INPUT'!G117</f>
        <v>6000</v>
      </c>
      <c r="AB39" s="14">
        <f>'SS INPUT'!H117</f>
        <v>494099.99999999674</v>
      </c>
      <c r="AC39" s="14">
        <f>'SS INPUT'!I117</f>
        <v>0</v>
      </c>
      <c r="AD39" s="14">
        <f>'SS INPUT'!J117</f>
        <v>494099.99999999674</v>
      </c>
      <c r="AE39" s="238"/>
      <c r="AF39" s="238"/>
      <c r="AG39" s="238"/>
      <c r="AH39" s="238"/>
      <c r="AI39" s="238"/>
    </row>
    <row r="40" spans="1:35">
      <c r="A40" s="238">
        <v>38</v>
      </c>
      <c r="B40" s="238" t="s">
        <v>80</v>
      </c>
      <c r="C40" s="238" t="s">
        <v>1291</v>
      </c>
      <c r="D40" s="238"/>
      <c r="E40" s="238"/>
      <c r="F40" s="14"/>
      <c r="G40" s="14"/>
      <c r="H40" s="14"/>
      <c r="I40" s="14"/>
      <c r="J40" s="14"/>
      <c r="K40" s="14"/>
      <c r="L40" s="14"/>
      <c r="M40" s="238"/>
      <c r="N40" s="238"/>
      <c r="O40" s="238"/>
      <c r="P40" s="238"/>
      <c r="Q40" s="238"/>
      <c r="R40" s="238"/>
      <c r="S40" s="238"/>
      <c r="T40" s="238"/>
      <c r="U40" s="238"/>
      <c r="V40" s="238" t="s">
        <v>1291</v>
      </c>
      <c r="W40" s="238" t="s">
        <v>1463</v>
      </c>
      <c r="X40" s="14">
        <f>'SS INPUT'!D118</f>
        <v>6260.98</v>
      </c>
      <c r="Y40" s="14">
        <f>'SS INPUT'!E118</f>
        <v>6320.17</v>
      </c>
      <c r="Z40" s="14">
        <f>'SS INPUT'!F118</f>
        <v>59.190000000000509</v>
      </c>
      <c r="AA40" s="14">
        <f>'SS INPUT'!G118</f>
        <v>6000</v>
      </c>
      <c r="AB40" s="14">
        <f>'SS INPUT'!H118</f>
        <v>355140.00000000303</v>
      </c>
      <c r="AC40" s="14">
        <f>'SS INPUT'!I118</f>
        <v>97760.700800000996</v>
      </c>
      <c r="AD40" s="14">
        <f>'SS INPUT'!J118</f>
        <v>452900.70080000401</v>
      </c>
      <c r="AE40" s="238"/>
      <c r="AF40" s="238"/>
      <c r="AG40" s="238"/>
      <c r="AH40" s="238"/>
      <c r="AI40" s="238"/>
    </row>
    <row r="41" spans="1:35">
      <c r="A41" s="238">
        <v>39</v>
      </c>
      <c r="B41" s="238" t="s">
        <v>80</v>
      </c>
      <c r="C41" s="238" t="s">
        <v>1291</v>
      </c>
      <c r="D41" s="238"/>
      <c r="E41" s="238"/>
      <c r="F41" s="14"/>
      <c r="G41" s="14"/>
      <c r="H41" s="14"/>
      <c r="I41" s="14"/>
      <c r="J41" s="14"/>
      <c r="K41" s="14"/>
      <c r="L41" s="14"/>
      <c r="M41" s="238"/>
      <c r="N41" s="238"/>
      <c r="O41" s="238"/>
      <c r="P41" s="238"/>
      <c r="Q41" s="238"/>
      <c r="R41" s="238"/>
      <c r="S41" s="238"/>
      <c r="T41" s="238"/>
      <c r="U41" s="238"/>
      <c r="V41" s="238" t="s">
        <v>1464</v>
      </c>
      <c r="W41" s="238" t="s">
        <v>1465</v>
      </c>
      <c r="X41" s="14">
        <f>'SS INPUT'!D119</f>
        <v>7739.54</v>
      </c>
      <c r="Y41" s="14">
        <f>'SS INPUT'!E119</f>
        <v>7819.21</v>
      </c>
      <c r="Z41" s="14">
        <f>'SS INPUT'!F119</f>
        <v>79.670000000000073</v>
      </c>
      <c r="AA41" s="14">
        <f>'SS INPUT'!G119</f>
        <v>6000</v>
      </c>
      <c r="AB41" s="14">
        <f>'SS INPUT'!H119</f>
        <v>478020.00000000047</v>
      </c>
      <c r="AC41" s="14">
        <f>'SS INPUT'!I119</f>
        <v>0</v>
      </c>
      <c r="AD41" s="14">
        <f>'SS INPUT'!J119</f>
        <v>478020.00000000047</v>
      </c>
      <c r="AE41" s="238"/>
      <c r="AF41" s="238"/>
      <c r="AG41" s="238"/>
      <c r="AH41" s="238"/>
      <c r="AI41" s="238"/>
    </row>
    <row r="42" spans="1:35">
      <c r="A42" s="238">
        <v>40</v>
      </c>
      <c r="B42" s="238" t="s">
        <v>80</v>
      </c>
      <c r="C42" s="238" t="s">
        <v>2097</v>
      </c>
      <c r="D42" s="238" t="s">
        <v>1381</v>
      </c>
      <c r="E42" s="238" t="s">
        <v>1956</v>
      </c>
      <c r="F42" s="14">
        <f>'SS INPUT'!D123</f>
        <v>911725</v>
      </c>
      <c r="G42" s="14">
        <f>'SS INPUT'!E123</f>
        <v>911725</v>
      </c>
      <c r="H42" s="14">
        <f>'SS INPUT'!F123</f>
        <v>0</v>
      </c>
      <c r="I42" s="14">
        <f>'SS INPUT'!G123</f>
        <v>40</v>
      </c>
      <c r="J42" s="14">
        <f>'SS INPUT'!H123</f>
        <v>0</v>
      </c>
      <c r="K42" s="14">
        <f>'SS INPUT'!I123</f>
        <v>390000</v>
      </c>
      <c r="L42" s="14">
        <f>'SS INPUT'!J123</f>
        <v>390000</v>
      </c>
      <c r="M42" s="238"/>
      <c r="N42" s="238"/>
      <c r="O42" s="238"/>
      <c r="P42" s="238"/>
      <c r="Q42" s="238"/>
      <c r="R42" s="238"/>
      <c r="S42" s="238"/>
      <c r="T42" s="238"/>
      <c r="U42" s="238"/>
      <c r="V42" s="238" t="s">
        <v>1469</v>
      </c>
      <c r="W42" s="238" t="s">
        <v>2098</v>
      </c>
      <c r="X42" s="14">
        <f>'SS INPUT'!D126</f>
        <v>172651</v>
      </c>
      <c r="Y42" s="14">
        <f>'SS INPUT'!E126</f>
        <v>172651</v>
      </c>
      <c r="Z42" s="14">
        <f>'SS INPUT'!F126</f>
        <v>0</v>
      </c>
      <c r="AA42" s="14">
        <f>'SS INPUT'!G126</f>
        <v>30</v>
      </c>
      <c r="AB42" s="14">
        <f>'SS INPUT'!H126</f>
        <v>0</v>
      </c>
      <c r="AC42" s="14">
        <f>'SS INPUT'!I126</f>
        <v>54100.000000000007</v>
      </c>
      <c r="AD42" s="14">
        <f>'SS INPUT'!J126</f>
        <v>54100.000000000007</v>
      </c>
      <c r="AE42" s="238"/>
      <c r="AF42" s="238"/>
      <c r="AG42" s="238"/>
      <c r="AH42" s="238"/>
      <c r="AI42" s="238"/>
    </row>
    <row r="43" spans="1:35">
      <c r="A43" s="238">
        <v>41</v>
      </c>
      <c r="B43" s="238" t="s">
        <v>80</v>
      </c>
      <c r="C43" s="238" t="s">
        <v>2097</v>
      </c>
      <c r="D43" s="238"/>
      <c r="E43" s="238"/>
      <c r="F43" s="14"/>
      <c r="G43" s="14"/>
      <c r="H43" s="14"/>
      <c r="I43" s="14"/>
      <c r="J43" s="14"/>
      <c r="K43" s="14"/>
      <c r="L43" s="14"/>
      <c r="M43" s="238"/>
      <c r="N43" s="238"/>
      <c r="O43" s="238"/>
      <c r="P43" s="238"/>
      <c r="Q43" s="238"/>
      <c r="R43" s="238"/>
      <c r="S43" s="238"/>
      <c r="T43" s="238"/>
      <c r="U43" s="238"/>
      <c r="V43" s="238" t="s">
        <v>28</v>
      </c>
      <c r="W43" s="238" t="s">
        <v>1926</v>
      </c>
      <c r="X43" s="14">
        <f>'SS INPUT'!D127</f>
        <v>21621.8</v>
      </c>
      <c r="Y43" s="14">
        <f>'SS INPUT'!E127</f>
        <v>21621.8</v>
      </c>
      <c r="Z43" s="14">
        <f>'SS INPUT'!F127</f>
        <v>0</v>
      </c>
      <c r="AA43" s="14">
        <f>'SS INPUT'!G127</f>
        <v>0</v>
      </c>
      <c r="AB43" s="14">
        <f>'SS INPUT'!H127</f>
        <v>0</v>
      </c>
      <c r="AC43" s="14">
        <f>'SS INPUT'!I127</f>
        <v>382839</v>
      </c>
      <c r="AD43" s="14">
        <f>'SS INPUT'!J127</f>
        <v>382839</v>
      </c>
      <c r="AE43" s="238"/>
      <c r="AF43" s="238"/>
      <c r="AG43" s="238"/>
      <c r="AH43" s="238"/>
      <c r="AI43" s="238"/>
    </row>
    <row r="44" spans="1:35">
      <c r="A44" s="238">
        <v>42</v>
      </c>
      <c r="B44" s="238" t="s">
        <v>80</v>
      </c>
      <c r="C44" s="238" t="s">
        <v>1295</v>
      </c>
      <c r="D44" s="238" t="s">
        <v>1472</v>
      </c>
      <c r="E44" s="238" t="s">
        <v>1473</v>
      </c>
      <c r="F44" s="14">
        <f>'SS INPUT'!D130</f>
        <v>5322</v>
      </c>
      <c r="G44" s="14">
        <f>'SS INPUT'!E130</f>
        <v>5532</v>
      </c>
      <c r="H44" s="14">
        <f>'SS INPUT'!F130</f>
        <v>210</v>
      </c>
      <c r="I44" s="14">
        <f>'SS INPUT'!G130</f>
        <v>60</v>
      </c>
      <c r="J44" s="14">
        <f>'SS INPUT'!H130</f>
        <v>12600</v>
      </c>
      <c r="K44" s="14">
        <f>'SS INPUT'!I130</f>
        <v>10500</v>
      </c>
      <c r="L44" s="14">
        <f>'SS INPUT'!J130</f>
        <v>23100</v>
      </c>
      <c r="M44" s="238"/>
      <c r="N44" s="238"/>
      <c r="O44" s="238"/>
      <c r="P44" s="238"/>
      <c r="Q44" s="238"/>
      <c r="R44" s="238"/>
      <c r="S44" s="238"/>
      <c r="T44" s="238"/>
      <c r="U44" s="238"/>
      <c r="V44" s="238" t="s">
        <v>1476</v>
      </c>
      <c r="W44" s="238" t="s">
        <v>1475</v>
      </c>
      <c r="X44" s="14">
        <f>'SS INPUT'!D133</f>
        <v>6596</v>
      </c>
      <c r="Y44" s="14">
        <f>'SS INPUT'!E133</f>
        <v>6817</v>
      </c>
      <c r="Z44" s="14">
        <f>'SS INPUT'!F133</f>
        <v>221</v>
      </c>
      <c r="AA44" s="14">
        <f>'SS INPUT'!G133</f>
        <v>40</v>
      </c>
      <c r="AB44" s="14">
        <f>'SS INPUT'!H133</f>
        <v>8840</v>
      </c>
      <c r="AC44" s="14">
        <f>'SS INPUT'!I133</f>
        <v>0</v>
      </c>
      <c r="AD44" s="14">
        <f>'SS INPUT'!J133</f>
        <v>8840</v>
      </c>
      <c r="AE44" s="238"/>
      <c r="AF44" s="238"/>
      <c r="AG44" s="238"/>
      <c r="AH44" s="238"/>
      <c r="AI44" s="238"/>
    </row>
    <row r="45" spans="1:35">
      <c r="A45" s="238">
        <v>43</v>
      </c>
      <c r="B45" s="238" t="s">
        <v>80</v>
      </c>
      <c r="C45" s="238" t="s">
        <v>1295</v>
      </c>
      <c r="D45" s="238"/>
      <c r="E45" s="238"/>
      <c r="F45" s="14"/>
      <c r="G45" s="14"/>
      <c r="H45" s="14"/>
      <c r="I45" s="14"/>
      <c r="J45" s="14"/>
      <c r="K45" s="14"/>
      <c r="L45" s="14"/>
      <c r="M45" s="238"/>
      <c r="N45" s="238"/>
      <c r="O45" s="238"/>
      <c r="P45" s="238"/>
      <c r="Q45" s="238"/>
      <c r="R45" s="238"/>
      <c r="S45" s="238"/>
      <c r="T45" s="238"/>
      <c r="U45" s="238"/>
      <c r="V45" s="238" t="s">
        <v>1474</v>
      </c>
      <c r="W45" s="238" t="s">
        <v>1477</v>
      </c>
      <c r="X45" s="14">
        <f>'SS INPUT'!D134</f>
        <v>1464</v>
      </c>
      <c r="Y45" s="14">
        <f>'SS INPUT'!E134</f>
        <v>1539.5</v>
      </c>
      <c r="Z45" s="14">
        <f>'SS INPUT'!F134</f>
        <v>75.5</v>
      </c>
      <c r="AA45" s="14">
        <f>'SS INPUT'!G134</f>
        <v>40</v>
      </c>
      <c r="AB45" s="14">
        <f>'SS INPUT'!H134</f>
        <v>3020</v>
      </c>
      <c r="AC45" s="14">
        <f>'SS INPUT'!I134</f>
        <v>10779.9805</v>
      </c>
      <c r="AD45" s="14">
        <f>'SS INPUT'!J134</f>
        <v>13799.9805</v>
      </c>
      <c r="AE45" s="238"/>
      <c r="AF45" s="238"/>
      <c r="AG45" s="238"/>
      <c r="AH45" s="238"/>
      <c r="AI45" s="238"/>
    </row>
    <row r="46" spans="1:35">
      <c r="A46" s="238">
        <v>44</v>
      </c>
      <c r="B46" s="238" t="s">
        <v>81</v>
      </c>
      <c r="C46" s="238" t="s">
        <v>1300</v>
      </c>
      <c r="D46" s="238" t="s">
        <v>1497</v>
      </c>
      <c r="E46" s="238" t="s">
        <v>1498</v>
      </c>
      <c r="F46" s="14">
        <f>'SS INPUT'!D162</f>
        <v>610631.1</v>
      </c>
      <c r="G46" s="14">
        <f>'SS INPUT'!E162</f>
        <v>612735.6</v>
      </c>
      <c r="H46" s="14">
        <f>'SS INPUT'!F162</f>
        <v>2104.5</v>
      </c>
      <c r="I46" s="14">
        <f>'SS INPUT'!G162</f>
        <v>2000</v>
      </c>
      <c r="J46" s="14">
        <f>'SS INPUT'!H162</f>
        <v>4209000</v>
      </c>
      <c r="K46" s="14">
        <f>'SS INPUT'!I162</f>
        <v>0</v>
      </c>
      <c r="L46" s="14">
        <f>'SS INPUT'!J162</f>
        <v>4209000</v>
      </c>
      <c r="M46" s="238"/>
      <c r="N46" s="238"/>
      <c r="O46" s="238"/>
      <c r="P46" s="238"/>
      <c r="Q46" s="238"/>
      <c r="R46" s="238"/>
      <c r="S46" s="238"/>
      <c r="T46" s="238"/>
      <c r="U46" s="238"/>
      <c r="V46" s="238" t="s">
        <v>1501</v>
      </c>
      <c r="W46" s="238" t="s">
        <v>1502</v>
      </c>
      <c r="X46" s="14">
        <f>'SS INPUT'!D166</f>
        <v>93770.5</v>
      </c>
      <c r="Y46" s="14">
        <f>'SS INPUT'!E166</f>
        <v>94055.6</v>
      </c>
      <c r="Z46" s="14">
        <f>'SS INPUT'!F166</f>
        <v>285.10000000000582</v>
      </c>
      <c r="AA46" s="14">
        <f>'SS INPUT'!G166</f>
        <v>2000</v>
      </c>
      <c r="AB46" s="14">
        <f>'SS INPUT'!H166</f>
        <v>570200.00000001164</v>
      </c>
      <c r="AC46" s="14">
        <f>'SS INPUT'!I166</f>
        <v>0</v>
      </c>
      <c r="AD46" s="14">
        <f>'SS INPUT'!J166</f>
        <v>570200.00000001164</v>
      </c>
      <c r="AE46" s="238"/>
      <c r="AF46" s="238"/>
      <c r="AG46" s="238"/>
      <c r="AH46" s="238"/>
      <c r="AI46" s="238"/>
    </row>
    <row r="47" spans="1:35">
      <c r="A47" s="238">
        <v>45</v>
      </c>
      <c r="B47" s="238" t="s">
        <v>81</v>
      </c>
      <c r="C47" s="238" t="s">
        <v>1300</v>
      </c>
      <c r="D47" s="238" t="s">
        <v>1499</v>
      </c>
      <c r="E47" s="14" t="s">
        <v>1500</v>
      </c>
      <c r="F47" s="14">
        <f>'SS INPUT'!D163</f>
        <v>4987.2700000000004</v>
      </c>
      <c r="G47" s="14">
        <f>'SS INPUT'!E163</f>
        <v>5010.8</v>
      </c>
      <c r="H47" s="14">
        <f>'SS INPUT'!F163</f>
        <v>23.529999999999745</v>
      </c>
      <c r="I47" s="14">
        <f>'SS INPUT'!G163</f>
        <v>12000</v>
      </c>
      <c r="J47" s="14">
        <f>'SS INPUT'!H163</f>
        <v>282359.99999999697</v>
      </c>
      <c r="K47" s="14">
        <f>'SS INPUT'!I163</f>
        <v>2903000</v>
      </c>
      <c r="L47" s="14">
        <f>'SS INPUT'!J163</f>
        <v>3185359.9999999972</v>
      </c>
      <c r="M47" s="238"/>
      <c r="N47" s="238"/>
      <c r="O47" s="238"/>
      <c r="P47" s="238"/>
      <c r="Q47" s="238"/>
      <c r="R47" s="238"/>
      <c r="S47" s="238"/>
      <c r="T47" s="238"/>
      <c r="U47" s="238"/>
      <c r="V47" s="238" t="s">
        <v>1503</v>
      </c>
      <c r="W47" s="238" t="s">
        <v>2099</v>
      </c>
      <c r="X47" s="14">
        <f>'SS INPUT'!D167</f>
        <v>370998.9</v>
      </c>
      <c r="Y47" s="14">
        <f>'SS INPUT'!E167</f>
        <v>421759.3</v>
      </c>
      <c r="Z47" s="14">
        <f>'SS INPUT'!F167</f>
        <v>50760.399999999965</v>
      </c>
      <c r="AA47" s="14">
        <f>'SS INPUT'!G167</f>
        <v>20</v>
      </c>
      <c r="AB47" s="14">
        <f>'SS INPUT'!H167</f>
        <v>1015207.9999999993</v>
      </c>
      <c r="AC47" s="14">
        <f>'SS INPUT'!I167</f>
        <v>24254.249999999302</v>
      </c>
      <c r="AD47" s="14">
        <f>'SS INPUT'!J167</f>
        <v>1039462.2499999986</v>
      </c>
      <c r="AE47" s="238"/>
      <c r="AF47" s="238"/>
      <c r="AG47" s="238"/>
      <c r="AH47" s="238"/>
      <c r="AI47" s="238"/>
    </row>
    <row r="48" spans="1:35">
      <c r="A48" s="238">
        <v>46</v>
      </c>
      <c r="B48" s="238" t="s">
        <v>81</v>
      </c>
      <c r="C48" s="238" t="s">
        <v>1300</v>
      </c>
      <c r="D48" s="238"/>
      <c r="E48" s="238"/>
      <c r="F48" s="14"/>
      <c r="G48" s="14"/>
      <c r="H48" s="14"/>
      <c r="I48" s="14"/>
      <c r="J48" s="14"/>
      <c r="K48" s="14"/>
      <c r="L48" s="14"/>
      <c r="M48" s="238"/>
      <c r="N48" s="238"/>
      <c r="O48" s="238"/>
      <c r="P48" s="238"/>
      <c r="Q48" s="238"/>
      <c r="R48" s="238"/>
      <c r="S48" s="238"/>
      <c r="T48" s="238"/>
      <c r="U48" s="238"/>
      <c r="V48" s="238" t="s">
        <v>1504</v>
      </c>
      <c r="W48" s="238" t="s">
        <v>1487</v>
      </c>
      <c r="X48" s="14">
        <f>'SS INPUT'!D168</f>
        <v>89931.5</v>
      </c>
      <c r="Y48" s="14">
        <f>'SS INPUT'!E168</f>
        <v>90189.9</v>
      </c>
      <c r="Z48" s="14">
        <f>'SS INPUT'!F168</f>
        <v>258.39999999999418</v>
      </c>
      <c r="AA48" s="14">
        <f>'SS INPUT'!G168</f>
        <v>2000</v>
      </c>
      <c r="AB48" s="14">
        <f>'SS INPUT'!H168</f>
        <v>516799.99999998836</v>
      </c>
      <c r="AC48" s="14">
        <f>'SS INPUT'!I168</f>
        <v>0</v>
      </c>
      <c r="AD48" s="14">
        <f>'SS INPUT'!J168</f>
        <v>516799.99999998836</v>
      </c>
      <c r="AE48" s="238"/>
      <c r="AF48" s="238"/>
      <c r="AG48" s="238"/>
      <c r="AH48" s="238"/>
      <c r="AI48" s="238"/>
    </row>
    <row r="49" spans="1:35">
      <c r="A49" s="238">
        <v>47</v>
      </c>
      <c r="B49" s="238" t="s">
        <v>81</v>
      </c>
      <c r="C49" s="238" t="s">
        <v>1300</v>
      </c>
      <c r="D49" s="238"/>
      <c r="E49" s="238"/>
      <c r="F49" s="14"/>
      <c r="G49" s="14"/>
      <c r="H49" s="14"/>
      <c r="I49" s="14"/>
      <c r="J49" s="14"/>
      <c r="K49" s="14"/>
      <c r="L49" s="14"/>
      <c r="M49" s="238"/>
      <c r="N49" s="238"/>
      <c r="O49" s="238"/>
      <c r="P49" s="238"/>
      <c r="Q49" s="238"/>
      <c r="R49" s="238"/>
      <c r="S49" s="238"/>
      <c r="T49" s="238"/>
      <c r="U49" s="238"/>
      <c r="V49" s="238" t="s">
        <v>1505</v>
      </c>
      <c r="W49" s="238" t="s">
        <v>2100</v>
      </c>
      <c r="X49" s="14">
        <f>'SS INPUT'!D169</f>
        <v>93430.6</v>
      </c>
      <c r="Y49" s="14">
        <f>'SS INPUT'!E169</f>
        <v>98203.7</v>
      </c>
      <c r="Z49" s="14">
        <f>'SS INPUT'!F169</f>
        <v>4773.0999999999913</v>
      </c>
      <c r="AA49" s="14">
        <f>'SS INPUT'!G169</f>
        <v>200</v>
      </c>
      <c r="AB49" s="14">
        <f>'SS INPUT'!H169</f>
        <v>954619.99999999825</v>
      </c>
      <c r="AC49" s="14">
        <f>'SS INPUT'!I169</f>
        <v>0</v>
      </c>
      <c r="AD49" s="14">
        <f>'SS INPUT'!J169</f>
        <v>954619.99999999825</v>
      </c>
      <c r="AE49" s="238"/>
      <c r="AF49" s="238"/>
      <c r="AG49" s="238"/>
      <c r="AH49" s="238"/>
      <c r="AI49" s="238"/>
    </row>
    <row r="50" spans="1:35">
      <c r="A50" s="238">
        <v>48</v>
      </c>
      <c r="B50" s="238" t="s">
        <v>81</v>
      </c>
      <c r="C50" s="238" t="s">
        <v>1300</v>
      </c>
      <c r="D50" s="238"/>
      <c r="E50" s="238"/>
      <c r="F50" s="14"/>
      <c r="G50" s="14"/>
      <c r="H50" s="14"/>
      <c r="I50" s="14"/>
      <c r="J50" s="14"/>
      <c r="K50" s="14"/>
      <c r="L50" s="14"/>
      <c r="M50" s="238"/>
      <c r="N50" s="238"/>
      <c r="O50" s="238"/>
      <c r="P50" s="238"/>
      <c r="Q50" s="238"/>
      <c r="R50" s="238"/>
      <c r="S50" s="238"/>
      <c r="T50" s="238"/>
      <c r="U50" s="238"/>
      <c r="V50" s="238" t="s">
        <v>1507</v>
      </c>
      <c r="W50" s="238" t="s">
        <v>1508</v>
      </c>
      <c r="X50" s="14">
        <f>'SS INPUT'!D170</f>
        <v>194.21</v>
      </c>
      <c r="Y50" s="14">
        <f>'SS INPUT'!E170</f>
        <v>194.59</v>
      </c>
      <c r="Z50" s="14">
        <f>'SS INPUT'!F170</f>
        <v>0.37999999999999545</v>
      </c>
      <c r="AA50" s="14">
        <f>'SS INPUT'!G170</f>
        <v>12000</v>
      </c>
      <c r="AB50" s="14">
        <f>'SS INPUT'!H170</f>
        <v>4559.9999999999454</v>
      </c>
      <c r="AC50" s="14">
        <f>'SS INPUT'!I170</f>
        <v>1002020</v>
      </c>
      <c r="AD50" s="14">
        <f>'SS INPUT'!J170</f>
        <v>1006580</v>
      </c>
      <c r="AE50" s="238"/>
      <c r="AF50" s="238"/>
      <c r="AG50" s="238"/>
      <c r="AH50" s="238"/>
      <c r="AI50" s="238"/>
    </row>
    <row r="51" spans="1:35">
      <c r="A51" s="238">
        <v>49</v>
      </c>
      <c r="B51" s="238" t="s">
        <v>81</v>
      </c>
      <c r="C51" s="238" t="s">
        <v>1300</v>
      </c>
      <c r="D51" s="238"/>
      <c r="E51" s="238"/>
      <c r="F51" s="14"/>
      <c r="G51" s="14"/>
      <c r="H51" s="14"/>
      <c r="I51" s="14"/>
      <c r="J51" s="14"/>
      <c r="K51" s="14"/>
      <c r="L51" s="14"/>
      <c r="M51" s="238"/>
      <c r="N51" s="238"/>
      <c r="O51" s="238"/>
      <c r="P51" s="238"/>
      <c r="Q51" s="238"/>
      <c r="R51" s="238"/>
      <c r="S51" s="238"/>
      <c r="T51" s="238"/>
      <c r="U51" s="238"/>
      <c r="V51" s="238" t="s">
        <v>1509</v>
      </c>
      <c r="W51" s="238" t="s">
        <v>1510</v>
      </c>
      <c r="X51" s="14">
        <f>'SS INPUT'!D171</f>
        <v>110585</v>
      </c>
      <c r="Y51" s="14">
        <f>'SS INPUT'!E171</f>
        <v>110972.8</v>
      </c>
      <c r="Z51" s="14">
        <f>'SS INPUT'!F171</f>
        <v>387.80000000000291</v>
      </c>
      <c r="AA51" s="14">
        <f>'SS INPUT'!G171</f>
        <v>2000</v>
      </c>
      <c r="AB51" s="14">
        <f>'SS INPUT'!H171</f>
        <v>775600.00000000582</v>
      </c>
      <c r="AC51" s="14">
        <f>'SS INPUT'!I171</f>
        <v>0</v>
      </c>
      <c r="AD51" s="14">
        <f>'SS INPUT'!J171</f>
        <v>775600.00000000582</v>
      </c>
      <c r="AE51" s="238"/>
      <c r="AF51" s="238"/>
      <c r="AG51" s="238"/>
      <c r="AH51" s="238"/>
      <c r="AI51" s="238"/>
    </row>
    <row r="52" spans="1:35">
      <c r="A52" s="238">
        <v>50</v>
      </c>
      <c r="B52" s="238" t="s">
        <v>81</v>
      </c>
      <c r="C52" s="238" t="s">
        <v>1300</v>
      </c>
      <c r="D52" s="238"/>
      <c r="E52" s="238"/>
      <c r="F52" s="14"/>
      <c r="G52" s="14"/>
      <c r="H52" s="14"/>
      <c r="I52" s="14"/>
      <c r="J52" s="14"/>
      <c r="K52" s="14"/>
      <c r="L52" s="14"/>
      <c r="M52" s="238"/>
      <c r="N52" s="238"/>
      <c r="O52" s="238"/>
      <c r="P52" s="238"/>
      <c r="Q52" s="238"/>
      <c r="R52" s="238"/>
      <c r="S52" s="238"/>
      <c r="T52" s="238"/>
      <c r="U52" s="238"/>
      <c r="V52" s="238" t="s">
        <v>1171</v>
      </c>
      <c r="W52" s="238" t="s">
        <v>1488</v>
      </c>
      <c r="X52" s="14">
        <f>'SS INPUT'!D172</f>
        <v>154830.79999999999</v>
      </c>
      <c r="Y52" s="14">
        <f>'SS INPUT'!E172</f>
        <v>155022.70000000001</v>
      </c>
      <c r="Z52" s="14">
        <f>'SS INPUT'!F172</f>
        <v>191.90000000002328</v>
      </c>
      <c r="AA52" s="14">
        <f>'SS INPUT'!G172</f>
        <v>2000</v>
      </c>
      <c r="AB52" s="14">
        <f>'SS INPUT'!H172</f>
        <v>383800.00000004657</v>
      </c>
      <c r="AC52" s="14">
        <f>'SS INPUT'!I172</f>
        <v>521839.83290001203</v>
      </c>
      <c r="AD52" s="14">
        <f>'SS INPUT'!J172</f>
        <v>905639.83290005859</v>
      </c>
      <c r="AE52" s="238"/>
      <c r="AF52" s="238"/>
      <c r="AG52" s="238"/>
      <c r="AH52" s="238"/>
      <c r="AI52" s="238"/>
    </row>
    <row r="53" spans="1:35">
      <c r="A53" s="238">
        <v>51</v>
      </c>
      <c r="B53" s="238" t="s">
        <v>81</v>
      </c>
      <c r="C53" s="238" t="s">
        <v>1300</v>
      </c>
      <c r="D53" s="238"/>
      <c r="E53" s="238"/>
      <c r="F53" s="14"/>
      <c r="G53" s="14"/>
      <c r="H53" s="14"/>
      <c r="I53" s="14"/>
      <c r="J53" s="14"/>
      <c r="K53" s="14"/>
      <c r="L53" s="14"/>
      <c r="M53" s="238"/>
      <c r="N53" s="238"/>
      <c r="O53" s="238"/>
      <c r="P53" s="238"/>
      <c r="Q53" s="238"/>
      <c r="R53" s="238"/>
      <c r="S53" s="238"/>
      <c r="T53" s="238"/>
      <c r="U53" s="238"/>
      <c r="V53" s="238" t="s">
        <v>1511</v>
      </c>
      <c r="W53" s="238" t="s">
        <v>1512</v>
      </c>
      <c r="X53" s="14">
        <f>'SS INPUT'!D173</f>
        <v>83790.3</v>
      </c>
      <c r="Y53" s="14">
        <f>'SS INPUT'!E173</f>
        <v>84549.9</v>
      </c>
      <c r="Z53" s="14">
        <f>'SS INPUT'!F173</f>
        <v>759.59999999999127</v>
      </c>
      <c r="AA53" s="14">
        <f>'SS INPUT'!G173</f>
        <v>2000</v>
      </c>
      <c r="AB53" s="20">
        <f>'SS INPUT'!H173</f>
        <v>1519199.9999999825</v>
      </c>
      <c r="AC53" s="20">
        <f>'SS INPUT'!I173</f>
        <v>0</v>
      </c>
      <c r="AD53" s="20">
        <f>'SS INPUT'!J173</f>
        <v>1519199.9999999825</v>
      </c>
      <c r="AE53" s="238"/>
      <c r="AF53" s="238"/>
      <c r="AG53" s="238"/>
      <c r="AH53" s="238"/>
      <c r="AI53" s="238"/>
    </row>
    <row r="54" spans="1:35">
      <c r="A54" s="238">
        <v>52</v>
      </c>
      <c r="B54" s="238" t="s">
        <v>81</v>
      </c>
      <c r="C54" s="238" t="s">
        <v>1176</v>
      </c>
      <c r="D54" s="238" t="s">
        <v>1514</v>
      </c>
      <c r="E54" s="238" t="s">
        <v>1515</v>
      </c>
      <c r="F54" s="220">
        <f>'SS INPUT'!D176</f>
        <v>615319.30000000005</v>
      </c>
      <c r="G54" s="220">
        <f>'SS INPUT'!E176</f>
        <v>616056.5</v>
      </c>
      <c r="H54" s="220">
        <f>'SS INPUT'!F176</f>
        <v>737.19999999995343</v>
      </c>
      <c r="I54" s="220">
        <f>'SS INPUT'!G176</f>
        <v>2000</v>
      </c>
      <c r="J54" s="220">
        <f>'SS INPUT'!H176</f>
        <v>1474399.9999999069</v>
      </c>
      <c r="K54" s="220">
        <f>'SS INPUT'!I176</f>
        <v>0</v>
      </c>
      <c r="L54" s="220">
        <f>'SS INPUT'!J176</f>
        <v>1474399.9999999069</v>
      </c>
      <c r="M54" s="238" t="s">
        <v>1518</v>
      </c>
      <c r="N54" s="238" t="s">
        <v>1519</v>
      </c>
      <c r="O54" s="238">
        <f>'SS INPUT'!D179</f>
        <v>480878.3</v>
      </c>
      <c r="P54" s="238">
        <f>'SS INPUT'!E179</f>
        <v>481187.5</v>
      </c>
      <c r="Q54" s="238">
        <f>'SS INPUT'!F179</f>
        <v>309.20000000001164</v>
      </c>
      <c r="R54" s="238">
        <f>'SS INPUT'!G179</f>
        <v>2000</v>
      </c>
      <c r="S54" s="238">
        <f>'SS INPUT'!H179</f>
        <v>618400.00000002328</v>
      </c>
      <c r="T54" s="238">
        <f>'SS INPUT'!I179</f>
        <v>0</v>
      </c>
      <c r="U54" s="238">
        <f>'SS INPUT'!J179</f>
        <v>618400.00000002328</v>
      </c>
      <c r="V54" s="238" t="s">
        <v>1523</v>
      </c>
      <c r="W54" s="238" t="s">
        <v>1524</v>
      </c>
      <c r="X54" s="14">
        <f>'SS INPUT'!D182</f>
        <v>98414.399999999994</v>
      </c>
      <c r="Y54" s="14">
        <f>'SS INPUT'!E182</f>
        <v>98876.4</v>
      </c>
      <c r="Z54" s="14">
        <f>'SS INPUT'!F182</f>
        <v>462</v>
      </c>
      <c r="AA54" s="14">
        <f>'SS INPUT'!G182</f>
        <v>2000</v>
      </c>
      <c r="AB54" s="14">
        <f>'SS INPUT'!H182</f>
        <v>924000</v>
      </c>
      <c r="AC54" s="14">
        <f>'SS INPUT'!I182</f>
        <v>0</v>
      </c>
      <c r="AD54" s="14">
        <f>'SS INPUT'!J182</f>
        <v>924000</v>
      </c>
      <c r="AE54" s="238"/>
      <c r="AF54" s="238"/>
      <c r="AG54" s="238"/>
      <c r="AH54" s="238"/>
      <c r="AI54" s="238"/>
    </row>
    <row r="55" spans="1:35">
      <c r="A55" s="238">
        <v>53</v>
      </c>
      <c r="B55" s="238" t="s">
        <v>81</v>
      </c>
      <c r="C55" s="238" t="s">
        <v>1176</v>
      </c>
      <c r="D55" s="238" t="s">
        <v>925</v>
      </c>
      <c r="E55" s="238" t="s">
        <v>2101</v>
      </c>
      <c r="F55" s="220">
        <f>'SS INPUT'!D177</f>
        <v>5046.03</v>
      </c>
      <c r="G55" s="220">
        <f>'SS INPUT'!E177</f>
        <v>5098.25</v>
      </c>
      <c r="H55" s="220">
        <f>'SS INPUT'!F177</f>
        <v>52.220000000000255</v>
      </c>
      <c r="I55" s="220">
        <f>'SS INPUT'!G177</f>
        <v>80000</v>
      </c>
      <c r="J55" s="220">
        <f>'SS INPUT'!H177</f>
        <v>4177600.0000000205</v>
      </c>
      <c r="K55" s="220">
        <f>'SS INPUT'!I177</f>
        <v>0</v>
      </c>
      <c r="L55" s="220">
        <f>'SS INPUT'!J177</f>
        <v>4177600.0000000205</v>
      </c>
      <c r="M55" s="238" t="s">
        <v>1520</v>
      </c>
      <c r="N55" s="238">
        <v>3300080</v>
      </c>
      <c r="O55" s="238">
        <f>'SS INPUT'!D180</f>
        <v>110940.2</v>
      </c>
      <c r="P55" s="238">
        <f>'SS INPUT'!E180</f>
        <v>114580</v>
      </c>
      <c r="Q55" s="238">
        <f>'SS INPUT'!F180</f>
        <v>3639.8000000000029</v>
      </c>
      <c r="R55" s="238">
        <f>'SS INPUT'!G180</f>
        <v>400</v>
      </c>
      <c r="S55" s="238">
        <f>'SS INPUT'!H180</f>
        <v>1455920.0000000012</v>
      </c>
      <c r="T55" s="238">
        <f>'SS INPUT'!I180</f>
        <v>0</v>
      </c>
      <c r="U55" s="238">
        <f>'SS INPUT'!J180</f>
        <v>1455920.0000000012</v>
      </c>
      <c r="V55" s="238" t="s">
        <v>1525</v>
      </c>
      <c r="W55" s="238" t="s">
        <v>1526</v>
      </c>
      <c r="X55" s="14">
        <f>'SS INPUT'!D183</f>
        <v>143395</v>
      </c>
      <c r="Y55" s="14">
        <f>'SS INPUT'!E183</f>
        <v>143705.29999999999</v>
      </c>
      <c r="Z55" s="14">
        <f>'SS INPUT'!F183</f>
        <v>310.29999999998836</v>
      </c>
      <c r="AA55" s="14">
        <f>'SS INPUT'!G183</f>
        <v>2000</v>
      </c>
      <c r="AB55" s="14">
        <f>'SS INPUT'!H183</f>
        <v>620599.99999997672</v>
      </c>
      <c r="AC55" s="14">
        <f>'SS INPUT'!I183</f>
        <v>0</v>
      </c>
      <c r="AD55" s="14">
        <f>'SS INPUT'!J183</f>
        <v>620599.99999997672</v>
      </c>
      <c r="AE55" s="238"/>
      <c r="AF55" s="238"/>
      <c r="AG55" s="238"/>
      <c r="AH55" s="238"/>
      <c r="AI55" s="238"/>
    </row>
    <row r="56" spans="1:35">
      <c r="A56" s="238">
        <v>54</v>
      </c>
      <c r="B56" s="238" t="s">
        <v>81</v>
      </c>
      <c r="C56" s="238" t="s">
        <v>1176</v>
      </c>
      <c r="D56" s="238"/>
      <c r="E56" s="238"/>
      <c r="F56" s="14"/>
      <c r="G56" s="14"/>
      <c r="H56" s="14"/>
      <c r="I56" s="14"/>
      <c r="J56" s="14"/>
      <c r="K56" s="14"/>
      <c r="L56" s="14"/>
      <c r="M56" s="238"/>
      <c r="N56" s="238"/>
      <c r="O56" s="238"/>
      <c r="P56" s="238"/>
      <c r="Q56" s="238"/>
      <c r="R56" s="238"/>
      <c r="S56" s="238"/>
      <c r="T56" s="238"/>
      <c r="U56" s="238"/>
      <c r="V56" s="238" t="s">
        <v>1527</v>
      </c>
      <c r="W56" s="238" t="s">
        <v>1485</v>
      </c>
      <c r="X56" s="14">
        <f>'SS INPUT'!D184</f>
        <v>123251.6</v>
      </c>
      <c r="Y56" s="14">
        <f>'SS INPUT'!E184</f>
        <v>123380.4</v>
      </c>
      <c r="Z56" s="14">
        <f>'SS INPUT'!F184</f>
        <v>128.79999999998836</v>
      </c>
      <c r="AA56" s="14">
        <f>'SS INPUT'!G184</f>
        <v>2000</v>
      </c>
      <c r="AB56" s="14">
        <f>'SS INPUT'!H184</f>
        <v>257599.99999997672</v>
      </c>
      <c r="AC56" s="14">
        <f>'SS INPUT'!I184</f>
        <v>554462.109999988</v>
      </c>
      <c r="AD56" s="14">
        <f>'SS INPUT'!J184</f>
        <v>812062.10999996471</v>
      </c>
      <c r="AE56" s="238"/>
      <c r="AF56" s="238"/>
      <c r="AG56" s="238"/>
      <c r="AH56" s="238"/>
      <c r="AI56" s="238"/>
    </row>
    <row r="57" spans="1:35">
      <c r="A57" s="238">
        <v>55</v>
      </c>
      <c r="B57" s="238" t="s">
        <v>81</v>
      </c>
      <c r="C57" s="238" t="s">
        <v>1176</v>
      </c>
      <c r="D57" s="238"/>
      <c r="E57" s="238"/>
      <c r="F57" s="14"/>
      <c r="G57" s="14"/>
      <c r="H57" s="14"/>
      <c r="I57" s="14"/>
      <c r="J57" s="14"/>
      <c r="K57" s="14"/>
      <c r="L57" s="14"/>
      <c r="M57" s="238"/>
      <c r="N57" s="238"/>
      <c r="O57" s="238"/>
      <c r="P57" s="238"/>
      <c r="Q57" s="238"/>
      <c r="R57" s="238"/>
      <c r="S57" s="238"/>
      <c r="T57" s="238"/>
      <c r="U57" s="238"/>
      <c r="V57" s="238" t="s">
        <v>1528</v>
      </c>
      <c r="W57" s="238" t="s">
        <v>1529</v>
      </c>
      <c r="X57" s="14">
        <f>'SS INPUT'!D185</f>
        <v>79594.399999999994</v>
      </c>
      <c r="Y57" s="14">
        <f>'SS INPUT'!E185</f>
        <v>79818.7</v>
      </c>
      <c r="Z57" s="14">
        <f>'SS INPUT'!F185</f>
        <v>224.30000000000291</v>
      </c>
      <c r="AA57" s="14">
        <f>'SS INPUT'!G185</f>
        <v>2000</v>
      </c>
      <c r="AB57" s="14">
        <f>'SS INPUT'!H185</f>
        <v>448600.00000000582</v>
      </c>
      <c r="AC57" s="14">
        <f>'SS INPUT'!I185</f>
        <v>0</v>
      </c>
      <c r="AD57" s="14">
        <f>'SS INPUT'!J185</f>
        <v>448600.00000000582</v>
      </c>
      <c r="AE57" s="238"/>
      <c r="AF57" s="238"/>
      <c r="AG57" s="238"/>
      <c r="AH57" s="238"/>
      <c r="AI57" s="238"/>
    </row>
    <row r="58" spans="1:35">
      <c r="A58" s="238">
        <v>56</v>
      </c>
      <c r="B58" s="238" t="s">
        <v>81</v>
      </c>
      <c r="C58" s="238" t="s">
        <v>1176</v>
      </c>
      <c r="D58" s="238"/>
      <c r="E58" s="238"/>
      <c r="F58" s="14"/>
      <c r="G58" s="14"/>
      <c r="H58" s="14"/>
      <c r="I58" s="14"/>
      <c r="J58" s="14"/>
      <c r="K58" s="14"/>
      <c r="L58" s="14"/>
      <c r="M58" s="238"/>
      <c r="N58" s="238"/>
      <c r="O58" s="238"/>
      <c r="P58" s="238"/>
      <c r="Q58" s="238"/>
      <c r="R58" s="238"/>
      <c r="S58" s="238"/>
      <c r="T58" s="238"/>
      <c r="U58" s="238"/>
      <c r="V58" s="238" t="s">
        <v>1530</v>
      </c>
      <c r="W58" s="238" t="s">
        <v>1531</v>
      </c>
      <c r="X58" s="14">
        <f>'SS INPUT'!D186</f>
        <v>71942.5</v>
      </c>
      <c r="Y58" s="14">
        <f>'SS INPUT'!E186</f>
        <v>72172.7</v>
      </c>
      <c r="Z58" s="14">
        <f>'SS INPUT'!F186</f>
        <v>230.19999999999709</v>
      </c>
      <c r="AA58" s="14">
        <f>'SS INPUT'!G186</f>
        <v>1333.33</v>
      </c>
      <c r="AB58" s="20">
        <f>'SS INPUT'!H186</f>
        <v>306932.56599999609</v>
      </c>
      <c r="AC58" s="20">
        <f>'SS INPUT'!I186</f>
        <v>0</v>
      </c>
      <c r="AD58" s="20">
        <f>'SS INPUT'!J186</f>
        <v>306932.56599999609</v>
      </c>
      <c r="AE58" s="238"/>
      <c r="AF58" s="238"/>
      <c r="AG58" s="238"/>
      <c r="AH58" s="238"/>
      <c r="AI58" s="238"/>
    </row>
    <row r="59" spans="1:35">
      <c r="A59" s="238">
        <v>57</v>
      </c>
      <c r="B59" s="238" t="s">
        <v>81</v>
      </c>
      <c r="C59" s="238" t="s">
        <v>1176</v>
      </c>
      <c r="D59" s="238"/>
      <c r="E59" s="238"/>
      <c r="F59" s="14"/>
      <c r="G59" s="14"/>
      <c r="H59" s="14"/>
      <c r="I59" s="14"/>
      <c r="J59" s="14"/>
      <c r="K59" s="14"/>
      <c r="L59" s="14"/>
      <c r="M59" s="238"/>
      <c r="N59" s="238"/>
      <c r="O59" s="238"/>
      <c r="P59" s="238"/>
      <c r="Q59" s="238"/>
      <c r="R59" s="238"/>
      <c r="S59" s="238"/>
      <c r="T59" s="238"/>
      <c r="U59" s="238"/>
      <c r="V59" s="238" t="s">
        <v>1532</v>
      </c>
      <c r="W59" s="238" t="s">
        <v>1533</v>
      </c>
      <c r="X59" s="14">
        <f>'SS INPUT'!D187</f>
        <v>161978</v>
      </c>
      <c r="Y59" s="14">
        <f>'SS INPUT'!E187</f>
        <v>166412</v>
      </c>
      <c r="Z59" s="14">
        <f>'SS INPUT'!F187</f>
        <v>4434</v>
      </c>
      <c r="AA59" s="14">
        <f>'SS INPUT'!G187</f>
        <v>40</v>
      </c>
      <c r="AB59" s="14">
        <f>'SS INPUT'!H187</f>
        <v>177360</v>
      </c>
      <c r="AC59" s="14">
        <f>'SS INPUT'!I187</f>
        <v>0</v>
      </c>
      <c r="AD59" s="14">
        <f>'SS INPUT'!J187</f>
        <v>177360</v>
      </c>
      <c r="AE59" s="238"/>
      <c r="AF59" s="238"/>
      <c r="AG59" s="238"/>
      <c r="AH59" s="238"/>
      <c r="AI59" s="238"/>
    </row>
    <row r="60" spans="1:35">
      <c r="A60" s="238">
        <v>58</v>
      </c>
      <c r="B60" s="238" t="s">
        <v>81</v>
      </c>
      <c r="C60" s="238" t="s">
        <v>1176</v>
      </c>
      <c r="D60" s="238"/>
      <c r="E60" s="238"/>
      <c r="F60" s="14"/>
      <c r="G60" s="14"/>
      <c r="H60" s="14"/>
      <c r="I60" s="14"/>
      <c r="J60" s="14"/>
      <c r="K60" s="14"/>
      <c r="L60" s="14"/>
      <c r="M60" s="238"/>
      <c r="N60" s="238"/>
      <c r="O60" s="238"/>
      <c r="P60" s="238"/>
      <c r="Q60" s="238"/>
      <c r="R60" s="238"/>
      <c r="S60" s="238"/>
      <c r="T60" s="238"/>
      <c r="U60" s="238"/>
      <c r="V60" s="238" t="s">
        <v>1534</v>
      </c>
      <c r="W60" s="238" t="s">
        <v>1535</v>
      </c>
      <c r="X60" s="14">
        <f>'SS INPUT'!D188</f>
        <v>2060.08</v>
      </c>
      <c r="Y60" s="14">
        <f>'SS INPUT'!E188</f>
        <v>2106.87</v>
      </c>
      <c r="Z60" s="14">
        <f>'SS INPUT'!F188</f>
        <v>46.789999999999964</v>
      </c>
      <c r="AA60" s="14">
        <f>'SS INPUT'!G188</f>
        <v>6000</v>
      </c>
      <c r="AB60" s="14">
        <f>'SS INPUT'!H188</f>
        <v>280739.99999999977</v>
      </c>
      <c r="AC60" s="14">
        <f>'SS INPUT'!I188</f>
        <v>0</v>
      </c>
      <c r="AD60" s="14">
        <f>'SS INPUT'!J188</f>
        <v>280739.99999999977</v>
      </c>
      <c r="AE60" s="238"/>
      <c r="AF60" s="238"/>
      <c r="AG60" s="238"/>
      <c r="AH60" s="238"/>
      <c r="AI60" s="238"/>
    </row>
    <row r="61" spans="1:35">
      <c r="A61" s="238">
        <v>59</v>
      </c>
      <c r="B61" s="238" t="s">
        <v>81</v>
      </c>
      <c r="C61" s="238" t="s">
        <v>1203</v>
      </c>
      <c r="D61" s="238" t="s">
        <v>1537</v>
      </c>
      <c r="E61" s="238" t="s">
        <v>1538</v>
      </c>
      <c r="F61" s="14">
        <f>'SS INPUT'!D191</f>
        <v>3492.74</v>
      </c>
      <c r="G61" s="14">
        <f>'SS INPUT'!E191</f>
        <v>3521.36</v>
      </c>
      <c r="H61" s="14">
        <f>'SS INPUT'!F191</f>
        <v>28.620000000000346</v>
      </c>
      <c r="I61" s="14">
        <f>'SS INPUT'!G191</f>
        <v>80000</v>
      </c>
      <c r="J61" s="14">
        <f>'SS INPUT'!H191</f>
        <v>2289600.0000000275</v>
      </c>
      <c r="K61" s="14">
        <f>'SS INPUT'!I191</f>
        <v>0</v>
      </c>
      <c r="L61" s="14">
        <f>'SS INPUT'!J191</f>
        <v>2289600.0000000275</v>
      </c>
      <c r="M61" s="238"/>
      <c r="N61" s="238"/>
      <c r="O61" s="238"/>
      <c r="P61" s="238"/>
      <c r="Q61" s="238"/>
      <c r="R61" s="238"/>
      <c r="S61" s="238"/>
      <c r="T61" s="238"/>
      <c r="U61" s="238"/>
      <c r="V61" s="774" t="s">
        <v>1539</v>
      </c>
      <c r="W61" s="238" t="s">
        <v>1540</v>
      </c>
      <c r="X61" s="14">
        <f>'SS INPUT'!D194</f>
        <v>104249.5</v>
      </c>
      <c r="Y61" s="14">
        <f>'SS INPUT'!E194</f>
        <v>104663.7</v>
      </c>
      <c r="Z61" s="14">
        <f>'SS INPUT'!F194</f>
        <v>414.19999999999709</v>
      </c>
      <c r="AA61" s="14">
        <f>'SS INPUT'!G194</f>
        <v>2000</v>
      </c>
      <c r="AB61" s="14">
        <f>'SS INPUT'!H194</f>
        <v>828399.99999999418</v>
      </c>
      <c r="AC61" s="14">
        <f>'SS INPUT'!I194</f>
        <v>0</v>
      </c>
      <c r="AD61" s="14">
        <f>'SS INPUT'!J194</f>
        <v>828399.99999999418</v>
      </c>
      <c r="AE61" s="238"/>
      <c r="AF61" s="238"/>
      <c r="AG61" s="238"/>
      <c r="AH61" s="238"/>
      <c r="AI61" s="238"/>
    </row>
    <row r="62" spans="1:35">
      <c r="A62" s="238">
        <v>60</v>
      </c>
      <c r="B62" s="238" t="s">
        <v>81</v>
      </c>
      <c r="C62" s="238" t="s">
        <v>1203</v>
      </c>
      <c r="D62" s="238"/>
      <c r="E62" s="238"/>
      <c r="F62" s="14"/>
      <c r="G62" s="14"/>
      <c r="H62" s="14"/>
      <c r="I62" s="14"/>
      <c r="J62" s="14"/>
      <c r="K62" s="14"/>
      <c r="L62" s="14"/>
      <c r="M62" s="238"/>
      <c r="N62" s="238"/>
      <c r="O62" s="238"/>
      <c r="P62" s="238"/>
      <c r="Q62" s="238"/>
      <c r="R62" s="238"/>
      <c r="S62" s="238"/>
      <c r="T62" s="238"/>
      <c r="U62" s="238"/>
      <c r="V62" s="734" t="s">
        <v>1541</v>
      </c>
      <c r="W62" s="238" t="s">
        <v>1542</v>
      </c>
      <c r="X62" s="14">
        <f>'SS INPUT'!D195</f>
        <v>738178.5</v>
      </c>
      <c r="Y62" s="14">
        <f>'SS INPUT'!E195</f>
        <v>742389</v>
      </c>
      <c r="Z62" s="14">
        <f>'SS INPUT'!F195</f>
        <v>4210.5</v>
      </c>
      <c r="AA62" s="14">
        <f>'SS INPUT'!G195</f>
        <v>60</v>
      </c>
      <c r="AB62" s="14">
        <f>'SS INPUT'!H195</f>
        <v>252630</v>
      </c>
      <c r="AC62" s="14">
        <f>'SS INPUT'!I195</f>
        <v>0</v>
      </c>
      <c r="AD62" s="14">
        <f>'SS INPUT'!J195</f>
        <v>252630</v>
      </c>
      <c r="AE62" s="238"/>
      <c r="AF62" s="238"/>
      <c r="AG62" s="238"/>
      <c r="AH62" s="238"/>
      <c r="AI62" s="238"/>
    </row>
    <row r="63" spans="1:35">
      <c r="A63" s="238">
        <v>61</v>
      </c>
      <c r="B63" s="238" t="s">
        <v>81</v>
      </c>
      <c r="C63" s="238" t="s">
        <v>1203</v>
      </c>
      <c r="D63" s="238"/>
      <c r="E63" s="238"/>
      <c r="F63" s="14"/>
      <c r="G63" s="14"/>
      <c r="H63" s="14"/>
      <c r="I63" s="14"/>
      <c r="J63" s="14"/>
      <c r="K63" s="14"/>
      <c r="L63" s="14"/>
      <c r="M63" s="238"/>
      <c r="N63" s="238"/>
      <c r="O63" s="238"/>
      <c r="P63" s="238"/>
      <c r="Q63" s="238"/>
      <c r="R63" s="238"/>
      <c r="S63" s="238"/>
      <c r="T63" s="238"/>
      <c r="U63" s="238"/>
      <c r="V63" s="734" t="s">
        <v>1203</v>
      </c>
      <c r="W63" s="238" t="s">
        <v>1543</v>
      </c>
      <c r="X63" s="14">
        <f>'SS INPUT'!D196</f>
        <v>74671.399999999994</v>
      </c>
      <c r="Y63" s="14">
        <f>'SS INPUT'!E196</f>
        <v>75077.8</v>
      </c>
      <c r="Z63" s="14">
        <f>'SS INPUT'!F196</f>
        <v>406.40000000000873</v>
      </c>
      <c r="AA63" s="14">
        <f>'SS INPUT'!G196</f>
        <v>1333.33</v>
      </c>
      <c r="AB63" s="20">
        <f>'SS INPUT'!H196</f>
        <v>541865.31200001156</v>
      </c>
      <c r="AC63" s="20">
        <f>'SS INPUT'!I196</f>
        <v>405749.37810000801</v>
      </c>
      <c r="AD63" s="20">
        <f>'SS INPUT'!J196</f>
        <v>947614.69010001956</v>
      </c>
      <c r="AE63" s="238"/>
      <c r="AF63" s="238"/>
      <c r="AG63" s="238"/>
      <c r="AH63" s="238"/>
      <c r="AI63" s="238"/>
    </row>
    <row r="64" spans="1:35">
      <c r="A64" s="238">
        <v>62</v>
      </c>
      <c r="B64" s="238" t="s">
        <v>81</v>
      </c>
      <c r="C64" s="238" t="s">
        <v>1203</v>
      </c>
      <c r="D64" s="238"/>
      <c r="E64" s="238"/>
      <c r="F64" s="14"/>
      <c r="G64" s="14"/>
      <c r="H64" s="14"/>
      <c r="I64" s="14"/>
      <c r="J64" s="14"/>
      <c r="K64" s="14"/>
      <c r="L64" s="14"/>
      <c r="M64" s="238"/>
      <c r="N64" s="238"/>
      <c r="O64" s="238"/>
      <c r="P64" s="238"/>
      <c r="Q64" s="238"/>
      <c r="R64" s="238"/>
      <c r="S64" s="238"/>
      <c r="T64" s="238"/>
      <c r="U64" s="238"/>
      <c r="V64" s="734" t="s">
        <v>1544</v>
      </c>
      <c r="W64" s="238" t="s">
        <v>2102</v>
      </c>
      <c r="X64" s="14">
        <f>'SS INPUT'!D197</f>
        <v>14342.7</v>
      </c>
      <c r="Y64" s="14">
        <f>'SS INPUT'!E197</f>
        <v>15527</v>
      </c>
      <c r="Z64" s="14">
        <f>'SS INPUT'!F197</f>
        <v>1184.2999999999993</v>
      </c>
      <c r="AA64" s="14">
        <f>'SS INPUT'!G197</f>
        <v>200</v>
      </c>
      <c r="AB64" s="14">
        <f>'SS INPUT'!H197</f>
        <v>236859.99999999985</v>
      </c>
      <c r="AC64" s="14">
        <f>'SS INPUT'!I197</f>
        <v>0</v>
      </c>
      <c r="AD64" s="14">
        <f>'SS INPUT'!J197</f>
        <v>236859.99999999985</v>
      </c>
      <c r="AE64" s="238"/>
      <c r="AF64" s="238"/>
      <c r="AG64" s="238"/>
      <c r="AH64" s="238"/>
      <c r="AI64" s="238"/>
    </row>
    <row r="65" spans="1:35">
      <c r="A65" s="238">
        <v>63</v>
      </c>
      <c r="B65" s="238" t="s">
        <v>81</v>
      </c>
      <c r="C65" s="238" t="s">
        <v>1200</v>
      </c>
      <c r="D65" s="238" t="s">
        <v>925</v>
      </c>
      <c r="E65" s="238" t="s">
        <v>1548</v>
      </c>
      <c r="F65" s="14">
        <f>'SS INPUT'!D200</f>
        <v>195746.9</v>
      </c>
      <c r="G65" s="14">
        <f>'SS INPUT'!E200</f>
        <v>196571</v>
      </c>
      <c r="H65" s="14">
        <f>'SS INPUT'!F200</f>
        <v>824.10000000000582</v>
      </c>
      <c r="I65" s="14">
        <f>'SS INPUT'!G200</f>
        <v>2000</v>
      </c>
      <c r="J65" s="14">
        <f>'SS INPUT'!H200</f>
        <v>1648200.0000000116</v>
      </c>
      <c r="K65" s="14">
        <f>'SS INPUT'!I200</f>
        <v>0</v>
      </c>
      <c r="L65" s="14">
        <f>'SS INPUT'!J200</f>
        <v>1648200.0000000116</v>
      </c>
      <c r="M65" s="238"/>
      <c r="N65" s="238"/>
      <c r="O65" s="238"/>
      <c r="P65" s="238"/>
      <c r="Q65" s="238"/>
      <c r="R65" s="238"/>
      <c r="S65" s="238"/>
      <c r="T65" s="238"/>
      <c r="U65" s="238"/>
      <c r="V65" s="238" t="s">
        <v>1175</v>
      </c>
      <c r="W65" s="238" t="s">
        <v>1550</v>
      </c>
      <c r="X65" s="14">
        <f>'SS INPUT'!D204</f>
        <v>6461.17</v>
      </c>
      <c r="Y65" s="14">
        <f>'SS INPUT'!E204</f>
        <v>6628.5</v>
      </c>
      <c r="Z65" s="14">
        <f>'SS INPUT'!F204</f>
        <v>167.32999999999993</v>
      </c>
      <c r="AA65" s="14">
        <f>'SS INPUT'!G204</f>
        <v>6000</v>
      </c>
      <c r="AB65" s="14">
        <f>'SS INPUT'!H204</f>
        <v>1003979.9999999995</v>
      </c>
      <c r="AC65" s="14">
        <f>'SS INPUT'!I204</f>
        <v>0</v>
      </c>
      <c r="AD65" s="14">
        <f>'SS INPUT'!J204</f>
        <v>1003979.9999999995</v>
      </c>
      <c r="AE65" s="238"/>
      <c r="AF65" s="238"/>
      <c r="AG65" s="238"/>
      <c r="AH65" s="238"/>
      <c r="AI65" s="238"/>
    </row>
    <row r="66" spans="1:35">
      <c r="A66" s="238">
        <v>64</v>
      </c>
      <c r="B66" s="238" t="s">
        <v>81</v>
      </c>
      <c r="C66" s="238" t="s">
        <v>1200</v>
      </c>
      <c r="D66" s="238" t="s">
        <v>925</v>
      </c>
      <c r="E66" s="238" t="s">
        <v>1549</v>
      </c>
      <c r="F66" s="14">
        <f>'SS INPUT'!D201</f>
        <v>428000.5</v>
      </c>
      <c r="G66" s="14">
        <f>'SS INPUT'!E201</f>
        <v>436378.5</v>
      </c>
      <c r="H66" s="14">
        <f>'SS INPUT'!F201</f>
        <v>8378</v>
      </c>
      <c r="I66" s="14">
        <f>'SS INPUT'!G201</f>
        <v>120</v>
      </c>
      <c r="J66" s="14">
        <f>'SS INPUT'!H201</f>
        <v>1005360</v>
      </c>
      <c r="K66" s="14">
        <f>'SS INPUT'!I201</f>
        <v>0</v>
      </c>
      <c r="L66" s="14">
        <f>'SS INPUT'!J201</f>
        <v>1005360</v>
      </c>
      <c r="M66" s="238"/>
      <c r="N66" s="238"/>
      <c r="O66" s="238"/>
      <c r="P66" s="238"/>
      <c r="Q66" s="238"/>
      <c r="R66" s="238"/>
      <c r="S66" s="238"/>
      <c r="T66" s="238"/>
      <c r="U66" s="238"/>
      <c r="V66" s="238" t="s">
        <v>1199</v>
      </c>
      <c r="W66" s="238" t="s">
        <v>1551</v>
      </c>
      <c r="X66" s="14">
        <f>'SS INPUT'!D205</f>
        <v>8992.06</v>
      </c>
      <c r="Y66" s="14">
        <f>'SS INPUT'!E205</f>
        <v>9089.2099999999991</v>
      </c>
      <c r="Z66" s="14">
        <f>'SS INPUT'!F205</f>
        <v>97.149999999999636</v>
      </c>
      <c r="AA66" s="14">
        <f>'SS INPUT'!G205</f>
        <v>6000</v>
      </c>
      <c r="AB66" s="14">
        <f>'SS INPUT'!H205</f>
        <v>582899.99999999779</v>
      </c>
      <c r="AC66" s="14">
        <f>'SS INPUT'!I205</f>
        <v>500000</v>
      </c>
      <c r="AD66" s="14">
        <f>'SS INPUT'!J205</f>
        <v>1082899.9999999977</v>
      </c>
      <c r="AE66" s="238"/>
      <c r="AF66" s="238"/>
      <c r="AG66" s="238"/>
      <c r="AH66" s="238"/>
      <c r="AI66" s="238"/>
    </row>
    <row r="67" spans="1:35">
      <c r="A67" s="238">
        <v>65</v>
      </c>
      <c r="B67" s="238" t="s">
        <v>81</v>
      </c>
      <c r="C67" s="238" t="s">
        <v>1200</v>
      </c>
      <c r="D67" s="238"/>
      <c r="E67" s="238"/>
      <c r="F67" s="14"/>
      <c r="G67" s="14"/>
      <c r="H67" s="14"/>
      <c r="I67" s="14"/>
      <c r="J67" s="14"/>
      <c r="K67" s="14"/>
      <c r="L67" s="14"/>
      <c r="M67" s="238"/>
      <c r="N67" s="238"/>
      <c r="O67" s="238"/>
      <c r="P67" s="238"/>
      <c r="Q67" s="238"/>
      <c r="R67" s="238"/>
      <c r="S67" s="238"/>
      <c r="T67" s="238"/>
      <c r="U67" s="238"/>
      <c r="V67" s="238" t="s">
        <v>1552</v>
      </c>
      <c r="W67" s="238" t="s">
        <v>1553</v>
      </c>
      <c r="X67" s="14">
        <f>'SS INPUT'!D206</f>
        <v>98755.199999999997</v>
      </c>
      <c r="Y67" s="14">
        <f>'SS INPUT'!E206</f>
        <v>99027.9</v>
      </c>
      <c r="Z67" s="14">
        <f>'SS INPUT'!F206</f>
        <v>272.69999999999709</v>
      </c>
      <c r="AA67" s="14">
        <f>'SS INPUT'!G206</f>
        <v>2000</v>
      </c>
      <c r="AB67" s="14">
        <f>'SS INPUT'!H206</f>
        <v>545399.99999999418</v>
      </c>
      <c r="AC67" s="14">
        <f>'SS INPUT'!I206</f>
        <v>0</v>
      </c>
      <c r="AD67" s="14">
        <f>'SS INPUT'!J206</f>
        <v>545399.99999999418</v>
      </c>
      <c r="AE67" s="238"/>
      <c r="AF67" s="238"/>
      <c r="AG67" s="238"/>
      <c r="AH67" s="238"/>
      <c r="AI67" s="238"/>
    </row>
    <row r="68" spans="1:35">
      <c r="A68" s="238">
        <v>66</v>
      </c>
      <c r="B68" s="238" t="s">
        <v>81</v>
      </c>
      <c r="C68" s="238" t="s">
        <v>1195</v>
      </c>
      <c r="D68" s="238" t="s">
        <v>925</v>
      </c>
      <c r="E68" s="238" t="s">
        <v>1555</v>
      </c>
      <c r="F68" s="14"/>
      <c r="G68" s="14"/>
      <c r="H68" s="14"/>
      <c r="I68" s="14"/>
      <c r="J68" s="14"/>
      <c r="K68" s="14"/>
      <c r="L68" s="14"/>
      <c r="M68" s="238"/>
      <c r="N68" s="238"/>
      <c r="O68" s="238"/>
      <c r="P68" s="238"/>
      <c r="Q68" s="238"/>
      <c r="R68" s="238"/>
      <c r="S68" s="238"/>
      <c r="T68" s="238"/>
      <c r="U68" s="238"/>
      <c r="V68" s="238" t="s">
        <v>1557</v>
      </c>
      <c r="W68" s="238" t="s">
        <v>1558</v>
      </c>
      <c r="X68" s="14">
        <f>'SS INPUT'!D213</f>
        <v>34804.9</v>
      </c>
      <c r="Y68" s="14">
        <f>'SS INPUT'!E213</f>
        <v>35097.599999999999</v>
      </c>
      <c r="Z68" s="14">
        <f>'SS INPUT'!F213</f>
        <v>292.69999999999709</v>
      </c>
      <c r="AA68" s="14">
        <f>'SS INPUT'!G213</f>
        <v>2000</v>
      </c>
      <c r="AB68" s="14">
        <f>'SS INPUT'!H213</f>
        <v>585399.99999999418</v>
      </c>
      <c r="AC68" s="14">
        <f>'SS INPUT'!I213</f>
        <v>0</v>
      </c>
      <c r="AD68" s="14">
        <f>'SS INPUT'!J213</f>
        <v>585399.99999999418</v>
      </c>
      <c r="AE68" s="238"/>
      <c r="AF68" s="238"/>
      <c r="AG68" s="238"/>
      <c r="AH68" s="238"/>
      <c r="AI68" s="238"/>
    </row>
    <row r="69" spans="1:35">
      <c r="A69" s="238">
        <v>67</v>
      </c>
      <c r="B69" s="238" t="s">
        <v>81</v>
      </c>
      <c r="C69" s="238" t="s">
        <v>1195</v>
      </c>
      <c r="D69" s="238"/>
      <c r="E69" s="238"/>
      <c r="F69" s="14"/>
      <c r="G69" s="14"/>
      <c r="H69" s="14"/>
      <c r="I69" s="14"/>
      <c r="J69" s="14"/>
      <c r="K69" s="14"/>
      <c r="L69" s="14"/>
      <c r="M69" s="238"/>
      <c r="N69" s="238"/>
      <c r="O69" s="238"/>
      <c r="P69" s="238"/>
      <c r="Q69" s="238"/>
      <c r="R69" s="238"/>
      <c r="S69" s="238"/>
      <c r="T69" s="238"/>
      <c r="U69" s="238"/>
      <c r="V69" s="238" t="s">
        <v>1195</v>
      </c>
      <c r="W69" s="238" t="s">
        <v>1559</v>
      </c>
      <c r="X69" s="14">
        <f>'SS INPUT'!D214</f>
        <v>31314</v>
      </c>
      <c r="Y69" s="14">
        <f>'SS INPUT'!E214</f>
        <v>31724.2</v>
      </c>
      <c r="Z69" s="14">
        <f>'SS INPUT'!F214</f>
        <v>410.20000000000073</v>
      </c>
      <c r="AA69" s="14">
        <f>'SS INPUT'!G214</f>
        <v>1333.3330000000001</v>
      </c>
      <c r="AB69" s="20">
        <f>'SS INPUT'!H214</f>
        <v>546933.19660000096</v>
      </c>
      <c r="AC69" s="20">
        <f>'SS INPUT'!I214</f>
        <v>0</v>
      </c>
      <c r="AD69" s="20">
        <f>'SS INPUT'!J214</f>
        <v>546933.19660000096</v>
      </c>
      <c r="AE69" s="238"/>
      <c r="AF69" s="238"/>
      <c r="AG69" s="238"/>
      <c r="AH69" s="238"/>
      <c r="AI69" s="238"/>
    </row>
    <row r="70" spans="1:35">
      <c r="A70" s="238">
        <v>68</v>
      </c>
      <c r="B70" s="238" t="s">
        <v>81</v>
      </c>
      <c r="C70" s="238" t="s">
        <v>1195</v>
      </c>
      <c r="D70" s="238"/>
      <c r="E70" s="238"/>
      <c r="F70" s="14"/>
      <c r="G70" s="14"/>
      <c r="H70" s="14"/>
      <c r="I70" s="14"/>
      <c r="J70" s="14"/>
      <c r="K70" s="14"/>
      <c r="L70" s="14"/>
      <c r="M70" s="238"/>
      <c r="N70" s="238"/>
      <c r="O70" s="238"/>
      <c r="P70" s="238"/>
      <c r="Q70" s="238"/>
      <c r="R70" s="238"/>
      <c r="S70" s="238"/>
      <c r="T70" s="238"/>
      <c r="U70" s="238"/>
      <c r="V70" s="238" t="s">
        <v>1560</v>
      </c>
      <c r="W70" s="238" t="s">
        <v>1561</v>
      </c>
      <c r="X70" s="14">
        <f>'SS INPUT'!D215</f>
        <v>5518.6</v>
      </c>
      <c r="Y70" s="14">
        <f>'SS INPUT'!E215</f>
        <v>5602.6</v>
      </c>
      <c r="Z70" s="14">
        <f>'SS INPUT'!F215</f>
        <v>84</v>
      </c>
      <c r="AA70" s="14">
        <f>'SS INPUT'!G215</f>
        <v>2000</v>
      </c>
      <c r="AB70" s="14">
        <f>'SS INPUT'!H215</f>
        <v>168000</v>
      </c>
      <c r="AC70" s="14">
        <f>'SS INPUT'!I215</f>
        <v>0</v>
      </c>
      <c r="AD70" s="14">
        <f>'SS INPUT'!J215</f>
        <v>168000</v>
      </c>
      <c r="AE70" s="238"/>
      <c r="AF70" s="238"/>
      <c r="AG70" s="238"/>
      <c r="AH70" s="238"/>
      <c r="AI70" s="238"/>
    </row>
    <row r="71" spans="1:35">
      <c r="A71" s="238">
        <v>69</v>
      </c>
      <c r="B71" s="238" t="s">
        <v>81</v>
      </c>
      <c r="C71" s="238" t="s">
        <v>1195</v>
      </c>
      <c r="D71" s="238"/>
      <c r="E71" s="238"/>
      <c r="F71" s="14"/>
      <c r="G71" s="14"/>
      <c r="H71" s="14"/>
      <c r="I71" s="14"/>
      <c r="J71" s="14"/>
      <c r="K71" s="14"/>
      <c r="L71" s="14"/>
      <c r="M71" s="238"/>
      <c r="N71" s="238"/>
      <c r="O71" s="238"/>
      <c r="P71" s="238"/>
      <c r="Q71" s="238"/>
      <c r="R71" s="238"/>
      <c r="S71" s="238"/>
      <c r="T71" s="238"/>
      <c r="U71" s="238"/>
      <c r="V71" s="238" t="s">
        <v>2103</v>
      </c>
      <c r="W71" s="238" t="s">
        <v>1563</v>
      </c>
      <c r="X71" s="14">
        <f>'SS INPUT'!D216</f>
        <v>187238</v>
      </c>
      <c r="Y71" s="14">
        <f>'SS INPUT'!E216</f>
        <v>199345</v>
      </c>
      <c r="Z71" s="14">
        <f>'SS INPUT'!F216</f>
        <v>12107</v>
      </c>
      <c r="AA71" s="14">
        <f>'SS INPUT'!G216</f>
        <v>40</v>
      </c>
      <c r="AB71" s="14">
        <f>'SS INPUT'!H216</f>
        <v>484280</v>
      </c>
      <c r="AC71" s="14">
        <f>'SS INPUT'!I216</f>
        <v>294180.42839999998</v>
      </c>
      <c r="AD71" s="14">
        <f>'SS INPUT'!J216</f>
        <v>778460.42839999998</v>
      </c>
      <c r="AE71" s="238"/>
      <c r="AF71" s="238"/>
      <c r="AG71" s="238"/>
      <c r="AH71" s="238"/>
      <c r="AI71" s="238"/>
    </row>
    <row r="72" spans="1:35">
      <c r="A72" s="238">
        <v>70</v>
      </c>
      <c r="B72" s="238" t="s">
        <v>81</v>
      </c>
      <c r="C72" s="238" t="s">
        <v>1525</v>
      </c>
      <c r="D72" s="238" t="s">
        <v>1514</v>
      </c>
      <c r="E72" s="238" t="s">
        <v>1567</v>
      </c>
      <c r="F72" s="14">
        <f>'SS INPUT'!D220</f>
        <v>80298.2</v>
      </c>
      <c r="G72" s="14">
        <f>'SS INPUT'!E220</f>
        <v>81026.149999999994</v>
      </c>
      <c r="H72" s="14">
        <f>'SS INPUT'!F220</f>
        <v>727.94999999999709</v>
      </c>
      <c r="I72" s="14">
        <f>'SS INPUT'!G220</f>
        <v>2000</v>
      </c>
      <c r="J72" s="14">
        <f>'SS INPUT'!H220</f>
        <v>1455899.9999999942</v>
      </c>
      <c r="K72" s="14">
        <f>'SS INPUT'!I220</f>
        <v>0</v>
      </c>
      <c r="L72" s="14">
        <f>'SS INPUT'!J220</f>
        <v>1455899.9999999942</v>
      </c>
      <c r="M72" s="238"/>
      <c r="N72" s="238"/>
      <c r="O72" s="238"/>
      <c r="P72" s="238"/>
      <c r="Q72" s="238"/>
      <c r="R72" s="238"/>
      <c r="S72" s="238"/>
      <c r="T72" s="238"/>
      <c r="U72" s="238"/>
      <c r="V72" s="238" t="s">
        <v>1568</v>
      </c>
      <c r="W72" s="238" t="s">
        <v>1569</v>
      </c>
      <c r="X72" s="14">
        <f>'SS INPUT'!D223</f>
        <v>19116.8</v>
      </c>
      <c r="Y72" s="14">
        <f>'SS INPUT'!E223</f>
        <v>19330.599999999999</v>
      </c>
      <c r="Z72" s="14">
        <f>'SS INPUT'!F223</f>
        <v>213.79999999999927</v>
      </c>
      <c r="AA72" s="14">
        <f>'SS INPUT'!G223</f>
        <v>2000</v>
      </c>
      <c r="AB72" s="14">
        <f>'SS INPUT'!H223</f>
        <v>427599.99999999854</v>
      </c>
      <c r="AC72" s="14">
        <f>'SS INPUT'!I223</f>
        <v>0</v>
      </c>
      <c r="AD72" s="14">
        <f>'SS INPUT'!J223</f>
        <v>427599.99999999854</v>
      </c>
      <c r="AE72" s="238"/>
      <c r="AF72" s="238"/>
      <c r="AG72" s="238"/>
      <c r="AH72" s="238"/>
      <c r="AI72" s="238"/>
    </row>
    <row r="73" spans="1:35">
      <c r="A73" s="238">
        <v>71</v>
      </c>
      <c r="B73" s="238" t="s">
        <v>81</v>
      </c>
      <c r="C73" s="238" t="s">
        <v>1525</v>
      </c>
      <c r="D73" s="238"/>
      <c r="E73" s="238"/>
      <c r="F73" s="14"/>
      <c r="G73" s="14"/>
      <c r="H73" s="14"/>
      <c r="I73" s="14"/>
      <c r="J73" s="14"/>
      <c r="K73" s="14"/>
      <c r="L73" s="14"/>
      <c r="M73" s="238"/>
      <c r="N73" s="238"/>
      <c r="O73" s="238"/>
      <c r="P73" s="238"/>
      <c r="Q73" s="238"/>
      <c r="R73" s="238"/>
      <c r="S73" s="238"/>
      <c r="T73" s="238"/>
      <c r="U73" s="238"/>
      <c r="V73" s="238" t="s">
        <v>1570</v>
      </c>
      <c r="W73" s="238" t="s">
        <v>1571</v>
      </c>
      <c r="X73" s="14">
        <f>'SS INPUT'!D224</f>
        <v>32829.5</v>
      </c>
      <c r="Y73" s="14">
        <f>'SS INPUT'!E224</f>
        <v>33273.199999999997</v>
      </c>
      <c r="Z73" s="14">
        <f>'SS INPUT'!F224</f>
        <v>443.69999999999709</v>
      </c>
      <c r="AA73" s="14">
        <f>'SS INPUT'!G224</f>
        <v>1333.3330000000001</v>
      </c>
      <c r="AB73" s="20">
        <f>'SS INPUT'!H224</f>
        <v>591599.85209999618</v>
      </c>
      <c r="AC73" s="20">
        <f>'SS INPUT'!I224</f>
        <v>0</v>
      </c>
      <c r="AD73" s="20">
        <f>'SS INPUT'!J224</f>
        <v>591599.85209999618</v>
      </c>
      <c r="AE73" s="238"/>
      <c r="AF73" s="238"/>
      <c r="AG73" s="238"/>
      <c r="AH73" s="238"/>
      <c r="AI73" s="238"/>
    </row>
    <row r="74" spans="1:35">
      <c r="A74" s="238">
        <v>72</v>
      </c>
      <c r="B74" s="238" t="s">
        <v>81</v>
      </c>
      <c r="C74" s="238" t="s">
        <v>1525</v>
      </c>
      <c r="D74" s="238"/>
      <c r="E74" s="238"/>
      <c r="F74" s="14"/>
      <c r="G74" s="14"/>
      <c r="H74" s="14"/>
      <c r="I74" s="14"/>
      <c r="J74" s="14"/>
      <c r="K74" s="14"/>
      <c r="L74" s="14"/>
      <c r="M74" s="238"/>
      <c r="N74" s="238"/>
      <c r="O74" s="238"/>
      <c r="P74" s="238"/>
      <c r="Q74" s="238"/>
      <c r="R74" s="238"/>
      <c r="S74" s="238"/>
      <c r="T74" s="238"/>
      <c r="U74" s="238"/>
      <c r="V74" s="238" t="s">
        <v>1572</v>
      </c>
      <c r="W74" s="238" t="s">
        <v>1573</v>
      </c>
      <c r="X74" s="14">
        <f>'SS INPUT'!D225</f>
        <v>37862.300000000003</v>
      </c>
      <c r="Y74" s="14">
        <f>'SS INPUT'!E225</f>
        <v>37862.300000000003</v>
      </c>
      <c r="Z74" s="14">
        <f>'SS INPUT'!F225</f>
        <v>0</v>
      </c>
      <c r="AA74" s="14">
        <f>'SS INPUT'!G225</f>
        <v>2000</v>
      </c>
      <c r="AB74" s="14">
        <f>'SS INPUT'!H225</f>
        <v>0</v>
      </c>
      <c r="AC74" s="14">
        <f>'SS INPUT'!I225</f>
        <v>436003</v>
      </c>
      <c r="AD74" s="14">
        <f>'SS INPUT'!J225</f>
        <v>436003</v>
      </c>
      <c r="AE74" s="238"/>
      <c r="AF74" s="238"/>
      <c r="AG74" s="238"/>
      <c r="AH74" s="238"/>
      <c r="AI74" s="238"/>
    </row>
    <row r="75" spans="1:35">
      <c r="A75" s="238">
        <v>73</v>
      </c>
      <c r="B75" s="238" t="s">
        <v>81</v>
      </c>
      <c r="C75" s="238" t="s">
        <v>1191</v>
      </c>
      <c r="D75" s="238" t="s">
        <v>1575</v>
      </c>
      <c r="E75" s="238" t="s">
        <v>1576</v>
      </c>
      <c r="F75" s="14">
        <f>'SS INPUT'!D228</f>
        <v>87532.1</v>
      </c>
      <c r="G75" s="14">
        <f>'SS INPUT'!E228</f>
        <v>88328.4</v>
      </c>
      <c r="H75" s="14">
        <f>'SS INPUT'!F228</f>
        <v>796.29999999998836</v>
      </c>
      <c r="I75" s="14">
        <f>'SS INPUT'!G228</f>
        <v>2000</v>
      </c>
      <c r="J75" s="14">
        <f>'SS INPUT'!H228</f>
        <v>1592599.9999999767</v>
      </c>
      <c r="K75" s="14">
        <f>'SS INPUT'!I228</f>
        <v>0</v>
      </c>
      <c r="L75" s="14">
        <f>'SS INPUT'!J228</f>
        <v>1592599.9999999767</v>
      </c>
      <c r="M75" s="238"/>
      <c r="N75" s="238"/>
      <c r="O75" s="238"/>
      <c r="P75" s="238"/>
      <c r="Q75" s="238"/>
      <c r="R75" s="238"/>
      <c r="S75" s="238"/>
      <c r="T75" s="238"/>
      <c r="U75" s="238"/>
      <c r="V75" s="238" t="s">
        <v>1579</v>
      </c>
      <c r="W75" s="238" t="s">
        <v>1580</v>
      </c>
      <c r="X75" s="14">
        <f>'SS INPUT'!D232</f>
        <v>35025.5</v>
      </c>
      <c r="Y75" s="14">
        <f>'SS INPUT'!E232</f>
        <v>35395.699999999997</v>
      </c>
      <c r="Z75" s="14">
        <f>'SS INPUT'!F232</f>
        <v>370.19999999999709</v>
      </c>
      <c r="AA75" s="14">
        <f>'SS INPUT'!G232</f>
        <v>2000</v>
      </c>
      <c r="AB75" s="14">
        <f>'SS INPUT'!H232</f>
        <v>740399.99999999418</v>
      </c>
      <c r="AC75" s="14">
        <f>'SS INPUT'!I232</f>
        <v>0</v>
      </c>
      <c r="AD75" s="14">
        <f>'SS INPUT'!J232</f>
        <v>740399.99999999418</v>
      </c>
      <c r="AE75" s="238"/>
      <c r="AF75" s="238"/>
      <c r="AG75" s="238"/>
      <c r="AH75" s="238"/>
      <c r="AI75" s="238"/>
    </row>
    <row r="76" spans="1:35">
      <c r="A76" s="238">
        <v>74</v>
      </c>
      <c r="B76" s="238" t="s">
        <v>81</v>
      </c>
      <c r="C76" s="238" t="s">
        <v>1191</v>
      </c>
      <c r="D76" s="238" t="s">
        <v>1577</v>
      </c>
      <c r="E76" s="238" t="s">
        <v>1578</v>
      </c>
      <c r="F76" s="14">
        <f>'SS INPUT'!D229</f>
        <v>2331.56</v>
      </c>
      <c r="G76" s="14">
        <f>'SS INPUT'!E229</f>
        <v>2353.42</v>
      </c>
      <c r="H76" s="14">
        <f>'SS INPUT'!F229</f>
        <v>21.860000000000127</v>
      </c>
      <c r="I76" s="14">
        <f>'SS INPUT'!G229</f>
        <v>80000</v>
      </c>
      <c r="J76" s="14">
        <f>'SS INPUT'!H229</f>
        <v>1748800.0000000102</v>
      </c>
      <c r="K76" s="14">
        <f>'SS INPUT'!I229</f>
        <v>0</v>
      </c>
      <c r="L76" s="14">
        <f>'SS INPUT'!J229</f>
        <v>1748800.0000000102</v>
      </c>
      <c r="M76" s="238"/>
      <c r="N76" s="238"/>
      <c r="O76" s="238"/>
      <c r="P76" s="238"/>
      <c r="Q76" s="238"/>
      <c r="R76" s="238"/>
      <c r="S76" s="238"/>
      <c r="T76" s="238"/>
      <c r="U76" s="238"/>
      <c r="V76" s="238" t="s">
        <v>1190</v>
      </c>
      <c r="W76" s="238" t="s">
        <v>1581</v>
      </c>
      <c r="X76" s="14">
        <f>'SS INPUT'!D233</f>
        <v>22976</v>
      </c>
      <c r="Y76" s="14">
        <f>'SS INPUT'!E233</f>
        <v>23431</v>
      </c>
      <c r="Z76" s="14">
        <f>'SS INPUT'!F233</f>
        <v>455</v>
      </c>
      <c r="AA76" s="14">
        <f>'SS INPUT'!G233</f>
        <v>2000</v>
      </c>
      <c r="AB76" s="14">
        <f>'SS INPUT'!H233</f>
        <v>910000</v>
      </c>
      <c r="AC76" s="14">
        <f>'SS INPUT'!I233</f>
        <v>0</v>
      </c>
      <c r="AD76" s="14">
        <f>'SS INPUT'!J233</f>
        <v>910000</v>
      </c>
      <c r="AE76" s="238"/>
      <c r="AF76" s="238"/>
      <c r="AG76" s="238"/>
      <c r="AH76" s="238"/>
      <c r="AI76" s="238"/>
    </row>
    <row r="77" spans="1:35">
      <c r="A77" s="238">
        <v>75</v>
      </c>
      <c r="B77" s="238" t="s">
        <v>81</v>
      </c>
      <c r="C77" s="238" t="s">
        <v>1191</v>
      </c>
      <c r="D77" s="238"/>
      <c r="E77" s="238"/>
      <c r="F77" s="14"/>
      <c r="G77" s="14"/>
      <c r="H77" s="14"/>
      <c r="I77" s="14"/>
      <c r="J77" s="14"/>
      <c r="K77" s="14"/>
      <c r="L77" s="14"/>
      <c r="M77" s="238"/>
      <c r="N77" s="238"/>
      <c r="O77" s="238"/>
      <c r="P77" s="238"/>
      <c r="Q77" s="238"/>
      <c r="R77" s="238"/>
      <c r="S77" s="238"/>
      <c r="T77" s="238"/>
      <c r="U77" s="238"/>
      <c r="V77" s="238" t="s">
        <v>1191</v>
      </c>
      <c r="W77" s="238" t="s">
        <v>1582</v>
      </c>
      <c r="X77" s="14">
        <f>'SS INPUT'!D234</f>
        <v>44686.400000000001</v>
      </c>
      <c r="Y77" s="14">
        <f>'SS INPUT'!E234</f>
        <v>45106.5</v>
      </c>
      <c r="Z77" s="14">
        <f>'SS INPUT'!F234</f>
        <v>420.09999999999854</v>
      </c>
      <c r="AA77" s="14">
        <f>'SS INPUT'!G234</f>
        <v>2000</v>
      </c>
      <c r="AB77" s="14">
        <f>'SS INPUT'!H234</f>
        <v>840199.99999999709</v>
      </c>
      <c r="AC77" s="14">
        <f>'SS INPUT'!I234</f>
        <v>0</v>
      </c>
      <c r="AD77" s="14">
        <f>'SS INPUT'!J234</f>
        <v>840199.99999999709</v>
      </c>
      <c r="AE77" s="238"/>
      <c r="AF77" s="238"/>
      <c r="AG77" s="238"/>
      <c r="AH77" s="238"/>
      <c r="AI77" s="238"/>
    </row>
    <row r="78" spans="1:35">
      <c r="A78" s="238">
        <v>76</v>
      </c>
      <c r="B78" s="238" t="s">
        <v>81</v>
      </c>
      <c r="C78" s="238" t="s">
        <v>1191</v>
      </c>
      <c r="D78" s="238"/>
      <c r="E78" s="238"/>
      <c r="F78" s="14"/>
      <c r="G78" s="14"/>
      <c r="H78" s="14"/>
      <c r="I78" s="14"/>
      <c r="J78" s="14"/>
      <c r="K78" s="14"/>
      <c r="L78" s="14"/>
      <c r="M78" s="238"/>
      <c r="N78" s="238"/>
      <c r="O78" s="238"/>
      <c r="P78" s="238"/>
      <c r="Q78" s="238"/>
      <c r="R78" s="238"/>
      <c r="S78" s="238"/>
      <c r="T78" s="238"/>
      <c r="U78" s="238"/>
      <c r="V78" s="238" t="s">
        <v>1202</v>
      </c>
      <c r="W78" s="238" t="s">
        <v>1583</v>
      </c>
      <c r="X78" s="14">
        <f>'SS INPUT'!D235</f>
        <v>4519.9399999999996</v>
      </c>
      <c r="Y78" s="14">
        <f>'SS INPUT'!E235</f>
        <v>4576.68</v>
      </c>
      <c r="Z78" s="14">
        <f>'SS INPUT'!F235</f>
        <v>56.740000000000691</v>
      </c>
      <c r="AA78" s="14">
        <f>'SS INPUT'!G235</f>
        <v>3000</v>
      </c>
      <c r="AB78" s="14">
        <f>'SS INPUT'!H235</f>
        <v>170220.00000000207</v>
      </c>
      <c r="AC78" s="14">
        <f>'SS INPUT'!I235</f>
        <v>650000</v>
      </c>
      <c r="AD78" s="14">
        <f>'SS INPUT'!J235</f>
        <v>820220.0000000021</v>
      </c>
      <c r="AE78" s="238"/>
      <c r="AF78" s="238"/>
      <c r="AG78" s="238"/>
      <c r="AH78" s="238"/>
      <c r="AI78" s="238"/>
    </row>
    <row r="79" spans="1:35">
      <c r="A79" s="238">
        <v>77</v>
      </c>
      <c r="B79" s="238" t="s">
        <v>82</v>
      </c>
      <c r="C79" s="238" t="s">
        <v>924</v>
      </c>
      <c r="D79" s="238" t="s">
        <v>1594</v>
      </c>
      <c r="E79" s="238" t="s">
        <v>1595</v>
      </c>
      <c r="F79" s="778">
        <f>'SS INPUT'!D257</f>
        <v>29571</v>
      </c>
      <c r="G79" s="778">
        <f>'SS INPUT'!E257</f>
        <v>29574</v>
      </c>
      <c r="H79" s="778">
        <f>'SS INPUT'!F257</f>
        <v>3</v>
      </c>
      <c r="I79" s="778">
        <f>'SS INPUT'!G257</f>
        <v>4000</v>
      </c>
      <c r="J79" s="778">
        <f>'SS INPUT'!H257</f>
        <v>12000</v>
      </c>
      <c r="K79" s="778">
        <f>'SS INPUT'!I257</f>
        <v>240000</v>
      </c>
      <c r="L79" s="20">
        <f>'SS INPUT'!J257</f>
        <v>252000</v>
      </c>
      <c r="M79" s="238" t="s">
        <v>1600</v>
      </c>
      <c r="N79" s="238" t="s">
        <v>1595</v>
      </c>
      <c r="O79" s="822">
        <f>'SS INPUT'!D260</f>
        <v>11836.5</v>
      </c>
      <c r="P79" s="822">
        <f>'SS INPUT'!E260</f>
        <v>11838.7</v>
      </c>
      <c r="Q79" s="822">
        <f>'SS INPUT'!F260</f>
        <v>2.2000000000007276</v>
      </c>
      <c r="R79" s="258">
        <f>'SS INPUT'!G260</f>
        <v>4000</v>
      </c>
      <c r="S79" s="822">
        <f>'SS INPUT'!H260</f>
        <v>8800.0000000029104</v>
      </c>
      <c r="T79" s="822">
        <f>'SS INPUT'!I260</f>
        <v>0</v>
      </c>
      <c r="U79" s="258">
        <f>'SS INPUT'!J260</f>
        <v>8800.0000000029104</v>
      </c>
      <c r="V79" s="238" t="s">
        <v>1602</v>
      </c>
      <c r="W79" s="238" t="s">
        <v>1603</v>
      </c>
      <c r="X79" s="778">
        <f>'SS INPUT'!D264</f>
        <v>84364.7</v>
      </c>
      <c r="Y79" s="778">
        <f>'SS INPUT'!E264</f>
        <v>84760.1</v>
      </c>
      <c r="Z79" s="778">
        <f>'SS INPUT'!F264</f>
        <v>395.40000000000873</v>
      </c>
      <c r="AA79" s="778">
        <f>'SS INPUT'!G264</f>
        <v>2000</v>
      </c>
      <c r="AB79" s="20">
        <f>'SS INPUT'!H264</f>
        <v>790800.00000001746</v>
      </c>
      <c r="AC79" s="20">
        <f>'SS INPUT'!I264</f>
        <v>0</v>
      </c>
      <c r="AD79" s="20">
        <f>'SS INPUT'!J264</f>
        <v>790800.00000001746</v>
      </c>
      <c r="AE79" s="238"/>
      <c r="AF79" s="238"/>
      <c r="AG79" s="238"/>
      <c r="AH79" s="238"/>
      <c r="AI79" s="238"/>
    </row>
    <row r="80" spans="1:35">
      <c r="A80" s="238">
        <v>78</v>
      </c>
      <c r="B80" s="238" t="s">
        <v>82</v>
      </c>
      <c r="C80" s="238" t="s">
        <v>924</v>
      </c>
      <c r="D80" s="238" t="s">
        <v>1596</v>
      </c>
      <c r="E80" s="238" t="s">
        <v>1597</v>
      </c>
      <c r="F80" s="778">
        <f>'SS INPUT'!D258</f>
        <v>129116.7</v>
      </c>
      <c r="G80" s="778">
        <f>'SS INPUT'!E258</f>
        <v>129655.9</v>
      </c>
      <c r="H80" s="778">
        <f>'SS INPUT'!F258</f>
        <v>539.19999999999709</v>
      </c>
      <c r="I80" s="778">
        <f>'SS INPUT'!G258</f>
        <v>2000</v>
      </c>
      <c r="J80" s="778">
        <f>'SS INPUT'!H258</f>
        <v>1078399.9999999942</v>
      </c>
      <c r="K80" s="778">
        <f>'SS INPUT'!I258</f>
        <v>0</v>
      </c>
      <c r="L80" s="20">
        <f>'SS INPUT'!J258</f>
        <v>1078399.9999999942</v>
      </c>
      <c r="M80" s="238" t="s">
        <v>1601</v>
      </c>
      <c r="N80" s="238" t="s">
        <v>1599</v>
      </c>
      <c r="O80" s="822">
        <f>'SS INPUT'!D261</f>
        <v>19660.8</v>
      </c>
      <c r="P80" s="822">
        <f>'SS INPUT'!E261</f>
        <v>19660.8</v>
      </c>
      <c r="Q80" s="822">
        <f>'SS INPUT'!F261</f>
        <v>0</v>
      </c>
      <c r="R80" s="258">
        <f>'SS INPUT'!G261</f>
        <v>2000</v>
      </c>
      <c r="S80" s="822">
        <f>'SS INPUT'!H261</f>
        <v>0</v>
      </c>
      <c r="T80" s="822">
        <f>'SS INPUT'!I261</f>
        <v>0</v>
      </c>
      <c r="U80" s="822">
        <f>'SS INPUT'!J261</f>
        <v>0</v>
      </c>
      <c r="V80" s="238" t="s">
        <v>1605</v>
      </c>
      <c r="W80" s="238" t="s">
        <v>2104</v>
      </c>
      <c r="X80" s="778">
        <f>'SS INPUT'!D265</f>
        <v>23352.3</v>
      </c>
      <c r="Y80" s="778">
        <f>'SS INPUT'!E265</f>
        <v>24717.7</v>
      </c>
      <c r="Z80" s="778">
        <f>'SS INPUT'!F265</f>
        <v>1365.4000000000015</v>
      </c>
      <c r="AA80" s="778">
        <f>'SS INPUT'!G265</f>
        <v>200</v>
      </c>
      <c r="AB80" s="20">
        <f>'SS INPUT'!H265</f>
        <v>273080.00000000029</v>
      </c>
      <c r="AC80" s="20">
        <f>'SS INPUT'!I265</f>
        <v>0</v>
      </c>
      <c r="AD80" s="20">
        <f>'SS INPUT'!J265</f>
        <v>273080.00000000029</v>
      </c>
      <c r="AE80" s="238"/>
      <c r="AF80" s="238"/>
      <c r="AG80" s="238"/>
      <c r="AH80" s="238"/>
      <c r="AI80" s="238"/>
    </row>
    <row r="81" spans="1:35">
      <c r="A81" s="238">
        <v>79</v>
      </c>
      <c r="B81" s="238" t="s">
        <v>82</v>
      </c>
      <c r="C81" s="238" t="s">
        <v>924</v>
      </c>
      <c r="D81" s="238" t="s">
        <v>1598</v>
      </c>
      <c r="E81" s="238" t="s">
        <v>1599</v>
      </c>
      <c r="F81" s="778">
        <f>'SS INPUT'!D259</f>
        <v>36021.800000000003</v>
      </c>
      <c r="G81" s="778">
        <f>'SS INPUT'!E259</f>
        <v>36021.800000000003</v>
      </c>
      <c r="H81" s="778">
        <f>'SS INPUT'!F259</f>
        <v>0</v>
      </c>
      <c r="I81" s="778">
        <f>'SS INPUT'!G259</f>
        <v>2000</v>
      </c>
      <c r="J81" s="778">
        <f>'SS INPUT'!H259</f>
        <v>0</v>
      </c>
      <c r="K81" s="778">
        <f>'SS INPUT'!I259</f>
        <v>400000</v>
      </c>
      <c r="L81" s="20">
        <f>'SS INPUT'!J259</f>
        <v>400000</v>
      </c>
      <c r="M81" s="238"/>
      <c r="N81" s="238"/>
      <c r="O81" s="238"/>
      <c r="P81" s="238"/>
      <c r="Q81" s="238"/>
      <c r="R81" s="238"/>
      <c r="S81" s="238"/>
      <c r="T81" s="238"/>
      <c r="U81" s="238"/>
      <c r="V81" s="238" t="s">
        <v>169</v>
      </c>
      <c r="W81" s="238" t="s">
        <v>1608</v>
      </c>
      <c r="X81" s="778">
        <f>'SS INPUT'!D266</f>
        <v>16533.2</v>
      </c>
      <c r="Y81" s="778">
        <f>'SS INPUT'!E266</f>
        <v>16594.3</v>
      </c>
      <c r="Z81" s="778">
        <f>'SS INPUT'!F266</f>
        <v>61.099999999998545</v>
      </c>
      <c r="AA81" s="778">
        <f>'SS INPUT'!G266</f>
        <v>2000</v>
      </c>
      <c r="AB81" s="20">
        <f>'SS INPUT'!H266</f>
        <v>122199.99999999709</v>
      </c>
      <c r="AC81" s="20">
        <f>'SS INPUT'!I266</f>
        <v>193820.40660000101</v>
      </c>
      <c r="AD81" s="20">
        <f>'SS INPUT'!J266</f>
        <v>316020.40659999812</v>
      </c>
      <c r="AE81" s="238"/>
      <c r="AF81" s="238"/>
      <c r="AG81" s="238"/>
      <c r="AH81" s="238"/>
      <c r="AI81" s="238"/>
    </row>
    <row r="82" spans="1:35">
      <c r="A82" s="238">
        <v>80</v>
      </c>
      <c r="B82" s="238" t="s">
        <v>82</v>
      </c>
      <c r="C82" s="238" t="s">
        <v>924</v>
      </c>
      <c r="D82" s="238"/>
      <c r="E82" s="238"/>
      <c r="F82" s="14"/>
      <c r="G82" s="14"/>
      <c r="H82" s="14"/>
      <c r="I82" s="14"/>
      <c r="J82" s="14"/>
      <c r="K82" s="14"/>
      <c r="L82" s="20"/>
      <c r="M82" s="238"/>
      <c r="N82" s="238"/>
      <c r="O82" s="238"/>
      <c r="P82" s="238"/>
      <c r="Q82" s="238"/>
      <c r="R82" s="238"/>
      <c r="S82" s="238"/>
      <c r="T82" s="238"/>
      <c r="U82" s="238"/>
      <c r="V82" s="238" t="s">
        <v>1610</v>
      </c>
      <c r="W82" s="238" t="s">
        <v>1611</v>
      </c>
      <c r="X82" s="778">
        <f>'SS INPUT'!D267</f>
        <v>36552.1</v>
      </c>
      <c r="Y82" s="778">
        <f>'SS INPUT'!E267</f>
        <v>36552.1</v>
      </c>
      <c r="Z82" s="778">
        <f>'SS INPUT'!F267</f>
        <v>0</v>
      </c>
      <c r="AA82" s="778">
        <f>'SS INPUT'!G267</f>
        <v>2000</v>
      </c>
      <c r="AB82" s="20">
        <f>'SS INPUT'!H267</f>
        <v>0</v>
      </c>
      <c r="AC82" s="20">
        <f>'SS INPUT'!I267</f>
        <v>334480.47129999998</v>
      </c>
      <c r="AD82" s="20">
        <f>'SS INPUT'!J267</f>
        <v>334480.47129999998</v>
      </c>
      <c r="AE82" s="238"/>
      <c r="AF82" s="238"/>
      <c r="AG82" s="238"/>
      <c r="AH82" s="238"/>
      <c r="AI82" s="238"/>
    </row>
    <row r="83" spans="1:35">
      <c r="A83" s="238">
        <v>81</v>
      </c>
      <c r="B83" s="238" t="s">
        <v>82</v>
      </c>
      <c r="C83" s="238" t="s">
        <v>158</v>
      </c>
      <c r="D83" s="238" t="s">
        <v>1614</v>
      </c>
      <c r="E83" s="238" t="s">
        <v>1615</v>
      </c>
      <c r="F83" s="778">
        <f>'SS INPUT'!D271</f>
        <v>210621.6</v>
      </c>
      <c r="G83" s="778">
        <f>'SS INPUT'!E271</f>
        <v>212310.3</v>
      </c>
      <c r="H83" s="778">
        <f>'SS INPUT'!F271</f>
        <v>1688.6999999999825</v>
      </c>
      <c r="I83" s="778">
        <f>'SS INPUT'!G271</f>
        <v>1000</v>
      </c>
      <c r="J83" s="778">
        <f>'SS INPUT'!H271</f>
        <v>1688699.9999999825</v>
      </c>
      <c r="K83" s="778">
        <f>'SS INPUT'!I271</f>
        <v>0</v>
      </c>
      <c r="L83" s="20">
        <f>'SS INPUT'!J271</f>
        <v>1688699.9999999825</v>
      </c>
      <c r="M83" s="238"/>
      <c r="N83" s="238"/>
      <c r="O83" s="238"/>
      <c r="P83" s="238"/>
      <c r="Q83" s="238"/>
      <c r="R83" s="238"/>
      <c r="S83" s="238"/>
      <c r="T83" s="238"/>
      <c r="U83" s="238"/>
      <c r="V83" s="238" t="s">
        <v>1619</v>
      </c>
      <c r="W83" s="238" t="s">
        <v>1620</v>
      </c>
      <c r="X83" s="778">
        <f>'SS INPUT'!D275</f>
        <v>1048568.5</v>
      </c>
      <c r="Y83" s="778">
        <f>'SS INPUT'!E275</f>
        <v>1065814</v>
      </c>
      <c r="Z83" s="778">
        <f>'SS INPUT'!F275</f>
        <v>17245.5</v>
      </c>
      <c r="AA83" s="778">
        <f>'SS INPUT'!G275</f>
        <v>60</v>
      </c>
      <c r="AB83" s="20">
        <f>'SS INPUT'!H275</f>
        <v>1034730</v>
      </c>
      <c r="AC83" s="20">
        <f>'SS INPUT'!I275</f>
        <v>0</v>
      </c>
      <c r="AD83" s="20">
        <f>'SS INPUT'!J275</f>
        <v>1034730</v>
      </c>
      <c r="AE83" s="238"/>
      <c r="AF83" s="238"/>
      <c r="AG83" s="238"/>
      <c r="AH83" s="238"/>
      <c r="AI83" s="238"/>
    </row>
    <row r="84" spans="1:35">
      <c r="A84" s="238">
        <v>82</v>
      </c>
      <c r="B84" s="238" t="s">
        <v>82</v>
      </c>
      <c r="C84" s="238" t="s">
        <v>158</v>
      </c>
      <c r="D84" s="238" t="s">
        <v>1616</v>
      </c>
      <c r="E84" s="238" t="s">
        <v>1617</v>
      </c>
      <c r="F84" s="778">
        <f>'SS INPUT'!D272</f>
        <v>558929</v>
      </c>
      <c r="G84" s="778">
        <f>'SS INPUT'!E272</f>
        <v>567587.5</v>
      </c>
      <c r="H84" s="778">
        <f>'SS INPUT'!F272</f>
        <v>8658.5</v>
      </c>
      <c r="I84" s="778">
        <f>'SS INPUT'!G272</f>
        <v>120</v>
      </c>
      <c r="J84" s="778">
        <f>'SS INPUT'!H272</f>
        <v>1039020</v>
      </c>
      <c r="K84" s="778">
        <f>'SS INPUT'!I272</f>
        <v>0</v>
      </c>
      <c r="L84" s="20">
        <f>'SS INPUT'!J272</f>
        <v>1039020</v>
      </c>
      <c r="M84" s="238"/>
      <c r="N84" s="238"/>
      <c r="O84" s="238"/>
      <c r="P84" s="238"/>
      <c r="Q84" s="238"/>
      <c r="R84" s="238"/>
      <c r="S84" s="238"/>
      <c r="T84" s="238"/>
      <c r="U84" s="238"/>
      <c r="V84" s="238" t="s">
        <v>1622</v>
      </c>
      <c r="W84" s="238" t="s">
        <v>1623</v>
      </c>
      <c r="X84" s="778">
        <f>'SS INPUT'!D276</f>
        <v>496161</v>
      </c>
      <c r="Y84" s="778">
        <f>'SS INPUT'!E276</f>
        <v>508479.5</v>
      </c>
      <c r="Z84" s="778">
        <f>'SS INPUT'!F276</f>
        <v>12318.5</v>
      </c>
      <c r="AA84" s="778">
        <f>'SS INPUT'!G276</f>
        <v>30</v>
      </c>
      <c r="AB84" s="20">
        <f>'SS INPUT'!H276</f>
        <v>369555</v>
      </c>
      <c r="AC84" s="20">
        <f>'SS INPUT'!I276</f>
        <v>0</v>
      </c>
      <c r="AD84" s="20">
        <f>'SS INPUT'!J276</f>
        <v>369555</v>
      </c>
      <c r="AE84" s="238"/>
      <c r="AF84" s="238"/>
      <c r="AG84" s="238"/>
      <c r="AH84" s="238"/>
      <c r="AI84" s="238"/>
    </row>
    <row r="85" spans="1:35">
      <c r="A85" s="238">
        <v>83</v>
      </c>
      <c r="B85" s="238" t="s">
        <v>82</v>
      </c>
      <c r="C85" s="238" t="s">
        <v>158</v>
      </c>
      <c r="D85" s="238"/>
      <c r="E85" s="238"/>
      <c r="F85" s="14"/>
      <c r="G85" s="14"/>
      <c r="H85" s="14"/>
      <c r="I85" s="14"/>
      <c r="J85" s="14"/>
      <c r="K85" s="14"/>
      <c r="L85" s="20"/>
      <c r="M85" s="238"/>
      <c r="N85" s="238"/>
      <c r="O85" s="238"/>
      <c r="P85" s="238"/>
      <c r="Q85" s="238"/>
      <c r="R85" s="238"/>
      <c r="S85" s="238"/>
      <c r="T85" s="238"/>
      <c r="U85" s="238"/>
      <c r="V85" s="238" t="s">
        <v>1625</v>
      </c>
      <c r="W85" s="238" t="s">
        <v>1626</v>
      </c>
      <c r="X85" s="778">
        <f>'SS INPUT'!D277</f>
        <v>4106</v>
      </c>
      <c r="Y85" s="778">
        <f>'SS INPUT'!E277</f>
        <v>4128.8</v>
      </c>
      <c r="Z85" s="778">
        <f>'SS INPUT'!F277</f>
        <v>22.800000000000182</v>
      </c>
      <c r="AA85" s="778">
        <f>'SS INPUT'!G277</f>
        <v>1333.33</v>
      </c>
      <c r="AB85" s="20">
        <f>'SS INPUT'!H277</f>
        <v>30399.924000000239</v>
      </c>
      <c r="AC85" s="20">
        <f>'SS INPUT'!I277</f>
        <v>12000</v>
      </c>
      <c r="AD85" s="20">
        <f>'SS INPUT'!J277</f>
        <v>42399.924000000239</v>
      </c>
      <c r="AE85" s="238"/>
      <c r="AF85" s="238"/>
      <c r="AG85" s="238"/>
      <c r="AH85" s="238"/>
      <c r="AI85" s="238"/>
    </row>
    <row r="86" spans="1:35">
      <c r="A86" s="238">
        <v>84</v>
      </c>
      <c r="B86" s="238" t="s">
        <v>82</v>
      </c>
      <c r="C86" s="238" t="s">
        <v>158</v>
      </c>
      <c r="D86" s="238"/>
      <c r="E86" s="238"/>
      <c r="F86" s="14"/>
      <c r="G86" s="14"/>
      <c r="H86" s="14"/>
      <c r="I86" s="14"/>
      <c r="J86" s="14"/>
      <c r="K86" s="14"/>
      <c r="L86" s="20"/>
      <c r="M86" s="238"/>
      <c r="N86" s="238"/>
      <c r="O86" s="238"/>
      <c r="P86" s="238"/>
      <c r="Q86" s="238"/>
      <c r="R86" s="238"/>
      <c r="S86" s="238"/>
      <c r="T86" s="238"/>
      <c r="U86" s="238"/>
      <c r="V86" s="238" t="s">
        <v>989</v>
      </c>
      <c r="W86" s="238" t="s">
        <v>1628</v>
      </c>
      <c r="X86" s="778">
        <f>'SS INPUT'!D278</f>
        <v>7670.03</v>
      </c>
      <c r="Y86" s="778">
        <f>'SS INPUT'!E278</f>
        <v>7882.34</v>
      </c>
      <c r="Z86" s="778">
        <f>'SS INPUT'!F278</f>
        <v>212.3100000000004</v>
      </c>
      <c r="AA86" s="778">
        <f>'SS INPUT'!G278</f>
        <v>6000</v>
      </c>
      <c r="AB86" s="20">
        <f>'SS INPUT'!H278</f>
        <v>1273860.0000000023</v>
      </c>
      <c r="AC86" s="20">
        <f>'SS INPUT'!I278</f>
        <v>0</v>
      </c>
      <c r="AD86" s="20">
        <f>'SS INPUT'!J278</f>
        <v>1273860.0000000023</v>
      </c>
      <c r="AE86" s="238"/>
      <c r="AF86" s="238"/>
      <c r="AG86" s="238"/>
      <c r="AH86" s="238"/>
      <c r="AI86" s="238"/>
    </row>
    <row r="87" spans="1:35">
      <c r="A87" s="238">
        <v>85</v>
      </c>
      <c r="B87" s="238" t="s">
        <v>82</v>
      </c>
      <c r="C87" s="238" t="s">
        <v>162</v>
      </c>
      <c r="D87" s="238" t="s">
        <v>1631</v>
      </c>
      <c r="E87" s="238" t="s">
        <v>1632</v>
      </c>
      <c r="F87" s="778">
        <f>'SS INPUT'!D281</f>
        <v>218742.5</v>
      </c>
      <c r="G87" s="778">
        <f>'SS INPUT'!E281</f>
        <v>223480</v>
      </c>
      <c r="H87" s="778">
        <f>'SS INPUT'!F281</f>
        <v>4737.5</v>
      </c>
      <c r="I87" s="778">
        <f>'SS INPUT'!G281</f>
        <v>120</v>
      </c>
      <c r="J87" s="778">
        <f>'SS INPUT'!H281</f>
        <v>568500</v>
      </c>
      <c r="K87" s="778">
        <f>'SS INPUT'!I281</f>
        <v>0</v>
      </c>
      <c r="L87" s="20">
        <f>'SS INPUT'!J281</f>
        <v>568500</v>
      </c>
      <c r="M87" s="238" t="s">
        <v>1635</v>
      </c>
      <c r="N87" s="238" t="s">
        <v>1636</v>
      </c>
      <c r="O87" s="822">
        <f>'SS INPUT'!D283</f>
        <v>427238.5</v>
      </c>
      <c r="P87" s="822">
        <f>'SS INPUT'!E283</f>
        <v>429447</v>
      </c>
      <c r="Q87" s="822">
        <f>'SS INPUT'!F283</f>
        <v>2208.5</v>
      </c>
      <c r="R87" s="822">
        <f>'SS INPUT'!G283</f>
        <v>120</v>
      </c>
      <c r="S87" s="822">
        <f>'SS INPUT'!H283</f>
        <v>265020</v>
      </c>
      <c r="T87" s="822">
        <f>'SS INPUT'!I283</f>
        <v>0</v>
      </c>
      <c r="U87" s="258">
        <f>'SS INPUT'!J283</f>
        <v>265020</v>
      </c>
      <c r="V87" s="734" t="s">
        <v>162</v>
      </c>
      <c r="W87" s="14" t="s">
        <v>1638</v>
      </c>
      <c r="X87" s="778">
        <f>'SS INPUT'!D286</f>
        <v>2131.5300000000002</v>
      </c>
      <c r="Y87" s="778">
        <f>'SS INPUT'!E286</f>
        <v>2245.44</v>
      </c>
      <c r="Z87" s="778">
        <f>'SS INPUT'!F286</f>
        <v>113.90999999999985</v>
      </c>
      <c r="AA87" s="778">
        <f>'SS INPUT'!G286</f>
        <v>6000</v>
      </c>
      <c r="AB87" s="20">
        <f>'SS INPUT'!H286</f>
        <v>683459.99999999907</v>
      </c>
      <c r="AC87" s="20">
        <f>'SS INPUT'!I286</f>
        <v>0</v>
      </c>
      <c r="AD87" s="20">
        <f>'SS INPUT'!J286</f>
        <v>683459.99999999907</v>
      </c>
      <c r="AE87" s="238"/>
      <c r="AF87" s="238"/>
      <c r="AG87" s="238"/>
      <c r="AH87" s="238"/>
      <c r="AI87" s="238"/>
    </row>
    <row r="88" spans="1:35">
      <c r="A88" s="238">
        <v>86</v>
      </c>
      <c r="B88" s="238" t="s">
        <v>82</v>
      </c>
      <c r="C88" s="238" t="s">
        <v>162</v>
      </c>
      <c r="D88" s="238" t="s">
        <v>1633</v>
      </c>
      <c r="E88" s="238" t="s">
        <v>2105</v>
      </c>
      <c r="F88" s="778">
        <f>'SS INPUT'!D282</f>
        <v>49600</v>
      </c>
      <c r="G88" s="778">
        <f>'SS INPUT'!E282</f>
        <v>52387.1</v>
      </c>
      <c r="H88" s="778">
        <f>'SS INPUT'!F282</f>
        <v>2787.0999999999985</v>
      </c>
      <c r="I88" s="778">
        <f>'SS INPUT'!G282</f>
        <v>600</v>
      </c>
      <c r="J88" s="778">
        <f>'SS INPUT'!H282</f>
        <v>1672259.9999999991</v>
      </c>
      <c r="K88" s="778">
        <f>'SS INPUT'!I282</f>
        <v>0</v>
      </c>
      <c r="L88" s="20">
        <f>'SS INPUT'!J282</f>
        <v>1672259.9999999991</v>
      </c>
      <c r="M88" s="238"/>
      <c r="N88" s="238"/>
      <c r="O88" s="238"/>
      <c r="P88" s="238"/>
      <c r="Q88" s="238"/>
      <c r="R88" s="238"/>
      <c r="S88" s="238"/>
      <c r="T88" s="238"/>
      <c r="U88" s="238"/>
      <c r="V88" s="734" t="s">
        <v>1639</v>
      </c>
      <c r="W88" s="238" t="s">
        <v>1640</v>
      </c>
      <c r="X88" s="778">
        <f>'SS INPUT'!D287</f>
        <v>8101.7</v>
      </c>
      <c r="Y88" s="778">
        <f>'SS INPUT'!E287</f>
        <v>8859.5</v>
      </c>
      <c r="Z88" s="778">
        <f>'SS INPUT'!F287</f>
        <v>757.80000000000018</v>
      </c>
      <c r="AA88" s="778">
        <f>'SS INPUT'!G287</f>
        <v>2000</v>
      </c>
      <c r="AB88" s="20">
        <f>'SS INPUT'!H287</f>
        <v>1515600.0000000005</v>
      </c>
      <c r="AC88" s="20">
        <f>'SS INPUT'!I287</f>
        <v>0</v>
      </c>
      <c r="AD88" s="20">
        <f>'SS INPUT'!J287</f>
        <v>1515600.0000000005</v>
      </c>
      <c r="AE88" s="238"/>
      <c r="AF88" s="238"/>
      <c r="AG88" s="238"/>
      <c r="AH88" s="238"/>
      <c r="AI88" s="238"/>
    </row>
    <row r="89" spans="1:35">
      <c r="A89" s="238">
        <v>87</v>
      </c>
      <c r="B89" s="238" t="s">
        <v>82</v>
      </c>
      <c r="C89" s="238" t="s">
        <v>162</v>
      </c>
      <c r="D89" s="238" t="s">
        <v>1598</v>
      </c>
      <c r="E89" s="238"/>
      <c r="F89" s="778">
        <f>'SS INPUT'!D284</f>
        <v>222.1</v>
      </c>
      <c r="G89" s="778">
        <f>'SS INPUT'!E284</f>
        <v>222.1</v>
      </c>
      <c r="H89" s="778">
        <f>'SS INPUT'!F284</f>
        <v>0</v>
      </c>
      <c r="I89" s="778">
        <f>'SS INPUT'!G284</f>
        <v>20000</v>
      </c>
      <c r="J89" s="778">
        <f>'SS INPUT'!H284</f>
        <v>0</v>
      </c>
      <c r="K89" s="778">
        <f>'SS INPUT'!I284</f>
        <v>2608000</v>
      </c>
      <c r="L89" s="20">
        <f>'SS INPUT'!J284</f>
        <v>2608000</v>
      </c>
      <c r="M89" s="238"/>
      <c r="N89" s="238"/>
      <c r="O89" s="238"/>
      <c r="P89" s="238"/>
      <c r="Q89" s="238"/>
      <c r="R89" s="238"/>
      <c r="S89" s="238"/>
      <c r="T89" s="238"/>
      <c r="U89" s="238"/>
      <c r="V89" s="734" t="s">
        <v>1641</v>
      </c>
      <c r="W89" s="734" t="s">
        <v>1642</v>
      </c>
      <c r="X89" s="778">
        <f>'SS INPUT'!D288</f>
        <v>102706.3</v>
      </c>
      <c r="Y89" s="778">
        <f>'SS INPUT'!E288</f>
        <v>102706.3</v>
      </c>
      <c r="Z89" s="778">
        <f>'SS INPUT'!F288</f>
        <v>0</v>
      </c>
      <c r="AA89" s="778">
        <f>'SS INPUT'!G288</f>
        <v>2000</v>
      </c>
      <c r="AB89" s="20">
        <f>'SS INPUT'!H288</f>
        <v>0</v>
      </c>
      <c r="AC89" s="20">
        <f>'SS INPUT'!I288</f>
        <v>0</v>
      </c>
      <c r="AD89" s="20">
        <f>'SS INPUT'!J288</f>
        <v>0</v>
      </c>
      <c r="AE89" s="238"/>
      <c r="AF89" s="238"/>
      <c r="AG89" s="238"/>
      <c r="AH89" s="238"/>
      <c r="AI89" s="238"/>
    </row>
    <row r="90" spans="1:35">
      <c r="A90" s="238">
        <v>88</v>
      </c>
      <c r="B90" s="238" t="s">
        <v>82</v>
      </c>
      <c r="C90" s="238" t="s">
        <v>162</v>
      </c>
      <c r="D90" s="238"/>
      <c r="E90" s="238"/>
      <c r="F90" s="14"/>
      <c r="G90" s="14"/>
      <c r="H90" s="14"/>
      <c r="I90" s="14"/>
      <c r="J90" s="14"/>
      <c r="K90" s="14"/>
      <c r="L90" s="20"/>
      <c r="M90" s="238"/>
      <c r="N90" s="238"/>
      <c r="O90" s="238"/>
      <c r="P90" s="238"/>
      <c r="Q90" s="238"/>
      <c r="R90" s="238"/>
      <c r="S90" s="238"/>
      <c r="T90" s="238"/>
      <c r="U90" s="238"/>
      <c r="V90" s="734" t="s">
        <v>979</v>
      </c>
      <c r="W90" s="734" t="s">
        <v>2106</v>
      </c>
      <c r="X90" s="778">
        <f>'SS INPUT'!D289</f>
        <v>29116.6</v>
      </c>
      <c r="Y90" s="778">
        <f>'SS INPUT'!E289</f>
        <v>32684.3</v>
      </c>
      <c r="Z90" s="778">
        <f>'SS INPUT'!F289</f>
        <v>3567.7000000000007</v>
      </c>
      <c r="AA90" s="778">
        <f>'SS INPUT'!G289</f>
        <v>200</v>
      </c>
      <c r="AB90" s="20">
        <f>'SS INPUT'!H289</f>
        <v>713540.00000000012</v>
      </c>
      <c r="AC90" s="20">
        <f>'SS INPUT'!I289</f>
        <v>0</v>
      </c>
      <c r="AD90" s="20">
        <f>'SS INPUT'!J289</f>
        <v>713540.00000000012</v>
      </c>
      <c r="AE90" s="238"/>
      <c r="AF90" s="238"/>
      <c r="AG90" s="238"/>
      <c r="AH90" s="238"/>
      <c r="AI90" s="238"/>
    </row>
    <row r="91" spans="1:35">
      <c r="A91" s="238">
        <v>89</v>
      </c>
      <c r="B91" s="238" t="s">
        <v>82</v>
      </c>
      <c r="C91" s="238" t="s">
        <v>162</v>
      </c>
      <c r="D91" s="238"/>
      <c r="E91" s="238"/>
      <c r="F91" s="14"/>
      <c r="G91" s="14"/>
      <c r="H91" s="14"/>
      <c r="I91" s="14"/>
      <c r="J91" s="14"/>
      <c r="K91" s="14"/>
      <c r="L91" s="20"/>
      <c r="M91" s="238"/>
      <c r="N91" s="238"/>
      <c r="O91" s="238"/>
      <c r="P91" s="238"/>
      <c r="Q91" s="238"/>
      <c r="R91" s="238"/>
      <c r="S91" s="238"/>
      <c r="T91" s="238"/>
      <c r="U91" s="238"/>
      <c r="V91" s="734" t="s">
        <v>1644</v>
      </c>
      <c r="W91" s="734" t="s">
        <v>1645</v>
      </c>
      <c r="X91" s="778">
        <f>'SS INPUT'!D290</f>
        <v>46010.5</v>
      </c>
      <c r="Y91" s="778">
        <f>'SS INPUT'!E290</f>
        <v>46193.3</v>
      </c>
      <c r="Z91" s="778">
        <f>'SS INPUT'!F290</f>
        <v>182.80000000000291</v>
      </c>
      <c r="AA91" s="778">
        <f>'SS INPUT'!G290</f>
        <v>2000</v>
      </c>
      <c r="AB91" s="20">
        <f>'SS INPUT'!H290</f>
        <v>365600.00000000582</v>
      </c>
      <c r="AC91" s="20">
        <f>'SS INPUT'!I290</f>
        <v>0</v>
      </c>
      <c r="AD91" s="20">
        <f>'SS INPUT'!J290</f>
        <v>365600.00000000582</v>
      </c>
      <c r="AE91" s="238"/>
      <c r="AF91" s="238"/>
      <c r="AG91" s="238"/>
      <c r="AH91" s="238"/>
      <c r="AI91" s="238"/>
    </row>
    <row r="92" spans="1:35">
      <c r="A92" s="238">
        <v>90</v>
      </c>
      <c r="B92" s="238" t="s">
        <v>82</v>
      </c>
      <c r="C92" s="238" t="s">
        <v>162</v>
      </c>
      <c r="D92" s="133"/>
      <c r="E92" s="133"/>
      <c r="F92" s="220"/>
      <c r="G92" s="220"/>
      <c r="H92" s="220"/>
      <c r="I92" s="220"/>
      <c r="J92" s="220"/>
      <c r="K92" s="220"/>
      <c r="L92" s="180"/>
      <c r="M92" s="133"/>
      <c r="N92" s="133"/>
      <c r="O92" s="133"/>
      <c r="P92" s="133"/>
      <c r="Q92" s="133"/>
      <c r="R92" s="133"/>
      <c r="S92" s="133"/>
      <c r="T92" s="133"/>
      <c r="U92" s="133"/>
      <c r="V92" s="734" t="s">
        <v>1323</v>
      </c>
      <c r="W92" s="238" t="s">
        <v>1646</v>
      </c>
      <c r="X92" s="778">
        <f>'SS INPUT'!D291</f>
        <v>112740</v>
      </c>
      <c r="Y92" s="778">
        <f>'SS INPUT'!E291</f>
        <v>113192.8</v>
      </c>
      <c r="Z92" s="778">
        <f>'SS INPUT'!F291</f>
        <v>452.80000000000291</v>
      </c>
      <c r="AA92" s="778">
        <f>'SS INPUT'!G291</f>
        <v>2000</v>
      </c>
      <c r="AB92" s="20">
        <f>'SS INPUT'!H291</f>
        <v>905600.00000000582</v>
      </c>
      <c r="AC92" s="20">
        <f>'SS INPUT'!I291</f>
        <v>0</v>
      </c>
      <c r="AD92" s="20">
        <f>'SS INPUT'!J291</f>
        <v>905600.00000000582</v>
      </c>
      <c r="AE92" s="133"/>
      <c r="AF92" s="133"/>
      <c r="AG92" s="133"/>
      <c r="AH92" s="133"/>
      <c r="AI92" s="133"/>
    </row>
    <row r="93" spans="1:35">
      <c r="A93" s="238">
        <v>91</v>
      </c>
      <c r="B93" s="238" t="s">
        <v>82</v>
      </c>
      <c r="C93" s="238" t="s">
        <v>162</v>
      </c>
      <c r="D93" s="133"/>
      <c r="E93" s="133"/>
      <c r="F93" s="220"/>
      <c r="G93" s="220"/>
      <c r="H93" s="220"/>
      <c r="I93" s="220"/>
      <c r="J93" s="220"/>
      <c r="K93" s="220"/>
      <c r="L93" s="180"/>
      <c r="M93" s="133"/>
      <c r="N93" s="133"/>
      <c r="O93" s="133"/>
      <c r="P93" s="133"/>
      <c r="Q93" s="133"/>
      <c r="R93" s="133"/>
      <c r="S93" s="133"/>
      <c r="T93" s="133"/>
      <c r="U93" s="133"/>
      <c r="V93" s="734" t="s">
        <v>1647</v>
      </c>
      <c r="W93" s="238" t="s">
        <v>1648</v>
      </c>
      <c r="X93" s="778">
        <f>'SS INPUT'!D292</f>
        <v>26425.200000000001</v>
      </c>
      <c r="Y93" s="778">
        <f>'SS INPUT'!E292</f>
        <v>26465.3</v>
      </c>
      <c r="Z93" s="778">
        <f>'SS INPUT'!F292</f>
        <v>40.099999999998545</v>
      </c>
      <c r="AA93" s="778">
        <f>'SS INPUT'!G292</f>
        <v>2000</v>
      </c>
      <c r="AB93" s="20">
        <f>'SS INPUT'!H292</f>
        <v>80199.99999999709</v>
      </c>
      <c r="AC93" s="20">
        <f>'SS INPUT'!I292</f>
        <v>267439.00000000291</v>
      </c>
      <c r="AD93" s="20">
        <f>'SS INPUT'!J292</f>
        <v>347639</v>
      </c>
      <c r="AE93" s="133"/>
      <c r="AF93" s="133"/>
      <c r="AG93" s="133"/>
      <c r="AH93" s="133"/>
      <c r="AI93" s="133"/>
    </row>
    <row r="94" spans="1:35">
      <c r="A94" s="238">
        <v>92</v>
      </c>
      <c r="B94" s="238" t="s">
        <v>82</v>
      </c>
      <c r="C94" s="238" t="s">
        <v>1323</v>
      </c>
      <c r="D94" s="734" t="s">
        <v>1631</v>
      </c>
      <c r="E94" s="238" t="s">
        <v>1650</v>
      </c>
      <c r="F94" s="296">
        <f>'SS INPUT'!D295</f>
        <v>273455.2</v>
      </c>
      <c r="G94" s="296">
        <f>'SS INPUT'!E295</f>
        <v>273455.2</v>
      </c>
      <c r="H94" s="296">
        <f>'SS INPUT'!F295</f>
        <v>0</v>
      </c>
      <c r="I94" s="296">
        <f>'SS INPUT'!G295</f>
        <v>1000</v>
      </c>
      <c r="J94" s="296">
        <f>'SS INPUT'!H295</f>
        <v>0</v>
      </c>
      <c r="K94" s="296">
        <f>'SS INPUT'!I295</f>
        <v>3224000</v>
      </c>
      <c r="L94" s="180">
        <f>'SS INPUT'!J295</f>
        <v>3224000</v>
      </c>
      <c r="M94" s="133"/>
      <c r="N94" s="133"/>
      <c r="O94" s="133"/>
      <c r="P94" s="133"/>
      <c r="Q94" s="133"/>
      <c r="R94" s="133"/>
      <c r="S94" s="133"/>
      <c r="T94" s="133"/>
      <c r="U94" s="133"/>
      <c r="V94" s="734" t="s">
        <v>1651</v>
      </c>
      <c r="W94" s="238" t="s">
        <v>1652</v>
      </c>
      <c r="X94" s="296">
        <f>'SS INPUT'!D298</f>
        <v>12132.22</v>
      </c>
      <c r="Y94" s="296">
        <f>'SS INPUT'!E298</f>
        <v>12215.51</v>
      </c>
      <c r="Z94" s="296">
        <f>'SS INPUT'!F298</f>
        <v>83.290000000000873</v>
      </c>
      <c r="AA94" s="296">
        <f>'SS INPUT'!G298</f>
        <v>8000</v>
      </c>
      <c r="AB94" s="180">
        <f>'SS INPUT'!H298</f>
        <v>666320.00000000698</v>
      </c>
      <c r="AC94" s="180">
        <f>'SS INPUT'!I298</f>
        <v>0</v>
      </c>
      <c r="AD94" s="180">
        <f>'SS INPUT'!J298</f>
        <v>666320.00000000698</v>
      </c>
      <c r="AE94" s="133"/>
      <c r="AF94" s="133"/>
      <c r="AG94" s="133"/>
      <c r="AH94" s="133"/>
      <c r="AI94" s="133"/>
    </row>
    <row r="95" spans="1:35">
      <c r="A95" s="238">
        <v>93</v>
      </c>
      <c r="B95" s="238" t="s">
        <v>82</v>
      </c>
      <c r="C95" s="238" t="s">
        <v>1323</v>
      </c>
      <c r="D95" s="133"/>
      <c r="E95" s="133"/>
      <c r="F95" s="220"/>
      <c r="G95" s="220"/>
      <c r="H95" s="220"/>
      <c r="I95" s="220"/>
      <c r="J95" s="220"/>
      <c r="K95" s="220"/>
      <c r="L95" s="180"/>
      <c r="M95" s="133"/>
      <c r="N95" s="133"/>
      <c r="O95" s="133"/>
      <c r="P95" s="133"/>
      <c r="Q95" s="133"/>
      <c r="R95" s="133"/>
      <c r="S95" s="133"/>
      <c r="T95" s="133"/>
      <c r="U95" s="133"/>
      <c r="V95" s="734" t="s">
        <v>1653</v>
      </c>
      <c r="W95" s="238" t="s">
        <v>1654</v>
      </c>
      <c r="X95" s="296">
        <f>'SS INPUT'!D299</f>
        <v>9365.5</v>
      </c>
      <c r="Y95" s="296">
        <f>'SS INPUT'!E299</f>
        <v>9405.14</v>
      </c>
      <c r="Z95" s="296">
        <f>'SS INPUT'!F299</f>
        <v>39.639999999999418</v>
      </c>
      <c r="AA95" s="296">
        <f>'SS INPUT'!G299</f>
        <v>12000</v>
      </c>
      <c r="AB95" s="180">
        <f>'SS INPUT'!H299</f>
        <v>475679.99999999302</v>
      </c>
      <c r="AC95" s="180">
        <f>'SS INPUT'!I299</f>
        <v>0</v>
      </c>
      <c r="AD95" s="180">
        <f>'SS INPUT'!J299</f>
        <v>475679.99999999302</v>
      </c>
      <c r="AE95" s="133"/>
      <c r="AF95" s="133"/>
      <c r="AG95" s="133"/>
      <c r="AH95" s="133"/>
      <c r="AI95" s="133"/>
    </row>
    <row r="96" spans="1:35">
      <c r="A96" s="238">
        <v>94</v>
      </c>
      <c r="B96" s="238" t="s">
        <v>82</v>
      </c>
      <c r="C96" s="238" t="s">
        <v>1323</v>
      </c>
      <c r="D96" s="133"/>
      <c r="E96" s="133"/>
      <c r="F96" s="220"/>
      <c r="G96" s="220"/>
      <c r="H96" s="220"/>
      <c r="I96" s="220"/>
      <c r="J96" s="220"/>
      <c r="K96" s="220"/>
      <c r="L96" s="180"/>
      <c r="M96" s="133"/>
      <c r="N96" s="133"/>
      <c r="O96" s="133"/>
      <c r="P96" s="133"/>
      <c r="Q96" s="133"/>
      <c r="R96" s="133"/>
      <c r="S96" s="133"/>
      <c r="T96" s="133"/>
      <c r="U96" s="133"/>
      <c r="V96" s="734" t="s">
        <v>1655</v>
      </c>
      <c r="W96" s="238" t="s">
        <v>1656</v>
      </c>
      <c r="X96" s="296">
        <f>'SS INPUT'!D300</f>
        <v>1585898</v>
      </c>
      <c r="Y96" s="296">
        <f>'SS INPUT'!E300</f>
        <v>1611587.5</v>
      </c>
      <c r="Z96" s="296">
        <f>'SS INPUT'!F300</f>
        <v>25689.5</v>
      </c>
      <c r="AA96" s="296">
        <f>'SS INPUT'!G300</f>
        <v>60</v>
      </c>
      <c r="AB96" s="180">
        <f>'SS INPUT'!H300</f>
        <v>1541370</v>
      </c>
      <c r="AC96" s="180">
        <f>'SS INPUT'!I300</f>
        <v>0</v>
      </c>
      <c r="AD96" s="180">
        <f>'SS INPUT'!J300</f>
        <v>1541370</v>
      </c>
      <c r="AE96" s="133"/>
      <c r="AF96" s="133"/>
      <c r="AG96" s="133"/>
      <c r="AH96" s="133"/>
      <c r="AI96" s="133"/>
    </row>
    <row r="97" spans="1:35">
      <c r="A97" s="238">
        <v>95</v>
      </c>
      <c r="B97" s="238" t="s">
        <v>82</v>
      </c>
      <c r="C97" s="238" t="s">
        <v>1323</v>
      </c>
      <c r="D97" s="133"/>
      <c r="E97" s="133"/>
      <c r="F97" s="220"/>
      <c r="G97" s="220"/>
      <c r="H97" s="220"/>
      <c r="I97" s="220"/>
      <c r="J97" s="220"/>
      <c r="K97" s="220"/>
      <c r="L97" s="180"/>
      <c r="M97" s="133"/>
      <c r="N97" s="133"/>
      <c r="O97" s="133"/>
      <c r="P97" s="133"/>
      <c r="Q97" s="133"/>
      <c r="R97" s="133"/>
      <c r="S97" s="133"/>
      <c r="T97" s="133"/>
      <c r="U97" s="133"/>
      <c r="V97" s="734" t="s">
        <v>1657</v>
      </c>
      <c r="W97" s="238" t="s">
        <v>1658</v>
      </c>
      <c r="X97" s="296">
        <f>'SS INPUT'!D301</f>
        <v>54426.9</v>
      </c>
      <c r="Y97" s="296">
        <f>'SS INPUT'!E301</f>
        <v>54683.5</v>
      </c>
      <c r="Z97" s="296">
        <f>'SS INPUT'!F301</f>
        <v>256.59999999999854</v>
      </c>
      <c r="AA97" s="296">
        <f>'SS INPUT'!G301</f>
        <v>2000</v>
      </c>
      <c r="AB97" s="180">
        <f>'SS INPUT'!H301</f>
        <v>513199.99999999709</v>
      </c>
      <c r="AC97" s="180">
        <f>'SS INPUT'!I301</f>
        <v>0</v>
      </c>
      <c r="AD97" s="180">
        <f>'SS INPUT'!J301</f>
        <v>513199.99999999709</v>
      </c>
      <c r="AE97" s="133"/>
      <c r="AF97" s="133"/>
      <c r="AG97" s="133"/>
      <c r="AH97" s="133"/>
      <c r="AI97" s="133"/>
    </row>
    <row r="98" spans="1:35">
      <c r="A98" s="238">
        <v>96</v>
      </c>
      <c r="B98" s="238" t="s">
        <v>82</v>
      </c>
      <c r="C98" s="238" t="s">
        <v>904</v>
      </c>
      <c r="D98" s="734" t="s">
        <v>1660</v>
      </c>
      <c r="E98" s="238" t="s">
        <v>1661</v>
      </c>
      <c r="F98" s="296">
        <f>'SS INPUT'!D304</f>
        <v>2631.66</v>
      </c>
      <c r="G98" s="296">
        <f>'SS INPUT'!E304</f>
        <v>2710.27</v>
      </c>
      <c r="H98" s="296">
        <f>'SS INPUT'!F304</f>
        <v>78.610000000000127</v>
      </c>
      <c r="I98" s="296">
        <f>'SS INPUT'!G304</f>
        <v>9000</v>
      </c>
      <c r="J98" s="296">
        <f>'SS INPUT'!H304</f>
        <v>707490.00000000116</v>
      </c>
      <c r="K98" s="296">
        <f>'SS INPUT'!I304</f>
        <v>1107000</v>
      </c>
      <c r="L98" s="180">
        <f>'SS INPUT'!J304</f>
        <v>1814490.0000000012</v>
      </c>
      <c r="M98" s="133"/>
      <c r="N98" s="133"/>
      <c r="O98" s="133"/>
      <c r="P98" s="133"/>
      <c r="Q98" s="133"/>
      <c r="R98" s="133"/>
      <c r="S98" s="133"/>
      <c r="T98" s="133"/>
      <c r="U98" s="133"/>
      <c r="V98" s="238" t="s">
        <v>2107</v>
      </c>
      <c r="W98" s="238" t="s">
        <v>2108</v>
      </c>
      <c r="X98" s="296">
        <f>'SS INPUT'!D307</f>
        <v>4301.3999999999996</v>
      </c>
      <c r="Y98" s="296">
        <f>'SS INPUT'!E307</f>
        <v>4679.1000000000004</v>
      </c>
      <c r="Z98" s="296">
        <f>'SS INPUT'!F307</f>
        <v>377.70000000000073</v>
      </c>
      <c r="AA98" s="296">
        <f>'SS INPUT'!G307</f>
        <v>100</v>
      </c>
      <c r="AB98" s="180">
        <f>'SS INPUT'!H307</f>
        <v>37770.000000000073</v>
      </c>
      <c r="AC98" s="180">
        <f>'SS INPUT'!I307</f>
        <v>0</v>
      </c>
      <c r="AD98" s="180">
        <f>'SS INPUT'!J307</f>
        <v>37770.000000000073</v>
      </c>
      <c r="AE98" s="133"/>
      <c r="AF98" s="133"/>
      <c r="AG98" s="133"/>
      <c r="AH98" s="133"/>
      <c r="AI98" s="133"/>
    </row>
    <row r="99" spans="1:35">
      <c r="A99" s="238">
        <v>97</v>
      </c>
      <c r="B99" s="238" t="s">
        <v>82</v>
      </c>
      <c r="C99" s="238" t="s">
        <v>904</v>
      </c>
      <c r="D99" s="133"/>
      <c r="E99" s="133"/>
      <c r="F99" s="220"/>
      <c r="G99" s="220"/>
      <c r="H99" s="220"/>
      <c r="I99" s="220"/>
      <c r="J99" s="220"/>
      <c r="K99" s="220"/>
      <c r="L99" s="180"/>
      <c r="M99" s="133"/>
      <c r="N99" s="133"/>
      <c r="O99" s="133"/>
      <c r="P99" s="133"/>
      <c r="Q99" s="133"/>
      <c r="R99" s="133"/>
      <c r="S99" s="133"/>
      <c r="T99" s="133"/>
      <c r="U99" s="133"/>
      <c r="V99" s="238" t="s">
        <v>1675</v>
      </c>
      <c r="W99" s="238" t="s">
        <v>1666</v>
      </c>
      <c r="X99" s="296">
        <f>'SS INPUT'!D308</f>
        <v>31282.799999999999</v>
      </c>
      <c r="Y99" s="296">
        <f>'SS INPUT'!E308</f>
        <v>31282.799999999999</v>
      </c>
      <c r="Z99" s="296">
        <f>'SS INPUT'!F308</f>
        <v>0</v>
      </c>
      <c r="AA99" s="296">
        <f>'SS INPUT'!G308</f>
        <v>2000</v>
      </c>
      <c r="AB99" s="180">
        <f>'SS INPUT'!H308</f>
        <v>0</v>
      </c>
      <c r="AC99" s="180">
        <f>'SS INPUT'!I308</f>
        <v>353678.71110000001</v>
      </c>
      <c r="AD99" s="180">
        <f>'SS INPUT'!J308</f>
        <v>353678.71110000001</v>
      </c>
      <c r="AE99" s="133"/>
      <c r="AF99" s="133"/>
      <c r="AG99" s="133"/>
      <c r="AH99" s="133"/>
      <c r="AI99" s="133"/>
    </row>
    <row r="100" spans="1:35">
      <c r="A100" s="238">
        <v>98</v>
      </c>
      <c r="B100" s="238" t="s">
        <v>82</v>
      </c>
      <c r="C100" s="238" t="s">
        <v>904</v>
      </c>
      <c r="D100" s="133"/>
      <c r="E100" s="133"/>
      <c r="F100" s="220"/>
      <c r="G100" s="220"/>
      <c r="H100" s="220"/>
      <c r="I100" s="220"/>
      <c r="J100" s="220"/>
      <c r="K100" s="220"/>
      <c r="L100" s="180"/>
      <c r="M100" s="133"/>
      <c r="N100" s="133"/>
      <c r="O100" s="133"/>
      <c r="P100" s="133"/>
      <c r="Q100" s="133"/>
      <c r="R100" s="133"/>
      <c r="S100" s="133"/>
      <c r="T100" s="133"/>
      <c r="U100" s="133"/>
      <c r="V100" s="238" t="s">
        <v>1665</v>
      </c>
      <c r="W100" s="238" t="s">
        <v>1669</v>
      </c>
      <c r="X100" s="296">
        <f>'SS INPUT'!D309</f>
        <v>28311.9</v>
      </c>
      <c r="Y100" s="296">
        <f>'SS INPUT'!E309</f>
        <v>28765.9</v>
      </c>
      <c r="Z100" s="296">
        <f>'SS INPUT'!F309</f>
        <v>454</v>
      </c>
      <c r="AA100" s="296">
        <f>'SS INPUT'!G309</f>
        <v>1333.33</v>
      </c>
      <c r="AB100" s="180">
        <f>'SS INPUT'!H309</f>
        <v>605331.81999999995</v>
      </c>
      <c r="AC100" s="180">
        <f>'SS INPUT'!I309</f>
        <v>0</v>
      </c>
      <c r="AD100" s="180">
        <f>'SS INPUT'!J309</f>
        <v>605331.81999999995</v>
      </c>
      <c r="AE100" s="133"/>
      <c r="AF100" s="133"/>
      <c r="AG100" s="133"/>
      <c r="AH100" s="133"/>
      <c r="AI100" s="133"/>
    </row>
    <row r="101" spans="1:35">
      <c r="A101" s="238">
        <v>99</v>
      </c>
      <c r="B101" s="238" t="s">
        <v>82</v>
      </c>
      <c r="C101" s="238" t="s">
        <v>904</v>
      </c>
      <c r="D101" s="133"/>
      <c r="E101" s="133"/>
      <c r="F101" s="220"/>
      <c r="G101" s="220"/>
      <c r="H101" s="220"/>
      <c r="I101" s="220"/>
      <c r="J101" s="220"/>
      <c r="K101" s="220"/>
      <c r="L101" s="180"/>
      <c r="M101" s="133"/>
      <c r="N101" s="133"/>
      <c r="O101" s="133"/>
      <c r="P101" s="133"/>
      <c r="Q101" s="133"/>
      <c r="R101" s="133"/>
      <c r="S101" s="133"/>
      <c r="T101" s="133"/>
      <c r="U101" s="133"/>
      <c r="V101" s="734" t="s">
        <v>1671</v>
      </c>
      <c r="W101" s="238">
        <v>3300078</v>
      </c>
      <c r="X101" s="296">
        <f>'SS INPUT'!D310</f>
        <v>820361.2</v>
      </c>
      <c r="Y101" s="296">
        <f>'SS INPUT'!E310</f>
        <v>829875.9</v>
      </c>
      <c r="Z101" s="296">
        <f>'SS INPUT'!F310</f>
        <v>9514.7000000000698</v>
      </c>
      <c r="AA101" s="296">
        <f>'SS INPUT'!G310</f>
        <v>6.6660000000000004</v>
      </c>
      <c r="AB101" s="180">
        <f>'SS INPUT'!H310</f>
        <v>63424.990200000466</v>
      </c>
      <c r="AC101" s="180">
        <f>'SS INPUT'!I310</f>
        <v>0</v>
      </c>
      <c r="AD101" s="180">
        <f>'SS INPUT'!J310</f>
        <v>63424.990200000466</v>
      </c>
      <c r="AE101" s="133"/>
      <c r="AF101" s="133"/>
      <c r="AG101" s="133"/>
      <c r="AH101" s="133"/>
      <c r="AI101" s="133"/>
    </row>
    <row r="102" spans="1:35">
      <c r="A102" s="238">
        <v>100</v>
      </c>
      <c r="B102" s="238" t="s">
        <v>82</v>
      </c>
      <c r="C102" s="238" t="s">
        <v>904</v>
      </c>
      <c r="D102" s="133"/>
      <c r="E102" s="133"/>
      <c r="F102" s="220"/>
      <c r="G102" s="220"/>
      <c r="H102" s="220"/>
      <c r="I102" s="220"/>
      <c r="J102" s="220"/>
      <c r="K102" s="220"/>
      <c r="L102" s="180"/>
      <c r="M102" s="133"/>
      <c r="N102" s="133"/>
      <c r="O102" s="133"/>
      <c r="P102" s="133"/>
      <c r="Q102" s="133"/>
      <c r="R102" s="133"/>
      <c r="S102" s="133"/>
      <c r="T102" s="133"/>
      <c r="U102" s="133"/>
      <c r="V102" s="238" t="s">
        <v>1132</v>
      </c>
      <c r="W102" s="238">
        <v>3300076</v>
      </c>
      <c r="X102" s="296">
        <f>'SS INPUT'!D311</f>
        <v>17441.599999999999</v>
      </c>
      <c r="Y102" s="296">
        <f>'SS INPUT'!E311</f>
        <v>19883.7</v>
      </c>
      <c r="Z102" s="296">
        <f>'SS INPUT'!F311</f>
        <v>2442.1000000000022</v>
      </c>
      <c r="AA102" s="296">
        <f>'SS INPUT'!G311</f>
        <v>100</v>
      </c>
      <c r="AB102" s="180">
        <f>'SS INPUT'!H311</f>
        <v>244210.00000000023</v>
      </c>
      <c r="AC102" s="180">
        <f>'SS INPUT'!I311</f>
        <v>180000</v>
      </c>
      <c r="AD102" s="180">
        <f>'SS INPUT'!J311</f>
        <v>424210.00000000023</v>
      </c>
      <c r="AE102" s="133"/>
      <c r="AF102" s="133"/>
      <c r="AG102" s="133"/>
      <c r="AH102" s="133"/>
      <c r="AI102" s="133"/>
    </row>
    <row r="103" spans="1:35">
      <c r="A103" s="238">
        <v>101</v>
      </c>
      <c r="B103" s="238" t="s">
        <v>82</v>
      </c>
      <c r="C103" s="238" t="s">
        <v>210</v>
      </c>
      <c r="D103" s="734" t="s">
        <v>1679</v>
      </c>
      <c r="E103" s="238" t="s">
        <v>1680</v>
      </c>
      <c r="F103" s="296">
        <f>'SS INPUT'!D315</f>
        <v>124063.9</v>
      </c>
      <c r="G103" s="296">
        <f>'SS INPUT'!E315</f>
        <v>124578.1</v>
      </c>
      <c r="H103" s="296">
        <f>'SS INPUT'!F315</f>
        <v>514.20000000001164</v>
      </c>
      <c r="I103" s="296">
        <f>'SS INPUT'!G315</f>
        <v>2000</v>
      </c>
      <c r="J103" s="296">
        <f>'SS INPUT'!H315</f>
        <v>1028400.0000000233</v>
      </c>
      <c r="K103" s="296">
        <f>'SS INPUT'!I315</f>
        <v>0</v>
      </c>
      <c r="L103" s="180">
        <f>'SS INPUT'!J315</f>
        <v>1028400.0000000233</v>
      </c>
      <c r="M103" s="734" t="s">
        <v>1684</v>
      </c>
      <c r="N103" s="734" t="s">
        <v>1685</v>
      </c>
      <c r="O103" s="314">
        <f>'SS INPUT'!D320</f>
        <v>61361.8</v>
      </c>
      <c r="P103" s="314">
        <f>'SS INPUT'!E320</f>
        <v>61361.8</v>
      </c>
      <c r="Q103" s="314">
        <f>'SS INPUT'!F320</f>
        <v>0</v>
      </c>
      <c r="R103" s="314">
        <f>'SS INPUT'!G320</f>
        <v>2000</v>
      </c>
      <c r="S103" s="314">
        <f>'SS INPUT'!H320</f>
        <v>0</v>
      </c>
      <c r="T103" s="314">
        <f>'SS INPUT'!I320</f>
        <v>0</v>
      </c>
      <c r="U103" s="149">
        <f>'SS INPUT'!J320</f>
        <v>0</v>
      </c>
      <c r="V103" s="734" t="s">
        <v>1065</v>
      </c>
      <c r="W103" s="238" t="s">
        <v>2109</v>
      </c>
      <c r="X103" s="296">
        <f>'SS INPUT'!D324</f>
        <v>53412.3</v>
      </c>
      <c r="Y103" s="296">
        <f>'SS INPUT'!E324</f>
        <v>57770.8</v>
      </c>
      <c r="Z103" s="296">
        <f>'SS INPUT'!F324</f>
        <v>4358.5</v>
      </c>
      <c r="AA103" s="296">
        <f>'SS INPUT'!G324</f>
        <v>200</v>
      </c>
      <c r="AB103" s="180">
        <f>'SS INPUT'!H324</f>
        <v>871700</v>
      </c>
      <c r="AC103" s="180">
        <f>'SS INPUT'!I324</f>
        <v>0</v>
      </c>
      <c r="AD103" s="180">
        <f>'SS INPUT'!J324</f>
        <v>871700</v>
      </c>
      <c r="AE103" s="133"/>
      <c r="AF103" s="133"/>
      <c r="AG103" s="133"/>
      <c r="AH103" s="133"/>
      <c r="AI103" s="133"/>
    </row>
    <row r="104" spans="1:35">
      <c r="A104" s="238">
        <v>102</v>
      </c>
      <c r="B104" s="238" t="s">
        <v>82</v>
      </c>
      <c r="C104" s="238" t="s">
        <v>210</v>
      </c>
      <c r="D104" s="734" t="s">
        <v>1681</v>
      </c>
      <c r="E104" s="238">
        <v>3300071</v>
      </c>
      <c r="F104" s="296">
        <f>'SS INPUT'!D316</f>
        <v>942100.6</v>
      </c>
      <c r="G104" s="296">
        <f>'SS INPUT'!E316</f>
        <v>942702.3</v>
      </c>
      <c r="H104" s="296">
        <f>'SS INPUT'!F316</f>
        <v>601.70000000006985</v>
      </c>
      <c r="I104" s="296">
        <f>'SS INPUT'!G316</f>
        <v>80</v>
      </c>
      <c r="J104" s="296">
        <f>'SS INPUT'!H316</f>
        <v>48136.000000005588</v>
      </c>
      <c r="K104" s="296">
        <f>'SS INPUT'!I316</f>
        <v>0</v>
      </c>
      <c r="L104" s="180">
        <f>'SS INPUT'!J316</f>
        <v>48136.000000005588</v>
      </c>
      <c r="M104" s="734" t="s">
        <v>1686</v>
      </c>
      <c r="N104" s="734" t="s">
        <v>1685</v>
      </c>
      <c r="O104" s="314">
        <f>'SS INPUT'!D321</f>
        <v>7689.3</v>
      </c>
      <c r="P104" s="314">
        <f>'SS INPUT'!E321</f>
        <v>7782.9</v>
      </c>
      <c r="Q104" s="314">
        <f>'SS INPUT'!F321</f>
        <v>93.599999999999454</v>
      </c>
      <c r="R104" s="314">
        <f>'SS INPUT'!G321</f>
        <v>2000</v>
      </c>
      <c r="S104" s="314">
        <f>'SS INPUT'!H321</f>
        <v>187199.99999999889</v>
      </c>
      <c r="T104" s="314">
        <f>'SS INPUT'!I321</f>
        <v>0</v>
      </c>
      <c r="U104" s="149">
        <f>'SS INPUT'!J321</f>
        <v>187199.99999999889</v>
      </c>
      <c r="V104" s="734" t="s">
        <v>1688</v>
      </c>
      <c r="W104" s="238" t="s">
        <v>1689</v>
      </c>
      <c r="X104" s="296">
        <f>'SS INPUT'!D325</f>
        <v>43408.5</v>
      </c>
      <c r="Y104" s="296">
        <f>'SS INPUT'!E325</f>
        <v>43474.7</v>
      </c>
      <c r="Z104" s="296">
        <f>'SS INPUT'!F325</f>
        <v>66.19999999999709</v>
      </c>
      <c r="AA104" s="296">
        <f>'SS INPUT'!G325</f>
        <v>2000</v>
      </c>
      <c r="AB104" s="180">
        <f>'SS INPUT'!H325</f>
        <v>132399.99999999418</v>
      </c>
      <c r="AC104" s="180">
        <f>'SS INPUT'!I325</f>
        <v>0</v>
      </c>
      <c r="AD104" s="180">
        <f>'SS INPUT'!J325</f>
        <v>132399.99999999418</v>
      </c>
      <c r="AE104" s="133"/>
      <c r="AF104" s="133"/>
      <c r="AG104" s="133"/>
      <c r="AH104" s="133"/>
      <c r="AI104" s="133"/>
    </row>
    <row r="105" spans="1:35">
      <c r="A105" s="238">
        <v>103</v>
      </c>
      <c r="B105" s="238" t="s">
        <v>82</v>
      </c>
      <c r="C105" s="238" t="s">
        <v>210</v>
      </c>
      <c r="D105" s="734" t="s">
        <v>1682</v>
      </c>
      <c r="E105" s="238" t="s">
        <v>1683</v>
      </c>
      <c r="F105" s="296">
        <f>'SS INPUT'!D317</f>
        <v>175454.6</v>
      </c>
      <c r="G105" s="296">
        <f>'SS INPUT'!E317</f>
        <v>175814.6</v>
      </c>
      <c r="H105" s="296">
        <f>'SS INPUT'!F317</f>
        <v>360</v>
      </c>
      <c r="I105" s="296">
        <f>'SS INPUT'!G317</f>
        <v>2000</v>
      </c>
      <c r="J105" s="296">
        <f>'SS INPUT'!H317</f>
        <v>720000</v>
      </c>
      <c r="K105" s="296">
        <f>'SS INPUT'!I317</f>
        <v>0</v>
      </c>
      <c r="L105" s="180">
        <f>'SS INPUT'!J317</f>
        <v>720000</v>
      </c>
      <c r="M105" s="133"/>
      <c r="N105" s="133"/>
      <c r="O105" s="133"/>
      <c r="P105" s="133"/>
      <c r="Q105" s="133"/>
      <c r="R105" s="133"/>
      <c r="S105" s="133"/>
      <c r="T105" s="133"/>
      <c r="U105" s="133"/>
      <c r="V105" s="734" t="s">
        <v>1162</v>
      </c>
      <c r="W105" s="238" t="s">
        <v>1690</v>
      </c>
      <c r="X105" s="296">
        <f>'SS INPUT'!D326</f>
        <v>2753.4</v>
      </c>
      <c r="Y105" s="296">
        <f>'SS INPUT'!E326</f>
        <v>2773.3</v>
      </c>
      <c r="Z105" s="296">
        <f>'SS INPUT'!F326</f>
        <v>19.900000000000091</v>
      </c>
      <c r="AA105" s="296">
        <f>'SS INPUT'!G326</f>
        <v>2000</v>
      </c>
      <c r="AB105" s="180">
        <f>'SS INPUT'!H326</f>
        <v>39800.000000000182</v>
      </c>
      <c r="AC105" s="180">
        <f>'SS INPUT'!I326</f>
        <v>14109.999999999818</v>
      </c>
      <c r="AD105" s="180">
        <f>'SS INPUT'!J326</f>
        <v>53910</v>
      </c>
      <c r="AE105" s="133"/>
      <c r="AF105" s="133"/>
      <c r="AG105" s="133"/>
      <c r="AH105" s="133"/>
      <c r="AI105" s="133"/>
    </row>
    <row r="106" spans="1:35">
      <c r="A106" s="238">
        <v>104</v>
      </c>
      <c r="B106" s="238" t="s">
        <v>82</v>
      </c>
      <c r="C106" s="238" t="s">
        <v>210</v>
      </c>
      <c r="D106" s="734" t="s">
        <v>1679</v>
      </c>
      <c r="E106" s="238" t="s">
        <v>1680</v>
      </c>
      <c r="F106" s="296">
        <f>'SS INPUT'!D318</f>
        <v>123.9</v>
      </c>
      <c r="G106" s="296">
        <f>'SS INPUT'!E318</f>
        <v>123.9</v>
      </c>
      <c r="H106" s="296">
        <f>'SS INPUT'!F318</f>
        <v>0</v>
      </c>
      <c r="I106" s="296">
        <f>'SS INPUT'!G318</f>
        <v>2000</v>
      </c>
      <c r="J106" s="296">
        <f>'SS INPUT'!H318</f>
        <v>0</v>
      </c>
      <c r="K106" s="296">
        <f>'SS INPUT'!I318</f>
        <v>0</v>
      </c>
      <c r="L106" s="180">
        <f>'SS INPUT'!J318</f>
        <v>0</v>
      </c>
      <c r="M106" s="133"/>
      <c r="N106" s="133"/>
      <c r="O106" s="133"/>
      <c r="P106" s="133"/>
      <c r="Q106" s="133"/>
      <c r="R106" s="133"/>
      <c r="S106" s="133"/>
      <c r="T106" s="133"/>
      <c r="U106" s="133"/>
      <c r="V106" s="734" t="s">
        <v>1691</v>
      </c>
      <c r="W106" s="238" t="s">
        <v>2110</v>
      </c>
      <c r="X106" s="296">
        <f>'SS INPUT'!D327</f>
        <v>13842.4</v>
      </c>
      <c r="Y106" s="296">
        <f>'SS INPUT'!E327</f>
        <v>14959.9</v>
      </c>
      <c r="Z106" s="296">
        <f>'SS INPUT'!F327</f>
        <v>1117.5</v>
      </c>
      <c r="AA106" s="296">
        <f>'SS INPUT'!G327</f>
        <v>200</v>
      </c>
      <c r="AB106" s="180">
        <f>'SS INPUT'!H327</f>
        <v>223500</v>
      </c>
      <c r="AC106" s="180">
        <f>'SS INPUT'!I327</f>
        <v>0</v>
      </c>
      <c r="AD106" s="180">
        <f>'SS INPUT'!J327</f>
        <v>223500</v>
      </c>
      <c r="AE106" s="133"/>
      <c r="AF106" s="133"/>
      <c r="AG106" s="133"/>
      <c r="AH106" s="133"/>
      <c r="AI106" s="133"/>
    </row>
    <row r="107" spans="1:35">
      <c r="A107" s="238">
        <v>105</v>
      </c>
      <c r="B107" s="238" t="s">
        <v>82</v>
      </c>
      <c r="C107" s="238" t="s">
        <v>210</v>
      </c>
      <c r="D107" s="133"/>
      <c r="E107" s="133"/>
      <c r="F107" s="220"/>
      <c r="G107" s="220"/>
      <c r="H107" s="220"/>
      <c r="I107" s="220"/>
      <c r="J107" s="220"/>
      <c r="K107" s="220"/>
      <c r="L107" s="180"/>
      <c r="M107" s="133"/>
      <c r="N107" s="133"/>
      <c r="O107" s="133"/>
      <c r="P107" s="133"/>
      <c r="Q107" s="133"/>
      <c r="R107" s="133"/>
      <c r="S107" s="133"/>
      <c r="T107" s="133"/>
      <c r="U107" s="133"/>
      <c r="V107" s="734" t="s">
        <v>1693</v>
      </c>
      <c r="W107" s="238" t="s">
        <v>1694</v>
      </c>
      <c r="X107" s="296">
        <f>'SS INPUT'!D328</f>
        <v>49737.1</v>
      </c>
      <c r="Y107" s="296">
        <f>'SS INPUT'!E328</f>
        <v>49978.3</v>
      </c>
      <c r="Z107" s="296">
        <f>'SS INPUT'!F328</f>
        <v>241.20000000000437</v>
      </c>
      <c r="AA107" s="296">
        <f>'SS INPUT'!G328</f>
        <v>2000</v>
      </c>
      <c r="AB107" s="180">
        <f>'SS INPUT'!H328</f>
        <v>482400.00000000873</v>
      </c>
      <c r="AC107" s="180">
        <f>'SS INPUT'!I328</f>
        <v>0</v>
      </c>
      <c r="AD107" s="180">
        <f>'SS INPUT'!J328</f>
        <v>482400.00000000873</v>
      </c>
      <c r="AE107" s="133"/>
      <c r="AF107" s="133"/>
      <c r="AG107" s="133"/>
      <c r="AH107" s="133"/>
      <c r="AI107" s="133"/>
    </row>
    <row r="108" spans="1:35">
      <c r="A108" s="238">
        <v>106</v>
      </c>
      <c r="B108" s="238" t="s">
        <v>82</v>
      </c>
      <c r="C108" s="238" t="s">
        <v>1068</v>
      </c>
      <c r="D108" s="734" t="s">
        <v>1696</v>
      </c>
      <c r="E108" s="734" t="s">
        <v>1697</v>
      </c>
      <c r="F108" s="296">
        <f>'SS INPUT'!D331</f>
        <v>320912.5</v>
      </c>
      <c r="G108" s="296">
        <f>'SS INPUT'!E331</f>
        <v>320912.5</v>
      </c>
      <c r="H108" s="296">
        <f>'SS INPUT'!F331</f>
        <v>0</v>
      </c>
      <c r="I108" s="296">
        <f>'SS INPUT'!G331</f>
        <v>2000</v>
      </c>
      <c r="J108" s="296">
        <f>'SS INPUT'!H331</f>
        <v>0</v>
      </c>
      <c r="K108" s="296">
        <f>'SS INPUT'!I331</f>
        <v>3080000</v>
      </c>
      <c r="L108" s="180">
        <f>'SS INPUT'!J331</f>
        <v>3080000</v>
      </c>
      <c r="M108" s="133"/>
      <c r="N108" s="133"/>
      <c r="O108" s="133"/>
      <c r="P108" s="133"/>
      <c r="Q108" s="133"/>
      <c r="R108" s="133"/>
      <c r="S108" s="133"/>
      <c r="T108" s="133"/>
      <c r="U108" s="133"/>
      <c r="V108" s="734" t="s">
        <v>1698</v>
      </c>
      <c r="W108" s="238" t="s">
        <v>1699</v>
      </c>
      <c r="X108" s="220">
        <f>'SS INPUT'!D334</f>
        <v>110562</v>
      </c>
      <c r="Y108" s="220">
        <f>'SS INPUT'!E334</f>
        <v>111400.8</v>
      </c>
      <c r="Z108" s="220">
        <f>'SS INPUT'!F334</f>
        <v>838.80000000000291</v>
      </c>
      <c r="AA108" s="220">
        <f>'SS INPUT'!G334</f>
        <v>2000</v>
      </c>
      <c r="AB108" s="220">
        <f>'SS INPUT'!H334</f>
        <v>1677600.0000000058</v>
      </c>
      <c r="AC108" s="220">
        <f>'SS INPUT'!I334</f>
        <v>0</v>
      </c>
      <c r="AD108" s="220">
        <f>'SS INPUT'!J334</f>
        <v>1677600.0000000058</v>
      </c>
      <c r="AE108" s="133"/>
      <c r="AF108" s="133"/>
      <c r="AG108" s="133"/>
      <c r="AH108" s="133"/>
      <c r="AI108" s="133"/>
    </row>
    <row r="109" spans="1:35">
      <c r="A109" s="238">
        <v>107</v>
      </c>
      <c r="B109" s="238" t="s">
        <v>82</v>
      </c>
      <c r="C109" s="238" t="s">
        <v>1068</v>
      </c>
      <c r="D109" s="133"/>
      <c r="E109" s="133"/>
      <c r="F109" s="220"/>
      <c r="G109" s="220"/>
      <c r="H109" s="220"/>
      <c r="I109" s="220"/>
      <c r="J109" s="220"/>
      <c r="K109" s="220"/>
      <c r="L109" s="180"/>
      <c r="M109" s="133"/>
      <c r="N109" s="133"/>
      <c r="O109" s="133"/>
      <c r="P109" s="133"/>
      <c r="Q109" s="133"/>
      <c r="R109" s="133"/>
      <c r="S109" s="133"/>
      <c r="T109" s="133"/>
      <c r="U109" s="133"/>
      <c r="V109" s="238" t="s">
        <v>1700</v>
      </c>
      <c r="W109" s="238" t="s">
        <v>1701</v>
      </c>
      <c r="X109" s="220">
        <f>'SS INPUT'!D335</f>
        <v>14758.9</v>
      </c>
      <c r="Y109" s="220">
        <f>'SS INPUT'!E335</f>
        <v>15049.5</v>
      </c>
      <c r="Z109" s="220">
        <f>'SS INPUT'!F335</f>
        <v>290.60000000000036</v>
      </c>
      <c r="AA109" s="220">
        <f>'SS INPUT'!G335</f>
        <v>1333.3330000000001</v>
      </c>
      <c r="AB109" s="220">
        <f>'SS INPUT'!H335</f>
        <v>387466.56980000052</v>
      </c>
      <c r="AC109" s="220">
        <f>'SS INPUT'!I335</f>
        <v>0</v>
      </c>
      <c r="AD109" s="220">
        <f>'SS INPUT'!J335</f>
        <v>387466.56980000052</v>
      </c>
      <c r="AE109" s="133"/>
      <c r="AF109" s="133"/>
      <c r="AG109" s="133"/>
      <c r="AH109" s="133"/>
      <c r="AI109" s="133"/>
    </row>
    <row r="110" spans="1:35">
      <c r="A110" s="238">
        <v>108</v>
      </c>
      <c r="B110" s="238" t="s">
        <v>82</v>
      </c>
      <c r="C110" s="238" t="s">
        <v>1068</v>
      </c>
      <c r="D110" s="133"/>
      <c r="E110" s="133"/>
      <c r="F110" s="220"/>
      <c r="G110" s="220"/>
      <c r="H110" s="220"/>
      <c r="I110" s="220"/>
      <c r="J110" s="220"/>
      <c r="K110" s="220"/>
      <c r="L110" s="180"/>
      <c r="M110" s="133"/>
      <c r="N110" s="133"/>
      <c r="O110" s="133"/>
      <c r="P110" s="133"/>
      <c r="Q110" s="133"/>
      <c r="R110" s="133"/>
      <c r="S110" s="133"/>
      <c r="T110" s="133"/>
      <c r="U110" s="133"/>
      <c r="V110" s="238" t="s">
        <v>1702</v>
      </c>
      <c r="W110" s="238" t="s">
        <v>1703</v>
      </c>
      <c r="X110" s="220">
        <f>'SS INPUT'!D336</f>
        <v>22698.5</v>
      </c>
      <c r="Y110" s="220">
        <f>'SS INPUT'!E336</f>
        <v>23011.5</v>
      </c>
      <c r="Z110" s="220">
        <f>'SS INPUT'!F336</f>
        <v>313</v>
      </c>
      <c r="AA110" s="220">
        <f>'SS INPUT'!G336</f>
        <v>2000</v>
      </c>
      <c r="AB110" s="220">
        <f>'SS INPUT'!H336</f>
        <v>626000</v>
      </c>
      <c r="AC110" s="220">
        <f>'SS INPUT'!I336</f>
        <v>0</v>
      </c>
      <c r="AD110" s="220">
        <f>'SS INPUT'!J336</f>
        <v>626000</v>
      </c>
      <c r="AE110" s="133"/>
      <c r="AF110" s="133"/>
      <c r="AG110" s="133"/>
      <c r="AH110" s="133"/>
      <c r="AI110" s="133"/>
    </row>
    <row r="111" spans="1:35">
      <c r="A111" s="238">
        <v>109</v>
      </c>
      <c r="B111" s="238" t="s">
        <v>82</v>
      </c>
      <c r="C111" s="238" t="s">
        <v>1068</v>
      </c>
      <c r="D111" s="133"/>
      <c r="E111" s="133"/>
      <c r="F111" s="220"/>
      <c r="G111" s="220"/>
      <c r="H111" s="220"/>
      <c r="I111" s="220"/>
      <c r="J111" s="220"/>
      <c r="K111" s="220"/>
      <c r="L111" s="180"/>
      <c r="M111" s="133"/>
      <c r="N111" s="133"/>
      <c r="O111" s="133"/>
      <c r="P111" s="133"/>
      <c r="Q111" s="133"/>
      <c r="R111" s="133"/>
      <c r="S111" s="133"/>
      <c r="T111" s="133"/>
      <c r="U111" s="133"/>
      <c r="V111" s="238" t="s">
        <v>1067</v>
      </c>
      <c r="W111" s="238" t="s">
        <v>1704</v>
      </c>
      <c r="X111" s="220">
        <f>'SS INPUT'!D337</f>
        <v>47806.9</v>
      </c>
      <c r="Y111" s="220">
        <f>'SS INPUT'!E337</f>
        <v>48189.4</v>
      </c>
      <c r="Z111" s="220">
        <f>'SS INPUT'!F337</f>
        <v>382.5</v>
      </c>
      <c r="AA111" s="220">
        <f>'SS INPUT'!G337</f>
        <v>1000</v>
      </c>
      <c r="AB111" s="220">
        <f>'SS INPUT'!H337</f>
        <v>382500</v>
      </c>
      <c r="AC111" s="220">
        <f>'SS INPUT'!I337</f>
        <v>0</v>
      </c>
      <c r="AD111" s="220">
        <f>'SS INPUT'!J337</f>
        <v>382500</v>
      </c>
      <c r="AE111" s="133"/>
      <c r="AF111" s="133"/>
      <c r="AG111" s="133"/>
      <c r="AH111" s="133"/>
      <c r="AI111" s="133"/>
    </row>
    <row r="112" spans="1:35">
      <c r="A112" s="238">
        <v>110</v>
      </c>
      <c r="B112" s="238" t="s">
        <v>82</v>
      </c>
      <c r="C112" s="238" t="s">
        <v>1078</v>
      </c>
      <c r="D112" s="734" t="s">
        <v>1707</v>
      </c>
      <c r="E112" s="734" t="s">
        <v>1708</v>
      </c>
      <c r="F112" s="296">
        <f>'SS INPUT'!D341</f>
        <v>404647.7</v>
      </c>
      <c r="G112" s="296">
        <f>'SS INPUT'!E341</f>
        <v>405663</v>
      </c>
      <c r="H112" s="296">
        <f>'SS INPUT'!F341</f>
        <v>1015.2999999999884</v>
      </c>
      <c r="I112" s="296">
        <f>'SS INPUT'!G341</f>
        <v>2000</v>
      </c>
      <c r="J112" s="296">
        <f>'SS INPUT'!H341</f>
        <v>2030599.9999999767</v>
      </c>
      <c r="K112" s="296">
        <f>'SS INPUT'!I341</f>
        <v>0</v>
      </c>
      <c r="L112" s="180">
        <f>'SS INPUT'!J341</f>
        <v>2030599.9999999767</v>
      </c>
      <c r="M112" s="734" t="s">
        <v>1714</v>
      </c>
      <c r="N112" s="734" t="s">
        <v>1715</v>
      </c>
      <c r="O112" s="314">
        <f>'SS INPUT'!D346</f>
        <v>377084.2</v>
      </c>
      <c r="P112" s="314">
        <f>'SS INPUT'!E346</f>
        <v>377910.6</v>
      </c>
      <c r="Q112" s="314">
        <f>'SS INPUT'!F346</f>
        <v>826.39999999996508</v>
      </c>
      <c r="R112" s="314">
        <f>'SS INPUT'!G346</f>
        <v>2000</v>
      </c>
      <c r="S112" s="314">
        <f>'SS INPUT'!H346</f>
        <v>1652799.9999999302</v>
      </c>
      <c r="T112" s="314">
        <f>'SS INPUT'!I346</f>
        <v>0</v>
      </c>
      <c r="U112" s="149">
        <f>'SS INPUT'!J346</f>
        <v>1652799.9999999302</v>
      </c>
      <c r="V112" s="238" t="s">
        <v>1310</v>
      </c>
      <c r="W112" s="238" t="s">
        <v>1720</v>
      </c>
      <c r="X112" s="296">
        <f>'SS INPUT'!D352</f>
        <v>135618.1</v>
      </c>
      <c r="Y112" s="296">
        <f>'SS INPUT'!E352</f>
        <v>136014.70000000001</v>
      </c>
      <c r="Z112" s="296">
        <f>'SS INPUT'!F352</f>
        <v>396.60000000000582</v>
      </c>
      <c r="AA112" s="296">
        <f>'SS INPUT'!G352</f>
        <v>2000</v>
      </c>
      <c r="AB112" s="180">
        <f>'SS INPUT'!H352</f>
        <v>793200.00000001164</v>
      </c>
      <c r="AC112" s="180">
        <f>'SS INPUT'!I352</f>
        <v>0</v>
      </c>
      <c r="AD112" s="180">
        <f>'SS INPUT'!J352</f>
        <v>793200.00000001164</v>
      </c>
      <c r="AE112" s="133"/>
      <c r="AF112" s="133"/>
      <c r="AG112" s="133"/>
      <c r="AH112" s="133"/>
      <c r="AI112" s="133"/>
    </row>
    <row r="113" spans="1:35">
      <c r="A113" s="238">
        <v>111</v>
      </c>
      <c r="B113" s="238" t="s">
        <v>82</v>
      </c>
      <c r="C113" s="238" t="s">
        <v>1078</v>
      </c>
      <c r="D113" s="734" t="s">
        <v>1709</v>
      </c>
      <c r="E113" s="734" t="s">
        <v>2111</v>
      </c>
      <c r="F113" s="296">
        <f>'SS INPUT'!D342</f>
        <v>6501.2</v>
      </c>
      <c r="G113" s="296">
        <f>'SS INPUT'!E342</f>
        <v>6501.2</v>
      </c>
      <c r="H113" s="296">
        <f>'SS INPUT'!F342</f>
        <v>0</v>
      </c>
      <c r="I113" s="296">
        <f>'SS INPUT'!G342</f>
        <v>800</v>
      </c>
      <c r="J113" s="296">
        <f>'SS INPUT'!H342</f>
        <v>0</v>
      </c>
      <c r="K113" s="296">
        <f>'SS INPUT'!I342</f>
        <v>7225000</v>
      </c>
      <c r="L113" s="180">
        <f>'SS INPUT'!J342</f>
        <v>7225000</v>
      </c>
      <c r="M113" s="734" t="s">
        <v>1716</v>
      </c>
      <c r="N113" s="734">
        <v>3743638</v>
      </c>
      <c r="O113" s="314">
        <f>'SS INPUT'!D347</f>
        <v>424278.9</v>
      </c>
      <c r="P113" s="314">
        <f>'SS INPUT'!E347</f>
        <v>424278.9</v>
      </c>
      <c r="Q113" s="314">
        <f>'SS INPUT'!F347</f>
        <v>0</v>
      </c>
      <c r="R113" s="314">
        <f>'SS INPUT'!G347</f>
        <v>40</v>
      </c>
      <c r="S113" s="314">
        <f>'SS INPUT'!H347</f>
        <v>0</v>
      </c>
      <c r="T113" s="314">
        <f>'SS INPUT'!I347</f>
        <v>659770.00000000163</v>
      </c>
      <c r="U113" s="149">
        <f>'SS INPUT'!J347</f>
        <v>659770.00000000163</v>
      </c>
      <c r="V113" s="734" t="s">
        <v>1721</v>
      </c>
      <c r="W113" s="238">
        <v>3300079</v>
      </c>
      <c r="X113" s="296">
        <f>'SS INPUT'!D353</f>
        <v>82645</v>
      </c>
      <c r="Y113" s="296">
        <f>'SS INPUT'!E353</f>
        <v>100783.8</v>
      </c>
      <c r="Z113" s="296">
        <f>'SS INPUT'!F353</f>
        <v>20149.900000000001</v>
      </c>
      <c r="AA113" s="296">
        <f>'SS INPUT'!G353</f>
        <v>20</v>
      </c>
      <c r="AB113" s="180">
        <f>'SS INPUT'!H353</f>
        <v>402998</v>
      </c>
      <c r="AC113" s="180">
        <f>'SS INPUT'!I353</f>
        <v>0</v>
      </c>
      <c r="AD113" s="180">
        <f>'SS INPUT'!J353</f>
        <v>402998</v>
      </c>
      <c r="AE113" s="133"/>
      <c r="AF113" s="133"/>
      <c r="AG113" s="133"/>
      <c r="AH113" s="133"/>
      <c r="AI113" s="133"/>
    </row>
    <row r="114" spans="1:35">
      <c r="A114" s="238">
        <v>112</v>
      </c>
      <c r="B114" s="238" t="s">
        <v>82</v>
      </c>
      <c r="C114" s="238" t="s">
        <v>1078</v>
      </c>
      <c r="D114" s="734" t="s">
        <v>1707</v>
      </c>
      <c r="E114" s="238" t="s">
        <v>1708</v>
      </c>
      <c r="F114" s="296">
        <f>'SS INPUT'!D343</f>
        <v>28348</v>
      </c>
      <c r="G114" s="296">
        <f>'SS INPUT'!E343</f>
        <v>28348</v>
      </c>
      <c r="H114" s="296">
        <f>'SS INPUT'!F343</f>
        <v>0</v>
      </c>
      <c r="I114" s="296">
        <f>'SS INPUT'!G343</f>
        <v>800</v>
      </c>
      <c r="J114" s="296">
        <f>'SS INPUT'!H343</f>
        <v>0</v>
      </c>
      <c r="K114" s="296">
        <f>'SS INPUT'!I343</f>
        <v>0</v>
      </c>
      <c r="L114" s="180">
        <f>'SS INPUT'!J343</f>
        <v>0</v>
      </c>
      <c r="M114" s="734" t="s">
        <v>1717</v>
      </c>
      <c r="N114" s="734" t="s">
        <v>1718</v>
      </c>
      <c r="O114" s="314">
        <f>'SS INPUT'!D348</f>
        <v>205488.1</v>
      </c>
      <c r="P114" s="314">
        <f>'SS INPUT'!E348</f>
        <v>207654</v>
      </c>
      <c r="Q114" s="314">
        <f>'SS INPUT'!F348</f>
        <v>2165.8999999999942</v>
      </c>
      <c r="R114" s="314">
        <f>'SS INPUT'!G348</f>
        <v>1000</v>
      </c>
      <c r="S114" s="314">
        <f>'SS INPUT'!H348</f>
        <v>2165899.9999999944</v>
      </c>
      <c r="T114" s="314">
        <f>'SS INPUT'!I348</f>
        <v>0</v>
      </c>
      <c r="U114" s="149">
        <f>'SS INPUT'!J348</f>
        <v>2165899.9999999944</v>
      </c>
      <c r="V114" s="734" t="s">
        <v>1722</v>
      </c>
      <c r="W114" s="238" t="s">
        <v>1723</v>
      </c>
      <c r="X114" s="296">
        <f>'SS INPUT'!D354</f>
        <v>11816</v>
      </c>
      <c r="Y114" s="296">
        <f>'SS INPUT'!E354</f>
        <v>11816</v>
      </c>
      <c r="Z114" s="296">
        <f>'SS INPUT'!F354</f>
        <v>0</v>
      </c>
      <c r="AA114" s="296">
        <f>'SS INPUT'!G354</f>
        <v>6000</v>
      </c>
      <c r="AB114" s="180">
        <f>'SS INPUT'!H354</f>
        <v>0</v>
      </c>
      <c r="AC114" s="180">
        <f>'SS INPUT'!I354</f>
        <v>1307492.3076923101</v>
      </c>
      <c r="AD114" s="180">
        <f>'SS INPUT'!J354</f>
        <v>1307492.3076923101</v>
      </c>
      <c r="AE114" s="133"/>
      <c r="AF114" s="133"/>
      <c r="AG114" s="133"/>
      <c r="AH114" s="133"/>
      <c r="AI114" s="133"/>
    </row>
    <row r="115" spans="1:35">
      <c r="A115" s="238">
        <v>113</v>
      </c>
      <c r="B115" s="238" t="s">
        <v>82</v>
      </c>
      <c r="C115" s="238" t="s">
        <v>1078</v>
      </c>
      <c r="D115" s="133"/>
      <c r="E115" s="133"/>
      <c r="F115" s="220"/>
      <c r="G115" s="220"/>
      <c r="H115" s="220"/>
      <c r="I115" s="220"/>
      <c r="J115" s="220"/>
      <c r="K115" s="220"/>
      <c r="L115" s="180"/>
      <c r="M115" s="133"/>
      <c r="N115" s="133"/>
      <c r="O115" s="133"/>
      <c r="P115" s="133"/>
      <c r="Q115" s="133"/>
      <c r="R115" s="133"/>
      <c r="S115" s="133"/>
      <c r="T115" s="133"/>
      <c r="U115" s="133"/>
      <c r="V115" s="734" t="s">
        <v>1724</v>
      </c>
      <c r="W115" s="238" t="s">
        <v>2112</v>
      </c>
      <c r="X115" s="296">
        <f>'SS INPUT'!D355</f>
        <v>895.89</v>
      </c>
      <c r="Y115" s="296">
        <f>'SS INPUT'!E355</f>
        <v>1001.28</v>
      </c>
      <c r="Z115" s="296">
        <f>'SS INPUT'!F355</f>
        <v>105.38999999999999</v>
      </c>
      <c r="AA115" s="296">
        <f>'SS INPUT'!G355</f>
        <v>6000</v>
      </c>
      <c r="AB115" s="180">
        <f>'SS INPUT'!H355</f>
        <v>632339.99999999988</v>
      </c>
      <c r="AC115" s="180">
        <f>'SS INPUT'!I355</f>
        <v>0</v>
      </c>
      <c r="AD115" s="180">
        <f>'SS INPUT'!J355</f>
        <v>632339.99999999988</v>
      </c>
      <c r="AE115" s="133"/>
      <c r="AF115" s="133"/>
      <c r="AG115" s="133"/>
      <c r="AH115" s="133"/>
      <c r="AI115" s="133"/>
    </row>
    <row r="116" spans="1:35">
      <c r="A116" s="238">
        <v>114</v>
      </c>
      <c r="B116" s="238" t="s">
        <v>82</v>
      </c>
      <c r="C116" s="238" t="s">
        <v>1078</v>
      </c>
      <c r="D116" s="133"/>
      <c r="E116" s="133"/>
      <c r="F116" s="220"/>
      <c r="G116" s="220"/>
      <c r="H116" s="220"/>
      <c r="I116" s="220"/>
      <c r="J116" s="220"/>
      <c r="K116" s="220"/>
      <c r="L116" s="180"/>
      <c r="M116" s="133"/>
      <c r="N116" s="133"/>
      <c r="O116" s="133"/>
      <c r="P116" s="133"/>
      <c r="Q116" s="133"/>
      <c r="R116" s="133"/>
      <c r="S116" s="133"/>
      <c r="T116" s="133"/>
      <c r="U116" s="133"/>
      <c r="V116" s="734" t="s">
        <v>1726</v>
      </c>
      <c r="W116" s="238" t="s">
        <v>1727</v>
      </c>
      <c r="X116" s="296">
        <f>'SS INPUT'!D356</f>
        <v>72046.5</v>
      </c>
      <c r="Y116" s="296">
        <f>'SS INPUT'!E356</f>
        <v>72411.3</v>
      </c>
      <c r="Z116" s="296">
        <f>'SS INPUT'!F356</f>
        <v>364.80000000000291</v>
      </c>
      <c r="AA116" s="296">
        <f>'SS INPUT'!G356</f>
        <v>2000</v>
      </c>
      <c r="AB116" s="180">
        <f>'SS INPUT'!H356</f>
        <v>729600.00000000582</v>
      </c>
      <c r="AC116" s="180">
        <f>'SS INPUT'!I356</f>
        <v>0</v>
      </c>
      <c r="AD116" s="180">
        <f>'SS INPUT'!J356</f>
        <v>729600.00000000582</v>
      </c>
      <c r="AE116" s="133"/>
      <c r="AF116" s="133"/>
      <c r="AG116" s="133"/>
      <c r="AH116" s="133"/>
      <c r="AI116" s="133"/>
    </row>
    <row r="117" spans="1:35">
      <c r="A117" s="238">
        <v>115</v>
      </c>
      <c r="B117" s="238" t="s">
        <v>82</v>
      </c>
      <c r="C117" s="238" t="s">
        <v>1078</v>
      </c>
      <c r="D117" s="133"/>
      <c r="E117" s="133"/>
      <c r="F117" s="220"/>
      <c r="G117" s="220"/>
      <c r="H117" s="220"/>
      <c r="I117" s="220"/>
      <c r="J117" s="220"/>
      <c r="K117" s="220"/>
      <c r="L117" s="180"/>
      <c r="M117" s="133"/>
      <c r="N117" s="133"/>
      <c r="O117" s="133"/>
      <c r="P117" s="133"/>
      <c r="Q117" s="133"/>
      <c r="R117" s="133"/>
      <c r="S117" s="133"/>
      <c r="T117" s="133"/>
      <c r="U117" s="133"/>
      <c r="V117" s="734" t="s">
        <v>1728</v>
      </c>
      <c r="W117" s="238" t="s">
        <v>1729</v>
      </c>
      <c r="X117" s="296">
        <f>'SS INPUT'!D357</f>
        <v>3524.5</v>
      </c>
      <c r="Y117" s="296">
        <f>'SS INPUT'!E357</f>
        <v>3636.6</v>
      </c>
      <c r="Z117" s="296">
        <f>'SS INPUT'!F357</f>
        <v>112.09999999999991</v>
      </c>
      <c r="AA117" s="296">
        <f>'SS INPUT'!G357</f>
        <v>6000</v>
      </c>
      <c r="AB117" s="180">
        <f>'SS INPUT'!H357</f>
        <v>672599.99999999942</v>
      </c>
      <c r="AC117" s="180">
        <f>'SS INPUT'!I357</f>
        <v>0</v>
      </c>
      <c r="AD117" s="180">
        <f>'SS INPUT'!J357</f>
        <v>672599.99999999942</v>
      </c>
      <c r="AE117" s="133"/>
      <c r="AF117" s="133"/>
      <c r="AG117" s="133"/>
      <c r="AH117" s="133"/>
      <c r="AI117" s="133"/>
    </row>
    <row r="118" spans="1:35">
      <c r="A118" s="238">
        <v>116</v>
      </c>
      <c r="B118" s="238" t="s">
        <v>82</v>
      </c>
      <c r="C118" s="238" t="s">
        <v>1078</v>
      </c>
      <c r="D118" s="133"/>
      <c r="E118" s="133"/>
      <c r="F118" s="220"/>
      <c r="G118" s="220"/>
      <c r="H118" s="220"/>
      <c r="I118" s="220"/>
      <c r="J118" s="220"/>
      <c r="K118" s="220"/>
      <c r="L118" s="180"/>
      <c r="M118" s="133"/>
      <c r="N118" s="133"/>
      <c r="O118" s="133"/>
      <c r="P118" s="133"/>
      <c r="Q118" s="133"/>
      <c r="R118" s="133"/>
      <c r="S118" s="133"/>
      <c r="T118" s="133"/>
      <c r="U118" s="133"/>
      <c r="V118" s="734" t="s">
        <v>1730</v>
      </c>
      <c r="W118" s="238" t="s">
        <v>1731</v>
      </c>
      <c r="X118" s="296">
        <f>'SS INPUT'!D358</f>
        <v>1815.84</v>
      </c>
      <c r="Y118" s="296">
        <f>'SS INPUT'!E358</f>
        <v>1832.89</v>
      </c>
      <c r="Z118" s="296">
        <f>'SS INPUT'!F358</f>
        <v>17.050000000000182</v>
      </c>
      <c r="AA118" s="296">
        <f>'SS INPUT'!G358</f>
        <v>4000</v>
      </c>
      <c r="AB118" s="180">
        <f>'SS INPUT'!H358</f>
        <v>68200.000000000728</v>
      </c>
      <c r="AC118" s="180">
        <f>'SS INPUT'!I358</f>
        <v>29038.438200000299</v>
      </c>
      <c r="AD118" s="180">
        <f>'SS INPUT'!J358</f>
        <v>97238.438200001023</v>
      </c>
      <c r="AE118" s="133"/>
      <c r="AF118" s="133"/>
      <c r="AG118" s="133"/>
      <c r="AH118" s="133"/>
      <c r="AI118" s="133"/>
    </row>
    <row r="119" spans="1:35">
      <c r="A119" s="238">
        <v>117</v>
      </c>
      <c r="B119" s="238" t="s">
        <v>82</v>
      </c>
      <c r="C119" s="238" t="s">
        <v>1078</v>
      </c>
      <c r="D119" s="133"/>
      <c r="E119" s="133"/>
      <c r="F119" s="220"/>
      <c r="G119" s="220"/>
      <c r="H119" s="220"/>
      <c r="I119" s="220"/>
      <c r="J119" s="220"/>
      <c r="K119" s="220"/>
      <c r="L119" s="180"/>
      <c r="M119" s="133"/>
      <c r="N119" s="133"/>
      <c r="O119" s="133"/>
      <c r="P119" s="133"/>
      <c r="Q119" s="133"/>
      <c r="R119" s="133"/>
      <c r="S119" s="133"/>
      <c r="T119" s="133"/>
      <c r="U119" s="133"/>
      <c r="V119" s="734" t="s">
        <v>1077</v>
      </c>
      <c r="W119" s="238" t="s">
        <v>2113</v>
      </c>
      <c r="X119" s="296">
        <f>'SS INPUT'!D359</f>
        <v>1173.57</v>
      </c>
      <c r="Y119" s="296">
        <f>'SS INPUT'!E359</f>
        <v>1203.8900000000001</v>
      </c>
      <c r="Z119" s="296">
        <f>'SS INPUT'!F359</f>
        <v>30.320000000000164</v>
      </c>
      <c r="AA119" s="296">
        <f>'SS INPUT'!G359</f>
        <v>4000</v>
      </c>
      <c r="AB119" s="180">
        <f>'SS INPUT'!H359</f>
        <v>121280.00000000065</v>
      </c>
      <c r="AC119" s="180">
        <f>'SS INPUT'!I359</f>
        <v>0</v>
      </c>
      <c r="AD119" s="180">
        <f>'SS INPUT'!J359</f>
        <v>121280.00000000065</v>
      </c>
      <c r="AE119" s="133"/>
      <c r="AF119" s="133"/>
      <c r="AG119" s="133"/>
      <c r="AH119" s="133"/>
      <c r="AI119" s="133"/>
    </row>
    <row r="120" spans="1:35">
      <c r="A120" s="238">
        <v>118</v>
      </c>
      <c r="B120" s="238" t="s">
        <v>82</v>
      </c>
      <c r="C120" s="238" t="s">
        <v>2114</v>
      </c>
      <c r="D120" s="734" t="s">
        <v>1714</v>
      </c>
      <c r="E120" s="238" t="s">
        <v>1734</v>
      </c>
      <c r="F120" s="296">
        <f>'SS INPUT'!D362</f>
        <v>171283.8</v>
      </c>
      <c r="G120" s="296">
        <f>'SS INPUT'!E362</f>
        <v>172724.6</v>
      </c>
      <c r="H120" s="296">
        <f>'SS INPUT'!F362</f>
        <v>1440.8000000000175</v>
      </c>
      <c r="I120" s="296">
        <f>'SS INPUT'!G362</f>
        <v>2000</v>
      </c>
      <c r="J120" s="296">
        <f>'SS INPUT'!H362</f>
        <v>2881600.0000000349</v>
      </c>
      <c r="K120" s="296">
        <f>'SS INPUT'!I362</f>
        <v>0</v>
      </c>
      <c r="L120" s="180">
        <f>'SS INPUT'!J362</f>
        <v>2881600.0000000349</v>
      </c>
      <c r="M120" s="734"/>
      <c r="N120" s="238"/>
      <c r="O120" s="133"/>
      <c r="P120" s="133"/>
      <c r="Q120" s="133"/>
      <c r="R120" s="133"/>
      <c r="S120" s="133"/>
      <c r="T120" s="133"/>
      <c r="U120" s="133"/>
      <c r="V120" s="734" t="s">
        <v>1737</v>
      </c>
      <c r="W120" s="238" t="s">
        <v>1738</v>
      </c>
      <c r="X120" s="296">
        <f>'SS INPUT'!D367</f>
        <v>5817.15</v>
      </c>
      <c r="Y120" s="296">
        <f>'SS INPUT'!E367</f>
        <v>5867.46</v>
      </c>
      <c r="Z120" s="296">
        <f>'SS INPUT'!F367</f>
        <v>50.3100000000004</v>
      </c>
      <c r="AA120" s="296">
        <f>'SS INPUT'!G367</f>
        <v>20000</v>
      </c>
      <c r="AB120" s="180">
        <f>'SS INPUT'!H367</f>
        <v>1006200.000000008</v>
      </c>
      <c r="AC120" s="180">
        <f>'SS INPUT'!I367</f>
        <v>0</v>
      </c>
      <c r="AD120" s="180">
        <f>'SS INPUT'!J367</f>
        <v>1006200.000000008</v>
      </c>
      <c r="AE120" s="133"/>
      <c r="AF120" s="133"/>
      <c r="AG120" s="133"/>
      <c r="AH120" s="133"/>
      <c r="AI120" s="133"/>
    </row>
    <row r="121" spans="1:35">
      <c r="A121" s="238">
        <v>119</v>
      </c>
      <c r="B121" s="238" t="s">
        <v>82</v>
      </c>
      <c r="C121" s="238" t="s">
        <v>2114</v>
      </c>
      <c r="D121" s="133"/>
      <c r="E121" s="133"/>
      <c r="F121" s="220"/>
      <c r="G121" s="220"/>
      <c r="H121" s="220"/>
      <c r="I121" s="220"/>
      <c r="J121" s="220"/>
      <c r="K121" s="220"/>
      <c r="L121" s="180"/>
      <c r="M121" s="734"/>
      <c r="N121" s="238"/>
      <c r="O121" s="133"/>
      <c r="P121" s="133"/>
      <c r="Q121" s="133"/>
      <c r="R121" s="133"/>
      <c r="S121" s="133"/>
      <c r="T121" s="133"/>
      <c r="U121" s="133"/>
      <c r="V121" s="734" t="s">
        <v>1739</v>
      </c>
      <c r="W121" s="238" t="s">
        <v>2115</v>
      </c>
      <c r="X121" s="296">
        <f>'SS INPUT'!D368</f>
        <v>1519747</v>
      </c>
      <c r="Y121" s="296">
        <f>'SS INPUT'!E368</f>
        <v>1519747</v>
      </c>
      <c r="Z121" s="296">
        <f>'SS INPUT'!F368</f>
        <v>0</v>
      </c>
      <c r="AA121" s="296">
        <f>'SS INPUT'!G368</f>
        <v>60</v>
      </c>
      <c r="AB121" s="180">
        <f>'SS INPUT'!H368</f>
        <v>0</v>
      </c>
      <c r="AC121" s="180">
        <f>'SS INPUT'!I368</f>
        <v>0</v>
      </c>
      <c r="AD121" s="180">
        <f>'SS INPUT'!J368</f>
        <v>0</v>
      </c>
      <c r="AE121" s="133"/>
      <c r="AF121" s="133"/>
      <c r="AG121" s="133"/>
      <c r="AH121" s="133"/>
      <c r="AI121" s="133"/>
    </row>
    <row r="122" spans="1:35">
      <c r="A122" s="238">
        <v>120</v>
      </c>
      <c r="B122" s="238" t="s">
        <v>82</v>
      </c>
      <c r="C122" s="238" t="s">
        <v>2114</v>
      </c>
      <c r="D122" s="133"/>
      <c r="E122" s="133"/>
      <c r="F122" s="220"/>
      <c r="G122" s="220"/>
      <c r="H122" s="220"/>
      <c r="I122" s="220"/>
      <c r="J122" s="220"/>
      <c r="K122" s="220"/>
      <c r="L122" s="180"/>
      <c r="M122" s="133"/>
      <c r="N122" s="133"/>
      <c r="O122" s="133"/>
      <c r="P122" s="133"/>
      <c r="Q122" s="133"/>
      <c r="R122" s="133"/>
      <c r="S122" s="133"/>
      <c r="T122" s="133"/>
      <c r="U122" s="133"/>
      <c r="V122" s="734" t="s">
        <v>1741</v>
      </c>
      <c r="W122" s="238" t="s">
        <v>1742</v>
      </c>
      <c r="X122" s="296">
        <f>'SS INPUT'!D369</f>
        <v>67652.399999999994</v>
      </c>
      <c r="Y122" s="296">
        <f>'SS INPUT'!E369</f>
        <v>67776.899999999994</v>
      </c>
      <c r="Z122" s="296">
        <f>'SS INPUT'!F369</f>
        <v>124.5</v>
      </c>
      <c r="AA122" s="296">
        <f>'SS INPUT'!G369</f>
        <v>2000</v>
      </c>
      <c r="AB122" s="180">
        <f>'SS INPUT'!H369</f>
        <v>249000</v>
      </c>
      <c r="AC122" s="180">
        <f>'SS INPUT'!I369</f>
        <v>142760.54770001164</v>
      </c>
      <c r="AD122" s="180">
        <f>'SS INPUT'!J369</f>
        <v>391760.54770001164</v>
      </c>
      <c r="AE122" s="133"/>
      <c r="AF122" s="133"/>
      <c r="AG122" s="133"/>
      <c r="AH122" s="133"/>
      <c r="AI122" s="133"/>
    </row>
    <row r="123" spans="1:35">
      <c r="A123" s="238">
        <v>121</v>
      </c>
      <c r="B123" s="238" t="s">
        <v>82</v>
      </c>
      <c r="C123" s="238" t="s">
        <v>2114</v>
      </c>
      <c r="D123" s="133"/>
      <c r="E123" s="133"/>
      <c r="F123" s="220"/>
      <c r="G123" s="220"/>
      <c r="H123" s="220"/>
      <c r="I123" s="220"/>
      <c r="J123" s="220"/>
      <c r="K123" s="220"/>
      <c r="L123" s="180"/>
      <c r="M123" s="133"/>
      <c r="N123" s="133"/>
      <c r="O123" s="133"/>
      <c r="P123" s="133"/>
      <c r="Q123" s="133"/>
      <c r="R123" s="133"/>
      <c r="S123" s="133"/>
      <c r="T123" s="133"/>
      <c r="U123" s="133"/>
      <c r="V123" s="734" t="s">
        <v>1743</v>
      </c>
      <c r="W123" s="238" t="s">
        <v>1744</v>
      </c>
      <c r="X123" s="296">
        <f>'SS INPUT'!D370</f>
        <v>6435.99</v>
      </c>
      <c r="Y123" s="296">
        <f>'SS INPUT'!E370</f>
        <v>6450.76</v>
      </c>
      <c r="Z123" s="296">
        <f>'SS INPUT'!F370</f>
        <v>14.770000000000437</v>
      </c>
      <c r="AA123" s="296">
        <f>'SS INPUT'!G370</f>
        <v>20000</v>
      </c>
      <c r="AB123" s="180">
        <f>'SS INPUT'!H370</f>
        <v>295400.00000000873</v>
      </c>
      <c r="AC123" s="180">
        <f>'SS INPUT'!I370</f>
        <v>0</v>
      </c>
      <c r="AD123" s="180">
        <f>'SS INPUT'!J370</f>
        <v>295400.00000000873</v>
      </c>
      <c r="AE123" s="133"/>
      <c r="AF123" s="133"/>
      <c r="AG123" s="133"/>
      <c r="AH123" s="133"/>
      <c r="AI123" s="133"/>
    </row>
    <row r="124" spans="1:35">
      <c r="A124" s="238">
        <v>122</v>
      </c>
      <c r="B124" s="238" t="s">
        <v>82</v>
      </c>
      <c r="C124" s="238" t="s">
        <v>2116</v>
      </c>
      <c r="D124" s="734" t="s">
        <v>1714</v>
      </c>
      <c r="E124" s="238" t="s">
        <v>1751</v>
      </c>
      <c r="F124" s="296">
        <f>'SS INPUT'!D375</f>
        <v>30318</v>
      </c>
      <c r="G124" s="296">
        <f>'SS INPUT'!E375</f>
        <v>30632</v>
      </c>
      <c r="H124" s="296">
        <f>'SS INPUT'!F375</f>
        <v>314</v>
      </c>
      <c r="I124" s="296">
        <f>'SS INPUT'!G375</f>
        <v>8000</v>
      </c>
      <c r="J124" s="296">
        <f>'SS INPUT'!H375</f>
        <v>2512000</v>
      </c>
      <c r="K124" s="296">
        <f>'SS INPUT'!I375</f>
        <v>3369000</v>
      </c>
      <c r="L124" s="180">
        <f>'SS INPUT'!J375</f>
        <v>5881000</v>
      </c>
      <c r="M124" s="734" t="s">
        <v>1752</v>
      </c>
      <c r="N124" s="238" t="s">
        <v>1734</v>
      </c>
      <c r="O124" s="314">
        <f>'SS INPUT'!D362</f>
        <v>171283.8</v>
      </c>
      <c r="P124" s="314">
        <f>'SS INPUT'!E362</f>
        <v>172724.6</v>
      </c>
      <c r="Q124" s="314">
        <f>'SS INPUT'!F362</f>
        <v>1440.8000000000175</v>
      </c>
      <c r="R124" s="314">
        <f>'SS INPUT'!G362</f>
        <v>2000</v>
      </c>
      <c r="S124" s="314">
        <f>'SS INPUT'!H362</f>
        <v>2881600.0000000349</v>
      </c>
      <c r="T124" s="314">
        <f>'SS INPUT'!I362</f>
        <v>0</v>
      </c>
      <c r="U124" s="149">
        <f>'SS INPUT'!J362</f>
        <v>2881600.0000000349</v>
      </c>
      <c r="V124" s="725" t="s">
        <v>1753</v>
      </c>
      <c r="W124" s="238" t="s">
        <v>1754</v>
      </c>
      <c r="X124" s="296">
        <f>'SS INPUT'!D381</f>
        <v>62862.6</v>
      </c>
      <c r="Y124" s="296">
        <f>'SS INPUT'!E381</f>
        <v>62862.6</v>
      </c>
      <c r="Z124" s="296">
        <f>'SS INPUT'!F381</f>
        <v>0</v>
      </c>
      <c r="AA124" s="296">
        <f>'SS INPUT'!G381</f>
        <v>2000</v>
      </c>
      <c r="AB124" s="180">
        <f>'SS INPUT'!H381</f>
        <v>0</v>
      </c>
      <c r="AC124" s="180">
        <f>'SS INPUT'!I381</f>
        <v>804746.09270000004</v>
      </c>
      <c r="AD124" s="180">
        <f>'SS INPUT'!J381</f>
        <v>804746.09270000004</v>
      </c>
      <c r="AE124" s="133"/>
      <c r="AF124" s="133"/>
      <c r="AG124" s="133"/>
      <c r="AH124" s="133"/>
      <c r="AI124" s="133"/>
    </row>
    <row r="125" spans="1:35">
      <c r="A125" s="238">
        <v>123</v>
      </c>
      <c r="B125" s="238" t="s">
        <v>82</v>
      </c>
      <c r="C125" s="238" t="s">
        <v>2116</v>
      </c>
      <c r="D125" s="133"/>
      <c r="E125" s="133"/>
      <c r="F125" s="220"/>
      <c r="G125" s="220"/>
      <c r="H125" s="220"/>
      <c r="I125" s="220"/>
      <c r="J125" s="220"/>
      <c r="K125" s="220"/>
      <c r="L125" s="180"/>
      <c r="M125" s="133"/>
      <c r="N125" s="133"/>
      <c r="O125" s="133"/>
      <c r="P125" s="133"/>
      <c r="Q125" s="133"/>
      <c r="R125" s="133"/>
      <c r="S125" s="133"/>
      <c r="T125" s="133"/>
      <c r="U125" s="133"/>
      <c r="V125" s="725" t="s">
        <v>1755</v>
      </c>
      <c r="W125" s="238" t="s">
        <v>1756</v>
      </c>
      <c r="X125" s="296">
        <f>'SS INPUT'!D382</f>
        <v>2175.02</v>
      </c>
      <c r="Y125" s="296">
        <f>'SS INPUT'!E382</f>
        <v>2198.75</v>
      </c>
      <c r="Z125" s="296">
        <f>'SS INPUT'!F382</f>
        <v>23.730000000000018</v>
      </c>
      <c r="AA125" s="296">
        <f>'SS INPUT'!G382</f>
        <v>20000</v>
      </c>
      <c r="AB125" s="180">
        <f>'SS INPUT'!H382</f>
        <v>474600.00000000035</v>
      </c>
      <c r="AC125" s="180">
        <f>'SS INPUT'!I382</f>
        <v>0</v>
      </c>
      <c r="AD125" s="180">
        <f>'SS INPUT'!J382</f>
        <v>474600.00000000035</v>
      </c>
      <c r="AE125" s="133"/>
      <c r="AF125" s="133"/>
      <c r="AG125" s="133"/>
      <c r="AH125" s="133"/>
      <c r="AI125" s="133"/>
    </row>
    <row r="126" spans="1:35">
      <c r="A126" s="238">
        <v>124</v>
      </c>
      <c r="B126" s="238" t="s">
        <v>82</v>
      </c>
      <c r="C126" s="238" t="s">
        <v>2116</v>
      </c>
      <c r="D126" s="133"/>
      <c r="E126" s="133"/>
      <c r="F126" s="220"/>
      <c r="G126" s="220"/>
      <c r="H126" s="220"/>
      <c r="I126" s="220"/>
      <c r="J126" s="220"/>
      <c r="K126" s="220"/>
      <c r="L126" s="180"/>
      <c r="M126" s="133"/>
      <c r="N126" s="133"/>
      <c r="O126" s="133"/>
      <c r="P126" s="133"/>
      <c r="Q126" s="133"/>
      <c r="R126" s="133"/>
      <c r="S126" s="133"/>
      <c r="T126" s="133"/>
      <c r="U126" s="133"/>
      <c r="V126" s="725" t="s">
        <v>2117</v>
      </c>
      <c r="W126" s="238">
        <v>3190952</v>
      </c>
      <c r="X126" s="296">
        <f>'SS INPUT'!D372</f>
        <v>55125.1</v>
      </c>
      <c r="Y126" s="296">
        <f>'SS INPUT'!E372</f>
        <v>59278.2</v>
      </c>
      <c r="Z126" s="296">
        <f>'SS INPUT'!F372</f>
        <v>4153.0999999999985</v>
      </c>
      <c r="AA126" s="296">
        <f>'SS INPUT'!G372</f>
        <v>200</v>
      </c>
      <c r="AB126" s="180">
        <f>'SS INPUT'!H372</f>
        <v>830619.99999999977</v>
      </c>
      <c r="AC126" s="180">
        <f>'SS INPUT'!I372</f>
        <v>0</v>
      </c>
      <c r="AD126" s="180">
        <f>'SS INPUT'!J372</f>
        <v>830619.99999999977</v>
      </c>
      <c r="AE126" s="133"/>
      <c r="AF126" s="133"/>
      <c r="AG126" s="133"/>
      <c r="AH126" s="133"/>
      <c r="AI126" s="133"/>
    </row>
    <row r="127" spans="1:35">
      <c r="A127" s="238">
        <v>125</v>
      </c>
      <c r="B127" s="238" t="s">
        <v>82</v>
      </c>
      <c r="C127" s="238" t="s">
        <v>2116</v>
      </c>
      <c r="D127" s="133"/>
      <c r="E127" s="133"/>
      <c r="F127" s="220"/>
      <c r="G127" s="220"/>
      <c r="H127" s="220"/>
      <c r="I127" s="220"/>
      <c r="J127" s="220"/>
      <c r="K127" s="220"/>
      <c r="L127" s="180"/>
      <c r="M127" s="133"/>
      <c r="N127" s="133"/>
      <c r="O127" s="133"/>
      <c r="P127" s="133"/>
      <c r="Q127" s="133"/>
      <c r="R127" s="133"/>
      <c r="S127" s="133"/>
      <c r="T127" s="133"/>
      <c r="U127" s="133"/>
      <c r="V127" s="725" t="s">
        <v>1758</v>
      </c>
      <c r="W127" s="238" t="s">
        <v>1637</v>
      </c>
      <c r="X127" s="296">
        <f>'SS INPUT'!D385</f>
        <v>29239.9</v>
      </c>
      <c r="Y127" s="296">
        <f>'SS INPUT'!E385</f>
        <v>31666.9</v>
      </c>
      <c r="Z127" s="296">
        <f>'SS INPUT'!F385</f>
        <v>2427</v>
      </c>
      <c r="AA127" s="296">
        <f>'SS INPUT'!G385</f>
        <v>100</v>
      </c>
      <c r="AB127" s="180">
        <f>'SS INPUT'!H385</f>
        <v>242700</v>
      </c>
      <c r="AC127" s="180">
        <f>'SS INPUT'!I385</f>
        <v>0</v>
      </c>
      <c r="AD127" s="180">
        <f>'SS INPUT'!J385</f>
        <v>242700</v>
      </c>
      <c r="AE127" s="133"/>
      <c r="AF127" s="133"/>
      <c r="AG127" s="133"/>
      <c r="AH127" s="133"/>
      <c r="AI127" s="133"/>
    </row>
    <row r="128" spans="1:35">
      <c r="A128" s="238">
        <v>126</v>
      </c>
      <c r="B128" s="238" t="s">
        <v>82</v>
      </c>
      <c r="C128" s="238" t="s">
        <v>2116</v>
      </c>
      <c r="D128" s="133"/>
      <c r="E128" s="133"/>
      <c r="F128" s="220"/>
      <c r="G128" s="220"/>
      <c r="H128" s="220"/>
      <c r="I128" s="220"/>
      <c r="J128" s="220"/>
      <c r="K128" s="220"/>
      <c r="L128" s="180"/>
      <c r="M128" s="133"/>
      <c r="N128" s="133"/>
      <c r="O128" s="133"/>
      <c r="P128" s="133"/>
      <c r="Q128" s="133"/>
      <c r="R128" s="133"/>
      <c r="S128" s="133"/>
      <c r="T128" s="133"/>
      <c r="U128" s="133"/>
      <c r="V128" s="725" t="s">
        <v>1760</v>
      </c>
      <c r="W128" s="238" t="s">
        <v>1786</v>
      </c>
      <c r="X128" s="296">
        <f>'SS INPUT'!D386</f>
        <v>65203.6</v>
      </c>
      <c r="Y128" s="296">
        <f>'SS INPUT'!E386</f>
        <v>70706.8</v>
      </c>
      <c r="Z128" s="296">
        <f>'SS INPUT'!F386</f>
        <v>5503.2000000000044</v>
      </c>
      <c r="AA128" s="296">
        <f>'SS INPUT'!G386</f>
        <v>100</v>
      </c>
      <c r="AB128" s="180">
        <f>'SS INPUT'!H386</f>
        <v>550320.00000000047</v>
      </c>
      <c r="AC128" s="180">
        <f>'SS INPUT'!I386</f>
        <v>0</v>
      </c>
      <c r="AD128" s="180">
        <f>'SS INPUT'!J386</f>
        <v>550320.00000000047</v>
      </c>
      <c r="AE128" s="133"/>
      <c r="AF128" s="133"/>
      <c r="AG128" s="133"/>
      <c r="AH128" s="133"/>
      <c r="AI128" s="133"/>
    </row>
    <row r="129" spans="1:35">
      <c r="A129" s="238">
        <v>127</v>
      </c>
      <c r="B129" s="238" t="s">
        <v>82</v>
      </c>
      <c r="C129" s="238" t="s">
        <v>167</v>
      </c>
      <c r="D129" s="238" t="s">
        <v>1763</v>
      </c>
      <c r="E129" s="238" t="s">
        <v>1764</v>
      </c>
      <c r="F129" s="296">
        <f>'SS INPUT'!D389</f>
        <v>161221.70000000001</v>
      </c>
      <c r="G129" s="296">
        <f>'SS INPUT'!E389</f>
        <v>162285.1</v>
      </c>
      <c r="H129" s="296">
        <f>'SS INPUT'!F389</f>
        <v>1063.3999999999942</v>
      </c>
      <c r="I129" s="296">
        <f>'SS INPUT'!G389</f>
        <v>1000</v>
      </c>
      <c r="J129" s="296">
        <f>'SS INPUT'!H389</f>
        <v>1063399.9999999942</v>
      </c>
      <c r="K129" s="296">
        <f>'SS INPUT'!I389</f>
        <v>0</v>
      </c>
      <c r="L129" s="180">
        <f>'SS INPUT'!J389</f>
        <v>1063399.9999999942</v>
      </c>
      <c r="M129" s="133"/>
      <c r="N129" s="133"/>
      <c r="O129" s="133"/>
      <c r="P129" s="133"/>
      <c r="Q129" s="133"/>
      <c r="R129" s="133"/>
      <c r="S129" s="133"/>
      <c r="T129" s="133"/>
      <c r="U129" s="133"/>
      <c r="V129" s="238" t="s">
        <v>167</v>
      </c>
      <c r="W129" s="238" t="s">
        <v>1768</v>
      </c>
      <c r="X129" s="296">
        <f>'SS INPUT'!D393</f>
        <v>60014.71</v>
      </c>
      <c r="Y129" s="296">
        <f>'SS INPUT'!E393</f>
        <v>60541.56</v>
      </c>
      <c r="Z129" s="296">
        <f>'SS INPUT'!F393</f>
        <v>526.84999999999854</v>
      </c>
      <c r="AA129" s="296">
        <f>'SS INPUT'!G393</f>
        <v>3000</v>
      </c>
      <c r="AB129" s="180">
        <f>'SS INPUT'!H393</f>
        <v>1580549.9999999956</v>
      </c>
      <c r="AC129" s="180">
        <f>'SS INPUT'!I393</f>
        <v>0</v>
      </c>
      <c r="AD129" s="180">
        <f>'SS INPUT'!J393</f>
        <v>1580549.9999999956</v>
      </c>
      <c r="AE129" s="133"/>
      <c r="AF129" s="133"/>
      <c r="AG129" s="133"/>
      <c r="AH129" s="133"/>
      <c r="AI129" s="133"/>
    </row>
    <row r="130" spans="1:35">
      <c r="A130" s="238">
        <v>128</v>
      </c>
      <c r="B130" s="238" t="s">
        <v>82</v>
      </c>
      <c r="C130" s="238" t="s">
        <v>167</v>
      </c>
      <c r="D130" s="238" t="s">
        <v>1765</v>
      </c>
      <c r="E130" s="238" t="s">
        <v>1766</v>
      </c>
      <c r="F130" s="296">
        <f>'SS INPUT'!D390</f>
        <v>597377.5</v>
      </c>
      <c r="G130" s="296">
        <f>'SS INPUT'!E390</f>
        <v>615837</v>
      </c>
      <c r="H130" s="296">
        <f>'SS INPUT'!F390</f>
        <v>18459.5</v>
      </c>
      <c r="I130" s="296">
        <f>'SS INPUT'!G390</f>
        <v>90</v>
      </c>
      <c r="J130" s="296">
        <f>'SS INPUT'!H390</f>
        <v>1661355</v>
      </c>
      <c r="K130" s="296">
        <f>'SS INPUT'!I390</f>
        <v>620000</v>
      </c>
      <c r="L130" s="180">
        <f>'SS INPUT'!J390</f>
        <v>2281355</v>
      </c>
      <c r="M130" s="133"/>
      <c r="N130" s="133"/>
      <c r="O130" s="133"/>
      <c r="P130" s="133"/>
      <c r="Q130" s="133"/>
      <c r="R130" s="133"/>
      <c r="S130" s="133"/>
      <c r="T130" s="133"/>
      <c r="U130" s="133"/>
      <c r="V130" s="238" t="s">
        <v>1769</v>
      </c>
      <c r="W130" s="238" t="s">
        <v>1770</v>
      </c>
      <c r="X130" s="296">
        <f>'SS INPUT'!D394</f>
        <v>46104.77</v>
      </c>
      <c r="Y130" s="296">
        <f>'SS INPUT'!E394</f>
        <v>46526.19</v>
      </c>
      <c r="Z130" s="296">
        <f>'SS INPUT'!F394</f>
        <v>421.42000000000553</v>
      </c>
      <c r="AA130" s="296">
        <f>'SS INPUT'!G394</f>
        <v>1500</v>
      </c>
      <c r="AB130" s="180">
        <f>'SS INPUT'!H394</f>
        <v>632130.00000000827</v>
      </c>
      <c r="AC130" s="180">
        <f>'SS INPUT'!I394</f>
        <v>0</v>
      </c>
      <c r="AD130" s="180">
        <f>'SS INPUT'!J394</f>
        <v>632130.00000000827</v>
      </c>
      <c r="AE130" s="133"/>
      <c r="AF130" s="133"/>
      <c r="AG130" s="133"/>
      <c r="AH130" s="133"/>
      <c r="AI130" s="133"/>
    </row>
    <row r="131" spans="1:35">
      <c r="A131" s="238">
        <v>129</v>
      </c>
      <c r="B131" s="238" t="s">
        <v>82</v>
      </c>
      <c r="C131" s="238" t="s">
        <v>167</v>
      </c>
      <c r="D131" s="133"/>
      <c r="E131" s="133"/>
      <c r="F131" s="220"/>
      <c r="G131" s="220"/>
      <c r="H131" s="220"/>
      <c r="I131" s="220"/>
      <c r="J131" s="220"/>
      <c r="K131" s="220"/>
      <c r="L131" s="180"/>
      <c r="M131" s="133"/>
      <c r="N131" s="133"/>
      <c r="O131" s="133"/>
      <c r="P131" s="133"/>
      <c r="Q131" s="133"/>
      <c r="R131" s="133"/>
      <c r="S131" s="133"/>
      <c r="T131" s="133"/>
      <c r="U131" s="133"/>
      <c r="V131" s="238" t="s">
        <v>1771</v>
      </c>
      <c r="W131" s="238" t="s">
        <v>1772</v>
      </c>
      <c r="X131" s="296">
        <f>'SS INPUT'!D395</f>
        <v>46857.5</v>
      </c>
      <c r="Y131" s="296">
        <f>'SS INPUT'!E395</f>
        <v>47294.2</v>
      </c>
      <c r="Z131" s="296">
        <f>'SS INPUT'!F395</f>
        <v>436.69999999999709</v>
      </c>
      <c r="AA131" s="296">
        <f>'SS INPUT'!G395</f>
        <v>2000</v>
      </c>
      <c r="AB131" s="180">
        <f>'SS INPUT'!H395</f>
        <v>873399.99999999418</v>
      </c>
      <c r="AC131" s="180">
        <f>'SS INPUT'!I395</f>
        <v>0</v>
      </c>
      <c r="AD131" s="180">
        <f>'SS INPUT'!J395</f>
        <v>873399.99999999418</v>
      </c>
      <c r="AE131" s="133"/>
      <c r="AF131" s="133"/>
      <c r="AG131" s="133"/>
      <c r="AH131" s="133"/>
      <c r="AI131" s="133"/>
    </row>
    <row r="132" spans="1:35">
      <c r="A132" s="238">
        <v>130</v>
      </c>
      <c r="B132" s="238" t="s">
        <v>82</v>
      </c>
      <c r="C132" s="238" t="s">
        <v>167</v>
      </c>
      <c r="D132" s="133"/>
      <c r="E132" s="133"/>
      <c r="F132" s="220"/>
      <c r="G132" s="220"/>
      <c r="H132" s="220"/>
      <c r="I132" s="220"/>
      <c r="J132" s="220"/>
      <c r="K132" s="220"/>
      <c r="L132" s="180"/>
      <c r="M132" s="133"/>
      <c r="N132" s="133"/>
      <c r="O132" s="133"/>
      <c r="P132" s="133"/>
      <c r="Q132" s="133"/>
      <c r="R132" s="133"/>
      <c r="S132" s="133"/>
      <c r="T132" s="133"/>
      <c r="U132" s="133"/>
      <c r="V132" s="238" t="s">
        <v>1773</v>
      </c>
      <c r="W132" s="238" t="s">
        <v>1774</v>
      </c>
      <c r="X132" s="296">
        <f>'SS INPUT'!D396</f>
        <v>60935.7</v>
      </c>
      <c r="Y132" s="296">
        <f>'SS INPUT'!E396</f>
        <v>61070.1</v>
      </c>
      <c r="Z132" s="296">
        <f>'SS INPUT'!F396</f>
        <v>134.40000000000146</v>
      </c>
      <c r="AA132" s="296">
        <f>'SS INPUT'!G396</f>
        <v>1000</v>
      </c>
      <c r="AB132" s="180">
        <f>'SS INPUT'!H396</f>
        <v>134400.00000000146</v>
      </c>
      <c r="AC132" s="180">
        <f>'SS INPUT'!I396</f>
        <v>75000</v>
      </c>
      <c r="AD132" s="180">
        <f>'SS INPUT'!J396</f>
        <v>209400.00000000146</v>
      </c>
      <c r="AE132" s="133"/>
      <c r="AF132" s="133"/>
      <c r="AG132" s="133"/>
      <c r="AH132" s="133"/>
      <c r="AI132" s="133"/>
    </row>
    <row r="133" spans="1:35">
      <c r="A133" s="238">
        <v>131</v>
      </c>
      <c r="B133" s="238" t="s">
        <v>82</v>
      </c>
      <c r="C133" s="238" t="s">
        <v>1328</v>
      </c>
      <c r="D133" s="238" t="s">
        <v>1776</v>
      </c>
      <c r="E133" s="238" t="s">
        <v>1777</v>
      </c>
      <c r="F133" s="296">
        <f>'SS INPUT'!D399</f>
        <v>41327.5</v>
      </c>
      <c r="G133" s="296">
        <f>'SS INPUT'!E399</f>
        <v>41658.5</v>
      </c>
      <c r="H133" s="296">
        <f>'SS INPUT'!F399</f>
        <v>331</v>
      </c>
      <c r="I133" s="296">
        <f>'SS INPUT'!G399</f>
        <v>8000</v>
      </c>
      <c r="J133" s="296">
        <f>'SS INPUT'!H399</f>
        <v>2648000</v>
      </c>
      <c r="K133" s="296">
        <f>'SS INPUT'!I399</f>
        <v>0</v>
      </c>
      <c r="L133" s="180">
        <f>'SS INPUT'!J399</f>
        <v>2648000</v>
      </c>
      <c r="M133" s="133"/>
      <c r="N133" s="133"/>
      <c r="O133" s="133"/>
      <c r="P133" s="133"/>
      <c r="Q133" s="133"/>
      <c r="R133" s="133"/>
      <c r="S133" s="133"/>
      <c r="T133" s="133"/>
      <c r="U133" s="133"/>
      <c r="V133" s="238" t="s">
        <v>1779</v>
      </c>
      <c r="W133" s="238" t="s">
        <v>1780</v>
      </c>
      <c r="X133" s="296">
        <f>'SS INPUT'!D403</f>
        <v>4375.24</v>
      </c>
      <c r="Y133" s="296">
        <f>'SS INPUT'!E403</f>
        <v>4410.78</v>
      </c>
      <c r="Z133" s="296">
        <f>'SS INPUT'!F403</f>
        <v>35.539999999999964</v>
      </c>
      <c r="AA133" s="296">
        <f>'SS INPUT'!G403</f>
        <v>20000</v>
      </c>
      <c r="AB133" s="180">
        <f>'SS INPUT'!H403</f>
        <v>710799.9999999993</v>
      </c>
      <c r="AC133" s="180">
        <f>'SS INPUT'!I403</f>
        <v>0</v>
      </c>
      <c r="AD133" s="180">
        <f>'SS INPUT'!J403</f>
        <v>710799.9999999993</v>
      </c>
      <c r="AE133" s="133"/>
      <c r="AF133" s="133"/>
      <c r="AG133" s="133"/>
      <c r="AH133" s="133"/>
      <c r="AI133" s="133"/>
    </row>
    <row r="134" spans="1:35">
      <c r="A134" s="238">
        <v>132</v>
      </c>
      <c r="B134" s="238" t="s">
        <v>82</v>
      </c>
      <c r="C134" s="238" t="s">
        <v>1328</v>
      </c>
      <c r="D134" s="238" t="s">
        <v>1776</v>
      </c>
      <c r="E134" s="238" t="s">
        <v>1778</v>
      </c>
      <c r="F134" s="296">
        <f>'SS INPUT'!D400</f>
        <v>55590.400000000001</v>
      </c>
      <c r="G134" s="296">
        <f>'SS INPUT'!E400</f>
        <v>56144</v>
      </c>
      <c r="H134" s="296">
        <f>'SS INPUT'!F400</f>
        <v>553.59999999999854</v>
      </c>
      <c r="I134" s="296">
        <f>'SS INPUT'!G400</f>
        <v>2000</v>
      </c>
      <c r="J134" s="296">
        <f>'SS INPUT'!H400</f>
        <v>1107199.9999999972</v>
      </c>
      <c r="K134" s="296">
        <f>'SS INPUT'!I400</f>
        <v>0</v>
      </c>
      <c r="L134" s="180">
        <f>'SS INPUT'!J400</f>
        <v>1107199.9999999972</v>
      </c>
      <c r="M134" s="133"/>
      <c r="N134" s="133"/>
      <c r="O134" s="133"/>
      <c r="P134" s="133"/>
      <c r="Q134" s="133"/>
      <c r="R134" s="133"/>
      <c r="S134" s="133"/>
      <c r="T134" s="133"/>
      <c r="U134" s="133"/>
      <c r="V134" s="238" t="s">
        <v>1781</v>
      </c>
      <c r="W134" s="238" t="s">
        <v>1782</v>
      </c>
      <c r="X134" s="296">
        <f>'SS INPUT'!D404</f>
        <v>106934.5</v>
      </c>
      <c r="Y134" s="296">
        <f>'SS INPUT'!E404</f>
        <v>108267.5</v>
      </c>
      <c r="Z134" s="296">
        <f>'SS INPUT'!F404</f>
        <v>1333</v>
      </c>
      <c r="AA134" s="296">
        <f>'SS INPUT'!G404</f>
        <v>666.66</v>
      </c>
      <c r="AB134" s="180">
        <f>'SS INPUT'!H404</f>
        <v>888657.77999999991</v>
      </c>
      <c r="AC134" s="180">
        <f>'SS INPUT'!I404</f>
        <v>0</v>
      </c>
      <c r="AD134" s="180">
        <f>'SS INPUT'!J404</f>
        <v>888657.77999999991</v>
      </c>
      <c r="AE134" s="133"/>
      <c r="AF134" s="133"/>
      <c r="AG134" s="133"/>
      <c r="AH134" s="133"/>
      <c r="AI134" s="133"/>
    </row>
    <row r="135" spans="1:35">
      <c r="A135" s="238">
        <v>133</v>
      </c>
      <c r="B135" s="238" t="s">
        <v>82</v>
      </c>
      <c r="C135" s="238" t="s">
        <v>1328</v>
      </c>
      <c r="D135" s="133"/>
      <c r="E135" s="133"/>
      <c r="F135" s="220"/>
      <c r="G135" s="220"/>
      <c r="H135" s="220"/>
      <c r="I135" s="220"/>
      <c r="J135" s="220"/>
      <c r="K135" s="220"/>
      <c r="L135" s="180"/>
      <c r="M135" s="133"/>
      <c r="N135" s="133"/>
      <c r="O135" s="133"/>
      <c r="P135" s="133"/>
      <c r="Q135" s="133"/>
      <c r="R135" s="133"/>
      <c r="S135" s="133"/>
      <c r="T135" s="133"/>
      <c r="U135" s="133"/>
      <c r="V135" s="238" t="s">
        <v>1783</v>
      </c>
      <c r="W135" s="238" t="s">
        <v>1784</v>
      </c>
      <c r="X135" s="296">
        <f>'SS INPUT'!D405</f>
        <v>11946.8</v>
      </c>
      <c r="Y135" s="296">
        <f>'SS INPUT'!E405</f>
        <v>12143.4</v>
      </c>
      <c r="Z135" s="296">
        <f>'SS INPUT'!F405</f>
        <v>196.60000000000036</v>
      </c>
      <c r="AA135" s="296">
        <f>'SS INPUT'!G405</f>
        <v>2000</v>
      </c>
      <c r="AB135" s="180">
        <f>'SS INPUT'!H405</f>
        <v>393200.0000000007</v>
      </c>
      <c r="AC135" s="180">
        <f>'SS INPUT'!I405</f>
        <v>0</v>
      </c>
      <c r="AD135" s="180">
        <f>'SS INPUT'!J405</f>
        <v>393200.0000000007</v>
      </c>
      <c r="AE135" s="133"/>
      <c r="AF135" s="133"/>
      <c r="AG135" s="133"/>
      <c r="AH135" s="133"/>
      <c r="AI135" s="133"/>
    </row>
    <row r="136" spans="1:35">
      <c r="A136" s="238">
        <v>134</v>
      </c>
      <c r="B136" s="238" t="s">
        <v>82</v>
      </c>
      <c r="C136" s="238" t="s">
        <v>1328</v>
      </c>
      <c r="D136" s="133"/>
      <c r="E136" s="133"/>
      <c r="F136" s="220"/>
      <c r="G136" s="220"/>
      <c r="H136" s="220"/>
      <c r="I136" s="220"/>
      <c r="J136" s="220"/>
      <c r="K136" s="220"/>
      <c r="L136" s="180"/>
      <c r="M136" s="133"/>
      <c r="N136" s="133"/>
      <c r="O136" s="133"/>
      <c r="P136" s="133"/>
      <c r="Q136" s="133"/>
      <c r="R136" s="133"/>
      <c r="S136" s="133"/>
      <c r="T136" s="133"/>
      <c r="U136" s="133"/>
      <c r="V136" s="238" t="s">
        <v>1785</v>
      </c>
      <c r="W136" s="238" t="s">
        <v>1838</v>
      </c>
      <c r="X136" s="296">
        <f>'SS INPUT'!D406</f>
        <v>2811.85</v>
      </c>
      <c r="Y136" s="296">
        <f>'SS INPUT'!E406</f>
        <v>2842.16</v>
      </c>
      <c r="Z136" s="296">
        <f>'SS INPUT'!F406</f>
        <v>30.309999999999945</v>
      </c>
      <c r="AA136" s="296">
        <f>'SS INPUT'!G406</f>
        <v>20000</v>
      </c>
      <c r="AB136" s="180">
        <f>'SS INPUT'!H406</f>
        <v>606199.99999999895</v>
      </c>
      <c r="AC136" s="180">
        <f>'SS INPUT'!I406</f>
        <v>0</v>
      </c>
      <c r="AD136" s="180">
        <f>'SS INPUT'!J406</f>
        <v>606199.99999999895</v>
      </c>
      <c r="AE136" s="133"/>
      <c r="AF136" s="133"/>
      <c r="AG136" s="133"/>
      <c r="AH136" s="133"/>
      <c r="AI136" s="133"/>
    </row>
    <row r="137" spans="1:35">
      <c r="A137" s="238">
        <v>135</v>
      </c>
      <c r="B137" s="238" t="s">
        <v>82</v>
      </c>
      <c r="C137" s="238" t="s">
        <v>1329</v>
      </c>
      <c r="D137" s="238" t="s">
        <v>242</v>
      </c>
      <c r="E137" s="238" t="s">
        <v>1788</v>
      </c>
      <c r="F137" s="296">
        <f>'SS INPUT'!D409</f>
        <v>5208.8999999999996</v>
      </c>
      <c r="G137" s="296">
        <f>'SS INPUT'!E409</f>
        <v>5236.93</v>
      </c>
      <c r="H137" s="296">
        <f>'SS INPUT'!F409</f>
        <v>28.030000000000655</v>
      </c>
      <c r="I137" s="296">
        <f>'SS INPUT'!G409</f>
        <v>80000</v>
      </c>
      <c r="J137" s="296">
        <f>'SS INPUT'!H409</f>
        <v>2242400.0000000522</v>
      </c>
      <c r="K137" s="296">
        <f>'SS INPUT'!I409</f>
        <v>0</v>
      </c>
      <c r="L137" s="180">
        <f>'SS INPUT'!J409</f>
        <v>2242400.0000000522</v>
      </c>
      <c r="M137" s="734" t="s">
        <v>1789</v>
      </c>
      <c r="N137" s="734" t="s">
        <v>321</v>
      </c>
      <c r="O137" s="314">
        <f>'SS INPUT'!D410</f>
        <v>437460</v>
      </c>
      <c r="P137" s="314">
        <f>'SS INPUT'!E410</f>
        <v>439390</v>
      </c>
      <c r="Q137" s="314">
        <f>'SS INPUT'!F410</f>
        <v>1930</v>
      </c>
      <c r="R137" s="314">
        <f>'SS INPUT'!G410</f>
        <v>40</v>
      </c>
      <c r="S137" s="314">
        <f>'SS INPUT'!H410</f>
        <v>77200</v>
      </c>
      <c r="T137" s="314">
        <f>'SS INPUT'!I410</f>
        <v>0</v>
      </c>
      <c r="U137" s="149">
        <f>'SS INPUT'!J410</f>
        <v>77200</v>
      </c>
      <c r="V137" s="734" t="s">
        <v>2118</v>
      </c>
      <c r="W137" s="238" t="s">
        <v>337</v>
      </c>
      <c r="X137" s="296">
        <f>'SS INPUT'!D417</f>
        <v>1489.1</v>
      </c>
      <c r="Y137" s="296">
        <f>'SS INPUT'!E417</f>
        <v>1489.1</v>
      </c>
      <c r="Z137" s="296">
        <f>'SS INPUT'!F417</f>
        <v>0</v>
      </c>
      <c r="AA137" s="296">
        <f>'SS INPUT'!G417</f>
        <v>13333</v>
      </c>
      <c r="AB137" s="180">
        <f>'SS INPUT'!H417</f>
        <v>0</v>
      </c>
      <c r="AC137" s="180">
        <f>'SS INPUT'!I417</f>
        <v>110933</v>
      </c>
      <c r="AD137" s="180">
        <f>'SS INPUT'!J417</f>
        <v>110933</v>
      </c>
      <c r="AE137" s="133"/>
      <c r="AF137" s="133"/>
      <c r="AG137" s="133"/>
      <c r="AH137" s="133"/>
      <c r="AI137" s="133"/>
    </row>
    <row r="138" spans="1:35">
      <c r="A138" s="238">
        <v>136</v>
      </c>
      <c r="B138" s="238" t="s">
        <v>82</v>
      </c>
      <c r="C138" s="238" t="s">
        <v>1329</v>
      </c>
      <c r="D138" s="734" t="s">
        <v>1790</v>
      </c>
      <c r="E138" s="238" t="s">
        <v>321</v>
      </c>
      <c r="F138" s="296">
        <f>'SS INPUT'!D411</f>
        <v>90050</v>
      </c>
      <c r="G138" s="296">
        <f>'SS INPUT'!E411</f>
        <v>90080</v>
      </c>
      <c r="H138" s="296">
        <f>'SS INPUT'!F411</f>
        <v>30</v>
      </c>
      <c r="I138" s="296">
        <f>'SS INPUT'!G411</f>
        <v>40</v>
      </c>
      <c r="J138" s="296">
        <f>'SS INPUT'!H411</f>
        <v>1200</v>
      </c>
      <c r="K138" s="296">
        <f>'SS INPUT'!I411</f>
        <v>0</v>
      </c>
      <c r="L138" s="180">
        <f>'SS INPUT'!J411</f>
        <v>1200</v>
      </c>
      <c r="M138" s="133"/>
      <c r="N138" s="133"/>
      <c r="O138" s="133"/>
      <c r="P138" s="133"/>
      <c r="Q138" s="133"/>
      <c r="R138" s="133"/>
      <c r="S138" s="133"/>
      <c r="T138" s="133"/>
      <c r="U138" s="133"/>
      <c r="V138" s="734" t="s">
        <v>1799</v>
      </c>
      <c r="W138" s="238" t="s">
        <v>1800</v>
      </c>
      <c r="X138" s="296">
        <f>'SS INPUT'!D419</f>
        <v>17648.689999999999</v>
      </c>
      <c r="Y138" s="296">
        <f>'SS INPUT'!E419</f>
        <v>17819.349999999999</v>
      </c>
      <c r="Z138" s="296">
        <f>'SS INPUT'!F419</f>
        <v>170.65999999999985</v>
      </c>
      <c r="AA138" s="296">
        <f>'SS INPUT'!G419</f>
        <v>6666</v>
      </c>
      <c r="AB138" s="180">
        <f>'SS INPUT'!H419</f>
        <v>1137619.5599999991</v>
      </c>
      <c r="AC138" s="180">
        <f>'SS INPUT'!I419</f>
        <v>0</v>
      </c>
      <c r="AD138" s="180">
        <f>'SS INPUT'!J419</f>
        <v>1137619.5599999991</v>
      </c>
      <c r="AE138" s="133"/>
      <c r="AF138" s="133"/>
      <c r="AG138" s="133"/>
      <c r="AH138" s="133"/>
      <c r="AI138" s="133"/>
    </row>
    <row r="139" spans="1:35">
      <c r="A139" s="238">
        <v>137</v>
      </c>
      <c r="B139" s="238" t="s">
        <v>82</v>
      </c>
      <c r="C139" s="238" t="s">
        <v>1329</v>
      </c>
      <c r="D139" s="734" t="s">
        <v>1736</v>
      </c>
      <c r="E139" s="133"/>
      <c r="F139" s="296">
        <f>'SS INPUT'!D414</f>
        <v>0</v>
      </c>
      <c r="G139" s="296">
        <f>'SS INPUT'!E414</f>
        <v>0</v>
      </c>
      <c r="H139" s="296">
        <f>'SS INPUT'!F414</f>
        <v>0</v>
      </c>
      <c r="I139" s="296">
        <f>'SS INPUT'!G414</f>
        <v>0</v>
      </c>
      <c r="J139" s="296">
        <f>'SS INPUT'!H414</f>
        <v>0</v>
      </c>
      <c r="K139" s="296">
        <f>'SS INPUT'!I414</f>
        <v>0</v>
      </c>
      <c r="L139" s="180">
        <f>'SS INPUT'!J414</f>
        <v>0</v>
      </c>
      <c r="M139" s="133"/>
      <c r="N139" s="133"/>
      <c r="O139" s="133"/>
      <c r="P139" s="133"/>
      <c r="Q139" s="133"/>
      <c r="R139" s="133"/>
      <c r="S139" s="133"/>
      <c r="T139" s="133"/>
      <c r="U139" s="133"/>
      <c r="V139" s="726" t="s">
        <v>1801</v>
      </c>
      <c r="W139" s="238" t="s">
        <v>1802</v>
      </c>
      <c r="X139" s="296">
        <f>'SS INPUT'!D420</f>
        <v>178589</v>
      </c>
      <c r="Y139" s="296">
        <f>'SS INPUT'!E420</f>
        <v>184608.5</v>
      </c>
      <c r="Z139" s="296">
        <f>'SS INPUT'!F420</f>
        <v>6019.5</v>
      </c>
      <c r="AA139" s="296">
        <f>'SS INPUT'!G420</f>
        <v>60</v>
      </c>
      <c r="AB139" s="180">
        <f>'SS INPUT'!H420</f>
        <v>361170</v>
      </c>
      <c r="AC139" s="180">
        <f>'SS INPUT'!I420</f>
        <v>74310.435200000007</v>
      </c>
      <c r="AD139" s="180">
        <f>'SS INPUT'!J420</f>
        <v>435480.43520000001</v>
      </c>
      <c r="AE139" s="133"/>
      <c r="AF139" s="133"/>
      <c r="AG139" s="133"/>
      <c r="AH139" s="133"/>
      <c r="AI139" s="133"/>
    </row>
    <row r="140" spans="1:35">
      <c r="A140" s="238">
        <v>138</v>
      </c>
      <c r="B140" s="238" t="s">
        <v>82</v>
      </c>
      <c r="C140" s="238" t="s">
        <v>1812</v>
      </c>
      <c r="D140" s="734" t="s">
        <v>1631</v>
      </c>
      <c r="E140" s="238" t="s">
        <v>1805</v>
      </c>
      <c r="F140" s="296">
        <f>'SS INPUT'!D423</f>
        <v>191166.5</v>
      </c>
      <c r="G140" s="296">
        <f>'SS INPUT'!E423</f>
        <v>192861.5</v>
      </c>
      <c r="H140" s="296">
        <f>'SS INPUT'!F423</f>
        <v>1695</v>
      </c>
      <c r="I140" s="296">
        <f>'SS INPUT'!G423</f>
        <v>1000</v>
      </c>
      <c r="J140" s="296">
        <f>'SS INPUT'!H423</f>
        <v>1695000</v>
      </c>
      <c r="K140" s="296">
        <f>'SS INPUT'!I423</f>
        <v>0</v>
      </c>
      <c r="L140" s="180">
        <f>'SS INPUT'!J423</f>
        <v>1695000</v>
      </c>
      <c r="M140" s="133"/>
      <c r="N140" s="133"/>
      <c r="O140" s="133"/>
      <c r="P140" s="133"/>
      <c r="Q140" s="133"/>
      <c r="R140" s="133"/>
      <c r="S140" s="133"/>
      <c r="T140" s="133"/>
      <c r="U140" s="133"/>
      <c r="V140" s="734" t="s">
        <v>1806</v>
      </c>
      <c r="W140" s="238" t="s">
        <v>1807</v>
      </c>
      <c r="X140" s="296">
        <f>'SS INPUT'!D426</f>
        <v>21515.7</v>
      </c>
      <c r="Y140" s="296">
        <f>'SS INPUT'!E426</f>
        <v>21751.5</v>
      </c>
      <c r="Z140" s="296">
        <f>'SS INPUT'!F426</f>
        <v>235.79999999999927</v>
      </c>
      <c r="AA140" s="296">
        <f>'SS INPUT'!G426</f>
        <v>2000</v>
      </c>
      <c r="AB140" s="180">
        <f>'SS INPUT'!H426</f>
        <v>471599.99999999854</v>
      </c>
      <c r="AC140" s="180">
        <f>'SS INPUT'!I426</f>
        <v>0</v>
      </c>
      <c r="AD140" s="180">
        <f>'SS INPUT'!J426</f>
        <v>471599.99999999854</v>
      </c>
      <c r="AE140" s="133"/>
      <c r="AF140" s="133"/>
      <c r="AG140" s="133"/>
      <c r="AH140" s="133"/>
      <c r="AI140" s="133"/>
    </row>
    <row r="141" spans="1:35">
      <c r="A141" s="238">
        <v>139</v>
      </c>
      <c r="B141" s="238" t="s">
        <v>82</v>
      </c>
      <c r="C141" s="238" t="s">
        <v>1812</v>
      </c>
      <c r="D141" s="133"/>
      <c r="E141" s="133"/>
      <c r="F141" s="220"/>
      <c r="G141" s="220"/>
      <c r="H141" s="220"/>
      <c r="I141" s="220"/>
      <c r="J141" s="220"/>
      <c r="K141" s="220"/>
      <c r="L141" s="180"/>
      <c r="M141" s="133"/>
      <c r="N141" s="133"/>
      <c r="O141" s="133"/>
      <c r="P141" s="133"/>
      <c r="Q141" s="133"/>
      <c r="R141" s="133"/>
      <c r="S141" s="133"/>
      <c r="T141" s="133"/>
      <c r="U141" s="133"/>
      <c r="V141" s="734" t="s">
        <v>1809</v>
      </c>
      <c r="W141" s="238" t="s">
        <v>1810</v>
      </c>
      <c r="X141" s="296">
        <f>'SS INPUT'!D427</f>
        <v>38523.599999999999</v>
      </c>
      <c r="Y141" s="296">
        <f>'SS INPUT'!E427</f>
        <v>38984.300000000003</v>
      </c>
      <c r="Z141" s="296">
        <f>'SS INPUT'!F427</f>
        <v>460.70000000000437</v>
      </c>
      <c r="AA141" s="296">
        <f>'SS INPUT'!G427</f>
        <v>1333.3330000000001</v>
      </c>
      <c r="AB141" s="180">
        <f>'SS INPUT'!H427</f>
        <v>614266.5131000058</v>
      </c>
      <c r="AC141" s="180">
        <f>'SS INPUT'!I427</f>
        <v>0</v>
      </c>
      <c r="AD141" s="180">
        <f>'SS INPUT'!J427</f>
        <v>614266.5131000058</v>
      </c>
      <c r="AE141" s="133"/>
      <c r="AF141" s="133"/>
      <c r="AG141" s="133"/>
      <c r="AH141" s="133"/>
      <c r="AI141" s="133"/>
    </row>
    <row r="142" spans="1:35">
      <c r="A142" s="238">
        <v>140</v>
      </c>
      <c r="B142" s="238" t="s">
        <v>82</v>
      </c>
      <c r="C142" s="238" t="s">
        <v>1812</v>
      </c>
      <c r="D142" s="133"/>
      <c r="E142" s="133"/>
      <c r="F142" s="220"/>
      <c r="G142" s="220"/>
      <c r="H142" s="220"/>
      <c r="I142" s="220"/>
      <c r="J142" s="220"/>
      <c r="K142" s="220"/>
      <c r="L142" s="180"/>
      <c r="M142" s="133"/>
      <c r="N142" s="133"/>
      <c r="O142" s="133"/>
      <c r="P142" s="133"/>
      <c r="Q142" s="133"/>
      <c r="R142" s="133"/>
      <c r="S142" s="133"/>
      <c r="T142" s="133"/>
      <c r="U142" s="133"/>
      <c r="V142" s="734" t="s">
        <v>1812</v>
      </c>
      <c r="W142" s="238" t="s">
        <v>1813</v>
      </c>
      <c r="X142" s="296">
        <f>'SS INPUT'!D428</f>
        <v>31169.5</v>
      </c>
      <c r="Y142" s="296">
        <f>'SS INPUT'!E428</f>
        <v>31457.599999999999</v>
      </c>
      <c r="Z142" s="296">
        <f>'SS INPUT'!F428</f>
        <v>288.09999999999854</v>
      </c>
      <c r="AA142" s="296">
        <f>'SS INPUT'!G428</f>
        <v>2000</v>
      </c>
      <c r="AB142" s="180">
        <f>'SS INPUT'!H428</f>
        <v>576199.99999999709</v>
      </c>
      <c r="AC142" s="180">
        <f>'SS INPUT'!I428</f>
        <v>0</v>
      </c>
      <c r="AD142" s="180">
        <f>'SS INPUT'!J428</f>
        <v>576199.99999999709</v>
      </c>
      <c r="AE142" s="133"/>
      <c r="AF142" s="133"/>
      <c r="AG142" s="133"/>
      <c r="AH142" s="133"/>
      <c r="AI142" s="133"/>
    </row>
    <row r="143" spans="1:35">
      <c r="A143" s="238">
        <v>141</v>
      </c>
      <c r="B143" s="238" t="s">
        <v>82</v>
      </c>
      <c r="C143" s="238" t="s">
        <v>1817</v>
      </c>
      <c r="D143" s="734" t="s">
        <v>1598</v>
      </c>
      <c r="E143" s="238" t="s">
        <v>1816</v>
      </c>
      <c r="F143" s="296">
        <f>'SS INPUT'!D431</f>
        <v>85673.8</v>
      </c>
      <c r="G143" s="296">
        <f>'SS INPUT'!E431</f>
        <v>87885.2</v>
      </c>
      <c r="H143" s="296">
        <f>'SS INPUT'!F431</f>
        <v>2211.3999999999942</v>
      </c>
      <c r="I143" s="296">
        <f>'SS INPUT'!G431</f>
        <v>500</v>
      </c>
      <c r="J143" s="296">
        <f>'SS INPUT'!H431</f>
        <v>1105699.9999999972</v>
      </c>
      <c r="K143" s="296">
        <f>'SS INPUT'!I431</f>
        <v>0</v>
      </c>
      <c r="L143" s="180">
        <f>'SS INPUT'!J431</f>
        <v>1105699.9999999972</v>
      </c>
      <c r="M143" s="133"/>
      <c r="N143" s="133"/>
      <c r="O143" s="133"/>
      <c r="P143" s="133"/>
      <c r="Q143" s="133"/>
      <c r="R143" s="133"/>
      <c r="S143" s="133"/>
      <c r="T143" s="133"/>
      <c r="U143" s="133"/>
      <c r="V143" s="734" t="s">
        <v>1817</v>
      </c>
      <c r="W143" s="238" t="s">
        <v>1818</v>
      </c>
      <c r="X143" s="220">
        <f>'SS INPUT'!D434</f>
        <v>40745.599999999999</v>
      </c>
      <c r="Y143" s="220">
        <f>'SS INPUT'!E434</f>
        <v>41044.9</v>
      </c>
      <c r="Z143" s="220">
        <f>'SS INPUT'!F434</f>
        <v>299.30000000000291</v>
      </c>
      <c r="AA143" s="220">
        <f>'SS INPUT'!G434</f>
        <v>2000</v>
      </c>
      <c r="AB143" s="220">
        <f>'SS INPUT'!H434</f>
        <v>598600.00000000582</v>
      </c>
      <c r="AC143" s="220">
        <f>'SS INPUT'!I434</f>
        <v>120000</v>
      </c>
      <c r="AD143" s="220">
        <f>'SS INPUT'!J434</f>
        <v>718600.00000000582</v>
      </c>
      <c r="AE143" s="133"/>
      <c r="AF143" s="133"/>
      <c r="AG143" s="133"/>
      <c r="AH143" s="133"/>
      <c r="AI143" s="133"/>
    </row>
    <row r="144" spans="1:35">
      <c r="A144" s="238">
        <v>142</v>
      </c>
      <c r="B144" s="238" t="s">
        <v>82</v>
      </c>
      <c r="C144" s="238" t="s">
        <v>1817</v>
      </c>
      <c r="D144" s="133"/>
      <c r="E144" s="133"/>
      <c r="F144" s="220"/>
      <c r="G144" s="220"/>
      <c r="H144" s="220"/>
      <c r="I144" s="220"/>
      <c r="J144" s="220"/>
      <c r="K144" s="220"/>
      <c r="L144" s="180"/>
      <c r="M144" s="133"/>
      <c r="N144" s="133"/>
      <c r="O144" s="133"/>
      <c r="P144" s="133"/>
      <c r="Q144" s="133"/>
      <c r="R144" s="133"/>
      <c r="S144" s="133"/>
      <c r="T144" s="133"/>
      <c r="U144" s="133"/>
      <c r="V144" s="734" t="s">
        <v>1819</v>
      </c>
      <c r="W144" s="238" t="s">
        <v>1820</v>
      </c>
      <c r="X144" s="220">
        <f>'SS INPUT'!D435</f>
        <v>16930.900000000001</v>
      </c>
      <c r="Y144" s="220">
        <f>'SS INPUT'!E435</f>
        <v>17109.7</v>
      </c>
      <c r="Z144" s="220">
        <f>'SS INPUT'!F435</f>
        <v>178.79999999999927</v>
      </c>
      <c r="AA144" s="220">
        <f>'SS INPUT'!G435</f>
        <v>2000</v>
      </c>
      <c r="AB144" s="220">
        <f>'SS INPUT'!H435</f>
        <v>357599.99999999854</v>
      </c>
      <c r="AC144" s="220">
        <f>'SS INPUT'!I435</f>
        <v>0</v>
      </c>
      <c r="AD144" s="220">
        <f>'SS INPUT'!J435</f>
        <v>357599.99999999854</v>
      </c>
      <c r="AE144" s="133"/>
      <c r="AF144" s="133"/>
      <c r="AG144" s="133"/>
      <c r="AH144" s="133"/>
      <c r="AI144" s="133"/>
    </row>
    <row r="145" spans="1:35">
      <c r="A145" s="238">
        <v>143</v>
      </c>
      <c r="B145" s="238" t="s">
        <v>82</v>
      </c>
      <c r="C145" s="238" t="s">
        <v>1817</v>
      </c>
      <c r="D145" s="133"/>
      <c r="E145" s="133"/>
      <c r="F145" s="220"/>
      <c r="G145" s="220"/>
      <c r="H145" s="220"/>
      <c r="I145" s="220"/>
      <c r="J145" s="220"/>
      <c r="K145" s="220"/>
      <c r="L145" s="180"/>
      <c r="M145" s="133"/>
      <c r="N145" s="133"/>
      <c r="O145" s="133"/>
      <c r="P145" s="133"/>
      <c r="Q145" s="133"/>
      <c r="R145" s="133"/>
      <c r="S145" s="133"/>
      <c r="T145" s="133"/>
      <c r="U145" s="133"/>
      <c r="V145" s="734" t="s">
        <v>1821</v>
      </c>
      <c r="W145" s="238" t="s">
        <v>1822</v>
      </c>
      <c r="X145" s="220">
        <f>'SS INPUT'!D436</f>
        <v>1441.1</v>
      </c>
      <c r="Y145" s="220">
        <f>'SS INPUT'!E436</f>
        <v>1453.9</v>
      </c>
      <c r="Z145" s="220">
        <f>'SS INPUT'!F436</f>
        <v>12.800000000000182</v>
      </c>
      <c r="AA145" s="220">
        <f>'SS INPUT'!G436</f>
        <v>1000</v>
      </c>
      <c r="AB145" s="220">
        <f>'SS INPUT'!H436</f>
        <v>12800.000000000182</v>
      </c>
      <c r="AC145" s="220">
        <f>'SS INPUT'!I436</f>
        <v>10279.9999999998</v>
      </c>
      <c r="AD145" s="220">
        <f>'SS INPUT'!J436</f>
        <v>23079.999999999982</v>
      </c>
      <c r="AE145" s="133"/>
      <c r="AF145" s="133"/>
      <c r="AG145" s="133"/>
      <c r="AH145" s="133"/>
      <c r="AI145" s="133"/>
    </row>
    <row r="146" spans="1:35">
      <c r="A146" s="238">
        <v>144</v>
      </c>
      <c r="B146" s="238" t="s">
        <v>82</v>
      </c>
      <c r="C146" s="238" t="s">
        <v>2119</v>
      </c>
      <c r="D146" s="734" t="s">
        <v>1824</v>
      </c>
      <c r="E146" s="238" t="s">
        <v>1825</v>
      </c>
      <c r="F146" s="296">
        <f>'SS INPUT'!D439</f>
        <v>23653.5</v>
      </c>
      <c r="G146" s="296">
        <f>'SS INPUT'!E439</f>
        <v>24111.9</v>
      </c>
      <c r="H146" s="296">
        <f>'SS INPUT'!F439</f>
        <v>458.40000000000146</v>
      </c>
      <c r="I146" s="296">
        <f>'SS INPUT'!G439</f>
        <v>1500</v>
      </c>
      <c r="J146" s="296">
        <f>'SS INPUT'!H439</f>
        <v>687600.00000000221</v>
      </c>
      <c r="K146" s="296">
        <f>'SS INPUT'!I439</f>
        <v>320000</v>
      </c>
      <c r="L146" s="180">
        <f>'SS INPUT'!J439</f>
        <v>1007600.0000000022</v>
      </c>
      <c r="M146" s="133"/>
      <c r="N146" s="133"/>
      <c r="O146" s="133"/>
      <c r="P146" s="133"/>
      <c r="Q146" s="133"/>
      <c r="R146" s="133"/>
      <c r="S146" s="133"/>
      <c r="T146" s="133"/>
      <c r="U146" s="133"/>
      <c r="V146" s="734" t="s">
        <v>1826</v>
      </c>
      <c r="W146" s="238" t="s">
        <v>1827</v>
      </c>
      <c r="X146" s="296">
        <f>'SS INPUT'!D442</f>
        <v>4468.2</v>
      </c>
      <c r="Y146" s="296">
        <f>'SS INPUT'!E442</f>
        <v>4506.5</v>
      </c>
      <c r="Z146" s="296">
        <f>'SS INPUT'!F442</f>
        <v>38.300000000000182</v>
      </c>
      <c r="AA146" s="296">
        <f>'SS INPUT'!G442</f>
        <v>1333.3330000000001</v>
      </c>
      <c r="AB146" s="180">
        <f>'SS INPUT'!H442</f>
        <v>51066.653900000245</v>
      </c>
      <c r="AC146" s="180">
        <f>'SS INPUT'!I442</f>
        <v>0</v>
      </c>
      <c r="AD146" s="180">
        <f>'SS INPUT'!J442</f>
        <v>51066.653900000245</v>
      </c>
      <c r="AE146" s="133"/>
      <c r="AF146" s="133"/>
      <c r="AG146" s="133"/>
      <c r="AH146" s="133"/>
      <c r="AI146" s="133"/>
    </row>
    <row r="147" spans="1:35">
      <c r="A147" s="238">
        <v>145</v>
      </c>
      <c r="B147" s="238" t="s">
        <v>82</v>
      </c>
      <c r="C147" s="238" t="s">
        <v>2119</v>
      </c>
      <c r="D147" s="133"/>
      <c r="E147" s="133"/>
      <c r="F147" s="220"/>
      <c r="G147" s="220"/>
      <c r="H147" s="220"/>
      <c r="I147" s="220"/>
      <c r="J147" s="220"/>
      <c r="K147" s="220"/>
      <c r="L147" s="180"/>
      <c r="M147" s="133"/>
      <c r="N147" s="133"/>
      <c r="O147" s="133"/>
      <c r="P147" s="133"/>
      <c r="Q147" s="133"/>
      <c r="R147" s="133"/>
      <c r="S147" s="133"/>
      <c r="T147" s="133"/>
      <c r="U147" s="133"/>
      <c r="V147" s="734" t="s">
        <v>1828</v>
      </c>
      <c r="W147" s="238" t="s">
        <v>1829</v>
      </c>
      <c r="X147" s="296">
        <f>'SS INPUT'!D443</f>
        <v>13269.2</v>
      </c>
      <c r="Y147" s="296">
        <f>'SS INPUT'!E443</f>
        <v>13535.3</v>
      </c>
      <c r="Z147" s="296">
        <f>'SS INPUT'!F443</f>
        <v>266.09999999999854</v>
      </c>
      <c r="AA147" s="296">
        <f>'SS INPUT'!G443</f>
        <v>666.66600000000005</v>
      </c>
      <c r="AB147" s="180">
        <f>'SS INPUT'!H443</f>
        <v>177399.82259999905</v>
      </c>
      <c r="AC147" s="180">
        <f>'SS INPUT'!I443</f>
        <v>0</v>
      </c>
      <c r="AD147" s="180">
        <f>'SS INPUT'!J443</f>
        <v>177399.82259999905</v>
      </c>
      <c r="AE147" s="133"/>
      <c r="AF147" s="133"/>
      <c r="AG147" s="133"/>
      <c r="AH147" s="133"/>
      <c r="AI147" s="133"/>
    </row>
    <row r="148" spans="1:35">
      <c r="A148" s="238">
        <v>146</v>
      </c>
      <c r="B148" s="238" t="s">
        <v>82</v>
      </c>
      <c r="C148" s="238" t="s">
        <v>2119</v>
      </c>
      <c r="D148" s="133"/>
      <c r="E148" s="133"/>
      <c r="F148" s="220"/>
      <c r="G148" s="220"/>
      <c r="H148" s="220"/>
      <c r="I148" s="220"/>
      <c r="J148" s="220"/>
      <c r="K148" s="220"/>
      <c r="L148" s="180"/>
      <c r="M148" s="133"/>
      <c r="N148" s="133"/>
      <c r="O148" s="133"/>
      <c r="P148" s="133"/>
      <c r="Q148" s="133"/>
      <c r="R148" s="133"/>
      <c r="S148" s="133"/>
      <c r="T148" s="133"/>
      <c r="U148" s="133"/>
      <c r="V148" s="734" t="s">
        <v>1830</v>
      </c>
      <c r="W148" s="238" t="s">
        <v>1831</v>
      </c>
      <c r="X148" s="296">
        <f>'SS INPUT'!D444</f>
        <v>6377.5</v>
      </c>
      <c r="Y148" s="296">
        <f>'SS INPUT'!E444</f>
        <v>6848.7</v>
      </c>
      <c r="Z148" s="296">
        <f>'SS INPUT'!F444</f>
        <v>471.19999999999982</v>
      </c>
      <c r="AA148" s="296">
        <f>'SS INPUT'!G444</f>
        <v>1333.33</v>
      </c>
      <c r="AB148" s="180">
        <f>'SS INPUT'!H444</f>
        <v>628265.09599999967</v>
      </c>
      <c r="AC148" s="180">
        <f>'SS INPUT'!I444</f>
        <v>0</v>
      </c>
      <c r="AD148" s="180">
        <f>'SS INPUT'!J444</f>
        <v>628265.09599999967</v>
      </c>
      <c r="AE148" s="133"/>
      <c r="AF148" s="133"/>
      <c r="AG148" s="133"/>
      <c r="AH148" s="133"/>
      <c r="AI148" s="133"/>
    </row>
    <row r="149" spans="1:35">
      <c r="A149" s="238">
        <v>147</v>
      </c>
      <c r="B149" s="238" t="s">
        <v>82</v>
      </c>
      <c r="C149" s="238" t="s">
        <v>2119</v>
      </c>
      <c r="D149" s="133"/>
      <c r="E149" s="133"/>
      <c r="F149" s="220"/>
      <c r="G149" s="220"/>
      <c r="H149" s="220"/>
      <c r="I149" s="220"/>
      <c r="J149" s="220"/>
      <c r="K149" s="220"/>
      <c r="L149" s="180"/>
      <c r="M149" s="133"/>
      <c r="N149" s="133"/>
      <c r="O149" s="133"/>
      <c r="P149" s="133"/>
      <c r="Q149" s="133"/>
      <c r="R149" s="133"/>
      <c r="S149" s="133"/>
      <c r="T149" s="133"/>
      <c r="U149" s="133"/>
      <c r="V149" s="734" t="s">
        <v>1832</v>
      </c>
      <c r="W149" s="238">
        <v>3300077</v>
      </c>
      <c r="X149" s="296">
        <f>'SS INPUT'!D445</f>
        <v>359982.1</v>
      </c>
      <c r="Y149" s="296">
        <f>'SS INPUT'!E445</f>
        <v>371021</v>
      </c>
      <c r="Z149" s="296">
        <f>'SS INPUT'!F445</f>
        <v>11038.900000000023</v>
      </c>
      <c r="AA149" s="296">
        <f>'SS INPUT'!G445</f>
        <v>13.333333</v>
      </c>
      <c r="AB149" s="180">
        <f>'SS INPUT'!H445</f>
        <v>147185.32965370032</v>
      </c>
      <c r="AC149" s="180">
        <f>'SS INPUT'!I445</f>
        <v>0</v>
      </c>
      <c r="AD149" s="180">
        <f>'SS INPUT'!J445</f>
        <v>147185.32965370032</v>
      </c>
      <c r="AE149" s="133"/>
      <c r="AF149" s="133"/>
      <c r="AG149" s="133"/>
      <c r="AH149" s="133"/>
      <c r="AI149" s="133"/>
    </row>
    <row r="150" spans="1:35">
      <c r="A150" s="238">
        <v>148</v>
      </c>
      <c r="B150" s="238" t="s">
        <v>82</v>
      </c>
      <c r="C150" s="238" t="s">
        <v>1841</v>
      </c>
      <c r="D150" s="816" t="s">
        <v>1834</v>
      </c>
      <c r="E150" s="238" t="s">
        <v>1835</v>
      </c>
      <c r="F150" s="296">
        <f>'SS INPUT'!D448</f>
        <v>150831.70000000001</v>
      </c>
      <c r="G150" s="296">
        <f>'SS INPUT'!E448</f>
        <v>152621.29999999999</v>
      </c>
      <c r="H150" s="296">
        <f>'SS INPUT'!F448</f>
        <v>1789.5999999999767</v>
      </c>
      <c r="I150" s="296">
        <f>'SS INPUT'!G448</f>
        <v>2000</v>
      </c>
      <c r="J150" s="296">
        <f>'SS INPUT'!H448</f>
        <v>3579199.9999999534</v>
      </c>
      <c r="K150" s="296">
        <f>'SS INPUT'!I448</f>
        <v>0</v>
      </c>
      <c r="L150" s="180">
        <f>'SS INPUT'!J448</f>
        <v>3579199.9999999534</v>
      </c>
      <c r="M150" s="133"/>
      <c r="N150" s="133"/>
      <c r="O150" s="133"/>
      <c r="P150" s="133"/>
      <c r="Q150" s="133"/>
      <c r="R150" s="133"/>
      <c r="S150" s="133"/>
      <c r="T150" s="133"/>
      <c r="U150" s="133"/>
      <c r="V150" s="734" t="s">
        <v>1836</v>
      </c>
      <c r="W150" s="734">
        <v>9916388</v>
      </c>
      <c r="X150" s="296">
        <f>'SS INPUT'!D453</f>
        <v>1022207.8</v>
      </c>
      <c r="Y150" s="296">
        <f>'SS INPUT'!E453</f>
        <v>1037968.6</v>
      </c>
      <c r="Z150" s="296">
        <f>'SS INPUT'!F453</f>
        <v>15760.79999999993</v>
      </c>
      <c r="AA150" s="296">
        <f>'SS INPUT'!G453</f>
        <v>40</v>
      </c>
      <c r="AB150" s="180">
        <f>'SS INPUT'!H453</f>
        <v>630431.99999999721</v>
      </c>
      <c r="AC150" s="180">
        <f>'SS INPUT'!I453</f>
        <v>0</v>
      </c>
      <c r="AD150" s="180">
        <f>'SS INPUT'!J453</f>
        <v>630431.99999999721</v>
      </c>
      <c r="AE150" s="133"/>
      <c r="AF150" s="133"/>
      <c r="AG150" s="133"/>
      <c r="AH150" s="133"/>
      <c r="AI150" s="133"/>
    </row>
    <row r="151" spans="1:35">
      <c r="A151" s="238">
        <v>149</v>
      </c>
      <c r="B151" s="238" t="s">
        <v>82</v>
      </c>
      <c r="C151" s="238" t="s">
        <v>1841</v>
      </c>
      <c r="D151" s="816" t="s">
        <v>1834</v>
      </c>
      <c r="E151" s="238">
        <v>9916387</v>
      </c>
      <c r="F151" s="296">
        <f>'SS INPUT'!D449</f>
        <v>488253.3</v>
      </c>
      <c r="G151" s="296">
        <f>'SS INPUT'!E449</f>
        <v>497593.4</v>
      </c>
      <c r="H151" s="296">
        <f>'SS INPUT'!F449</f>
        <v>9340.1000000000349</v>
      </c>
      <c r="I151" s="296">
        <f>'SS INPUT'!G449</f>
        <v>240</v>
      </c>
      <c r="J151" s="296">
        <f>'SS INPUT'!H449</f>
        <v>2241624.0000000084</v>
      </c>
      <c r="K151" s="296">
        <f>'SS INPUT'!I449</f>
        <v>0</v>
      </c>
      <c r="L151" s="180">
        <f>'SS INPUT'!J449</f>
        <v>2241624.0000000084</v>
      </c>
      <c r="M151" s="133"/>
      <c r="N151" s="133"/>
      <c r="O151" s="133"/>
      <c r="P151" s="133"/>
      <c r="Q151" s="133"/>
      <c r="R151" s="133"/>
      <c r="S151" s="133"/>
      <c r="T151" s="133"/>
      <c r="U151" s="133"/>
      <c r="V151" s="734" t="s">
        <v>1837</v>
      </c>
      <c r="W151" s="734" t="s">
        <v>2120</v>
      </c>
      <c r="X151" s="296">
        <f>'SS INPUT'!D454</f>
        <v>6101.64</v>
      </c>
      <c r="Y151" s="296">
        <f>'SS INPUT'!E454</f>
        <v>6289</v>
      </c>
      <c r="Z151" s="296">
        <f>'SS INPUT'!F454</f>
        <v>187.35999999999967</v>
      </c>
      <c r="AA151" s="296">
        <f>'SS INPUT'!G454</f>
        <v>6000</v>
      </c>
      <c r="AB151" s="180">
        <f>'SS INPUT'!H454</f>
        <v>1124159.9999999981</v>
      </c>
      <c r="AC151" s="180">
        <f>'SS INPUT'!I454</f>
        <v>0</v>
      </c>
      <c r="AD151" s="180">
        <f>'SS INPUT'!J454</f>
        <v>1124159.9999999981</v>
      </c>
      <c r="AE151" s="133"/>
      <c r="AF151" s="133"/>
      <c r="AG151" s="133"/>
      <c r="AH151" s="133"/>
      <c r="AI151" s="133"/>
    </row>
    <row r="152" spans="1:35">
      <c r="A152" s="238">
        <v>150</v>
      </c>
      <c r="B152" s="238" t="s">
        <v>82</v>
      </c>
      <c r="C152" s="238" t="s">
        <v>1841</v>
      </c>
      <c r="D152" s="133"/>
      <c r="E152" s="133"/>
      <c r="F152" s="220"/>
      <c r="G152" s="220"/>
      <c r="H152" s="220"/>
      <c r="I152" s="220"/>
      <c r="J152" s="220"/>
      <c r="K152" s="220"/>
      <c r="L152" s="180"/>
      <c r="M152" s="133"/>
      <c r="N152" s="133"/>
      <c r="O152" s="133"/>
      <c r="P152" s="133"/>
      <c r="Q152" s="133"/>
      <c r="R152" s="133"/>
      <c r="S152" s="133"/>
      <c r="T152" s="133"/>
      <c r="U152" s="133"/>
      <c r="V152" s="734" t="s">
        <v>1839</v>
      </c>
      <c r="W152" s="734">
        <v>9916393</v>
      </c>
      <c r="X152" s="296">
        <f>'SS INPUT'!D455</f>
        <v>200988.2</v>
      </c>
      <c r="Y152" s="296">
        <f>'SS INPUT'!E455</f>
        <v>200988.2</v>
      </c>
      <c r="Z152" s="296">
        <f>'SS INPUT'!F455</f>
        <v>0</v>
      </c>
      <c r="AA152" s="296">
        <f>'SS INPUT'!G455</f>
        <v>40</v>
      </c>
      <c r="AB152" s="180">
        <f>'SS INPUT'!H455</f>
        <v>0</v>
      </c>
      <c r="AC152" s="180">
        <f>'SS INPUT'!I455</f>
        <v>538400.0000000014</v>
      </c>
      <c r="AD152" s="180">
        <f>'SS INPUT'!J455</f>
        <v>538400.0000000014</v>
      </c>
      <c r="AE152" s="133"/>
      <c r="AF152" s="133"/>
      <c r="AG152" s="133"/>
      <c r="AH152" s="133"/>
      <c r="AI152" s="133"/>
    </row>
    <row r="153" spans="1:35">
      <c r="A153" s="238">
        <v>151</v>
      </c>
      <c r="B153" s="238" t="s">
        <v>82</v>
      </c>
      <c r="C153" s="238" t="s">
        <v>1841</v>
      </c>
      <c r="D153" s="133"/>
      <c r="E153" s="133"/>
      <c r="F153" s="220"/>
      <c r="G153" s="220"/>
      <c r="H153" s="220"/>
      <c r="I153" s="220"/>
      <c r="J153" s="220"/>
      <c r="K153" s="220"/>
      <c r="L153" s="180"/>
      <c r="M153" s="133"/>
      <c r="N153" s="133"/>
      <c r="O153" s="133"/>
      <c r="P153" s="133"/>
      <c r="Q153" s="133"/>
      <c r="R153" s="133"/>
      <c r="S153" s="133"/>
      <c r="T153" s="133"/>
      <c r="U153" s="133"/>
      <c r="V153" s="734" t="s">
        <v>1839</v>
      </c>
      <c r="W153" s="734" t="s">
        <v>1840</v>
      </c>
      <c r="X153" s="296">
        <f>'SS INPUT'!D456</f>
        <v>9993.5</v>
      </c>
      <c r="Y153" s="296">
        <f>'SS INPUT'!E456</f>
        <v>10262.700000000001</v>
      </c>
      <c r="Z153" s="296">
        <f>'SS INPUT'!F456</f>
        <v>269.20000000000073</v>
      </c>
      <c r="AA153" s="296">
        <f>'SS INPUT'!G456</f>
        <v>2000</v>
      </c>
      <c r="AB153" s="180">
        <f>'SS INPUT'!H456</f>
        <v>538400.0000000014</v>
      </c>
      <c r="AC153" s="180">
        <f>'SS INPUT'!I456</f>
        <v>0</v>
      </c>
      <c r="AD153" s="180">
        <f>'SS INPUT'!J456</f>
        <v>538400.0000000014</v>
      </c>
      <c r="AE153" s="133"/>
      <c r="AF153" s="133"/>
      <c r="AG153" s="133"/>
      <c r="AH153" s="133"/>
      <c r="AI153" s="133"/>
    </row>
    <row r="154" spans="1:35">
      <c r="A154" s="238">
        <v>152</v>
      </c>
      <c r="B154" s="238" t="s">
        <v>82</v>
      </c>
      <c r="C154" s="238" t="s">
        <v>1841</v>
      </c>
      <c r="D154" s="133"/>
      <c r="E154" s="133"/>
      <c r="F154" s="220"/>
      <c r="G154" s="220"/>
      <c r="H154" s="220"/>
      <c r="I154" s="220"/>
      <c r="J154" s="220"/>
      <c r="K154" s="220"/>
      <c r="L154" s="180"/>
      <c r="M154" s="133"/>
      <c r="N154" s="133"/>
      <c r="O154" s="133"/>
      <c r="P154" s="133"/>
      <c r="Q154" s="133"/>
      <c r="R154" s="133"/>
      <c r="S154" s="133"/>
      <c r="T154" s="133"/>
      <c r="U154" s="133"/>
      <c r="V154" s="734" t="s">
        <v>1841</v>
      </c>
      <c r="W154" s="734">
        <v>9916390</v>
      </c>
      <c r="X154" s="296">
        <f>'SS INPUT'!D457</f>
        <v>712256.4</v>
      </c>
      <c r="Y154" s="296">
        <f>'SS INPUT'!E457</f>
        <v>724276.1</v>
      </c>
      <c r="Z154" s="296">
        <f>'SS INPUT'!F457</f>
        <v>12019.699999999953</v>
      </c>
      <c r="AA154" s="296">
        <f>'SS INPUT'!G457</f>
        <v>40</v>
      </c>
      <c r="AB154" s="180">
        <f>'SS INPUT'!H457</f>
        <v>480787.99999999814</v>
      </c>
      <c r="AC154" s="180">
        <f>'SS INPUT'!I457</f>
        <v>0</v>
      </c>
      <c r="AD154" s="180">
        <f>'SS INPUT'!J457</f>
        <v>480787.99999999814</v>
      </c>
      <c r="AE154" s="133"/>
      <c r="AF154" s="133"/>
      <c r="AG154" s="133"/>
      <c r="AH154" s="133"/>
      <c r="AI154" s="133"/>
    </row>
    <row r="155" spans="1:35">
      <c r="A155" s="238">
        <v>153</v>
      </c>
      <c r="B155" s="238" t="s">
        <v>82</v>
      </c>
      <c r="C155" s="238" t="s">
        <v>1841</v>
      </c>
      <c r="D155" s="133"/>
      <c r="E155" s="133"/>
      <c r="F155" s="220"/>
      <c r="G155" s="220"/>
      <c r="H155" s="220"/>
      <c r="I155" s="220"/>
      <c r="J155" s="220"/>
      <c r="K155" s="220"/>
      <c r="L155" s="180"/>
      <c r="M155" s="133"/>
      <c r="N155" s="133"/>
      <c r="O155" s="133"/>
      <c r="P155" s="133"/>
      <c r="Q155" s="133"/>
      <c r="R155" s="133"/>
      <c r="S155" s="133"/>
      <c r="T155" s="133"/>
      <c r="U155" s="133"/>
      <c r="V155" s="734" t="s">
        <v>1842</v>
      </c>
      <c r="W155" s="734" t="s">
        <v>1843</v>
      </c>
      <c r="X155" s="296">
        <f>'SS INPUT'!D458</f>
        <v>48008.800000000003</v>
      </c>
      <c r="Y155" s="296">
        <f>'SS INPUT'!E458</f>
        <v>48602.1</v>
      </c>
      <c r="Z155" s="296">
        <f>'SS INPUT'!F458</f>
        <v>593.29999999999563</v>
      </c>
      <c r="AA155" s="296">
        <f>'SS INPUT'!G458</f>
        <v>1333.3330000000001</v>
      </c>
      <c r="AB155" s="180">
        <f>'SS INPUT'!H458</f>
        <v>791066.46889999427</v>
      </c>
      <c r="AC155" s="180">
        <f>'SS INPUT'!I458</f>
        <v>0</v>
      </c>
      <c r="AD155" s="180">
        <f>'SS INPUT'!J458</f>
        <v>791066.46889999427</v>
      </c>
      <c r="AE155" s="133"/>
      <c r="AF155" s="133"/>
      <c r="AG155" s="133"/>
      <c r="AH155" s="133"/>
      <c r="AI155" s="133"/>
    </row>
    <row r="156" spans="1:35">
      <c r="A156" s="238">
        <v>154</v>
      </c>
      <c r="B156" s="238" t="s">
        <v>82</v>
      </c>
      <c r="C156" s="238" t="s">
        <v>1071</v>
      </c>
      <c r="D156" s="734" t="s">
        <v>1776</v>
      </c>
      <c r="E156" s="238" t="s">
        <v>1845</v>
      </c>
      <c r="F156" s="296">
        <f>'SS INPUT'!D461</f>
        <v>51727.45</v>
      </c>
      <c r="G156" s="296">
        <f>'SS INPUT'!E461</f>
        <v>52276.2</v>
      </c>
      <c r="H156" s="296">
        <f>'SS INPUT'!F461</f>
        <v>548.75</v>
      </c>
      <c r="I156" s="296">
        <f>'SS INPUT'!G461</f>
        <v>2000</v>
      </c>
      <c r="J156" s="296">
        <f>'SS INPUT'!H461</f>
        <v>1097500</v>
      </c>
      <c r="K156" s="296">
        <f>'SS INPUT'!I461</f>
        <v>0</v>
      </c>
      <c r="L156" s="180">
        <f>'SS INPUT'!J461</f>
        <v>1097500</v>
      </c>
      <c r="M156" s="133"/>
      <c r="N156" s="133"/>
      <c r="O156" s="133"/>
      <c r="P156" s="133"/>
      <c r="Q156" s="133"/>
      <c r="R156" s="133"/>
      <c r="S156" s="133"/>
      <c r="T156" s="133"/>
      <c r="U156" s="133"/>
      <c r="V156" s="734" t="s">
        <v>1071</v>
      </c>
      <c r="W156" s="238" t="s">
        <v>1846</v>
      </c>
      <c r="X156" s="296">
        <f>'SS INPUT'!D464</f>
        <v>32192.799999999999</v>
      </c>
      <c r="Y156" s="296">
        <f>'SS INPUT'!E464</f>
        <v>32492.400000000001</v>
      </c>
      <c r="Z156" s="296">
        <f>'SS INPUT'!F464</f>
        <v>299.60000000000218</v>
      </c>
      <c r="AA156" s="296">
        <f>'SS INPUT'!G464</f>
        <v>1333.33</v>
      </c>
      <c r="AB156" s="180">
        <f>'SS INPUT'!H464</f>
        <v>399465.66800000292</v>
      </c>
      <c r="AC156" s="180">
        <f>'SS INPUT'!I464</f>
        <v>0</v>
      </c>
      <c r="AD156" s="180">
        <f>'SS INPUT'!J464</f>
        <v>399465.66800000292</v>
      </c>
      <c r="AE156" s="133"/>
      <c r="AF156" s="133"/>
      <c r="AG156" s="133"/>
      <c r="AH156" s="133"/>
      <c r="AI156" s="133"/>
    </row>
    <row r="157" spans="1:35">
      <c r="A157" s="238">
        <v>155</v>
      </c>
      <c r="B157" s="238" t="s">
        <v>82</v>
      </c>
      <c r="C157" s="238" t="s">
        <v>1071</v>
      </c>
      <c r="D157" s="133"/>
      <c r="E157" s="133"/>
      <c r="F157" s="220"/>
      <c r="G157" s="220"/>
      <c r="H157" s="220"/>
      <c r="I157" s="220"/>
      <c r="J157" s="220"/>
      <c r="K157" s="220"/>
      <c r="L157" s="180"/>
      <c r="M157" s="133"/>
      <c r="N157" s="133"/>
      <c r="O157" s="133"/>
      <c r="P157" s="133"/>
      <c r="Q157" s="133"/>
      <c r="R157" s="133"/>
      <c r="S157" s="133"/>
      <c r="T157" s="133"/>
      <c r="U157" s="133"/>
      <c r="V157" s="734" t="s">
        <v>1070</v>
      </c>
      <c r="W157" s="238" t="s">
        <v>1847</v>
      </c>
      <c r="X157" s="296">
        <f>'SS INPUT'!D465</f>
        <v>39510.199999999997</v>
      </c>
      <c r="Y157" s="296">
        <f>'SS INPUT'!E465</f>
        <v>40027.4</v>
      </c>
      <c r="Z157" s="296">
        <f>'SS INPUT'!F465</f>
        <v>517.20000000000437</v>
      </c>
      <c r="AA157" s="296">
        <f>'SS INPUT'!G465</f>
        <v>1333.33</v>
      </c>
      <c r="AB157" s="180">
        <f>'SS INPUT'!H465</f>
        <v>689598.27600000578</v>
      </c>
      <c r="AC157" s="180">
        <f>'SS INPUT'!I465</f>
        <v>0</v>
      </c>
      <c r="AD157" s="180">
        <f>'SS INPUT'!J465</f>
        <v>689598.27600000578</v>
      </c>
      <c r="AE157" s="133"/>
      <c r="AF157" s="133"/>
      <c r="AG157" s="133"/>
      <c r="AH157" s="133"/>
      <c r="AI157" s="133"/>
    </row>
    <row r="158" spans="1:35">
      <c r="A158" s="238">
        <v>156</v>
      </c>
      <c r="B158" s="238" t="s">
        <v>82</v>
      </c>
      <c r="C158" s="238" t="s">
        <v>927</v>
      </c>
      <c r="D158" s="238" t="s">
        <v>927</v>
      </c>
      <c r="E158" s="238" t="s">
        <v>1849</v>
      </c>
      <c r="F158" s="296">
        <f>'SS INPUT'!D468</f>
        <v>4480.38</v>
      </c>
      <c r="G158" s="296">
        <f>'SS INPUT'!E468</f>
        <v>4542.47</v>
      </c>
      <c r="H158" s="296">
        <f>'SS INPUT'!F468</f>
        <v>62.090000000000146</v>
      </c>
      <c r="I158" s="296">
        <f>'SS INPUT'!G468</f>
        <v>24000</v>
      </c>
      <c r="J158" s="296">
        <f>'SS INPUT'!H468</f>
        <v>1490160.0000000035</v>
      </c>
      <c r="K158" s="296">
        <f>'SS INPUT'!I468</f>
        <v>0</v>
      </c>
      <c r="L158" s="180">
        <f>'SS INPUT'!J468</f>
        <v>1490160.0000000035</v>
      </c>
      <c r="M158" s="133"/>
      <c r="N158" s="133"/>
      <c r="O158" s="133"/>
      <c r="P158" s="133"/>
      <c r="Q158" s="133"/>
      <c r="R158" s="133"/>
      <c r="S158" s="133"/>
      <c r="T158" s="133"/>
      <c r="U158" s="133"/>
      <c r="V158" s="734" t="s">
        <v>927</v>
      </c>
      <c r="W158" s="238" t="s">
        <v>1850</v>
      </c>
      <c r="X158" s="296">
        <f>'SS INPUT'!D471</f>
        <v>5463.26</v>
      </c>
      <c r="Y158" s="296">
        <f>'SS INPUT'!E471</f>
        <v>5527.42</v>
      </c>
      <c r="Z158" s="296">
        <f>'SS INPUT'!F471</f>
        <v>64.159999999999854</v>
      </c>
      <c r="AA158" s="296">
        <f>'SS INPUT'!G471</f>
        <v>6000</v>
      </c>
      <c r="AB158" s="180">
        <f>'SS INPUT'!H471</f>
        <v>384959.99999999913</v>
      </c>
      <c r="AC158" s="180">
        <f>'SS INPUT'!I471</f>
        <v>0</v>
      </c>
      <c r="AD158" s="180">
        <f>'SS INPUT'!J471</f>
        <v>384959.99999999913</v>
      </c>
      <c r="AE158" s="133"/>
      <c r="AF158" s="133"/>
      <c r="AG158" s="133"/>
      <c r="AH158" s="133"/>
      <c r="AI158" s="133"/>
    </row>
    <row r="159" spans="1:35">
      <c r="A159" s="238">
        <v>157</v>
      </c>
      <c r="B159" s="238" t="s">
        <v>82</v>
      </c>
      <c r="C159" s="238" t="s">
        <v>927</v>
      </c>
      <c r="D159" s="133"/>
      <c r="E159" s="133"/>
      <c r="F159" s="220"/>
      <c r="G159" s="220"/>
      <c r="H159" s="220"/>
      <c r="I159" s="220"/>
      <c r="J159" s="220"/>
      <c r="K159" s="220"/>
      <c r="L159" s="180"/>
      <c r="M159" s="133"/>
      <c r="N159" s="133"/>
      <c r="O159" s="133"/>
      <c r="P159" s="133"/>
      <c r="Q159" s="133"/>
      <c r="R159" s="133"/>
      <c r="S159" s="133"/>
      <c r="T159" s="133"/>
      <c r="U159" s="133"/>
      <c r="V159" s="734" t="s">
        <v>1851</v>
      </c>
      <c r="W159" s="238" t="s">
        <v>1852</v>
      </c>
      <c r="X159" s="296">
        <f>'SS INPUT'!D472</f>
        <v>8339.98</v>
      </c>
      <c r="Y159" s="296">
        <f>'SS INPUT'!E472</f>
        <v>8456.99</v>
      </c>
      <c r="Z159" s="296">
        <f>'SS INPUT'!F472</f>
        <v>117.01000000000022</v>
      </c>
      <c r="AA159" s="296">
        <f>'SS INPUT'!G472</f>
        <v>6000</v>
      </c>
      <c r="AB159" s="180">
        <f>'SS INPUT'!H472</f>
        <v>702060.00000000128</v>
      </c>
      <c r="AC159" s="180">
        <f>'SS INPUT'!I472</f>
        <v>0</v>
      </c>
      <c r="AD159" s="180">
        <f>'SS INPUT'!J472</f>
        <v>702060.00000000128</v>
      </c>
      <c r="AE159" s="133"/>
      <c r="AF159" s="133"/>
      <c r="AG159" s="133"/>
      <c r="AH159" s="133"/>
      <c r="AI159" s="133"/>
    </row>
    <row r="160" spans="1:35">
      <c r="A160" s="238">
        <v>158</v>
      </c>
      <c r="B160" s="238" t="s">
        <v>82</v>
      </c>
      <c r="C160" s="238" t="s">
        <v>927</v>
      </c>
      <c r="D160" s="133"/>
      <c r="E160" s="133"/>
      <c r="F160" s="220"/>
      <c r="G160" s="220"/>
      <c r="H160" s="220"/>
      <c r="I160" s="220"/>
      <c r="J160" s="220"/>
      <c r="K160" s="220"/>
      <c r="L160" s="180"/>
      <c r="M160" s="133"/>
      <c r="N160" s="133"/>
      <c r="O160" s="133"/>
      <c r="P160" s="133"/>
      <c r="Q160" s="133"/>
      <c r="R160" s="133"/>
      <c r="S160" s="133"/>
      <c r="T160" s="133"/>
      <c r="U160" s="133"/>
      <c r="V160" s="734" t="s">
        <v>1855</v>
      </c>
      <c r="W160" s="238" t="s">
        <v>1854</v>
      </c>
      <c r="X160" s="296">
        <f>'SS INPUT'!D474</f>
        <v>4184.8900000000003</v>
      </c>
      <c r="Y160" s="296">
        <f>'SS INPUT'!E474</f>
        <v>4249.66</v>
      </c>
      <c r="Z160" s="296">
        <f>'SS INPUT'!F474</f>
        <v>64.769999999999527</v>
      </c>
      <c r="AA160" s="296">
        <f>'SS INPUT'!G474</f>
        <v>6000</v>
      </c>
      <c r="AB160" s="180">
        <f>'SS INPUT'!H474</f>
        <v>388619.99999999715</v>
      </c>
      <c r="AC160" s="180">
        <f>'SS INPUT'!I474</f>
        <v>0</v>
      </c>
      <c r="AD160" s="180">
        <f>'SS INPUT'!J474</f>
        <v>388619.99999999715</v>
      </c>
      <c r="AE160" s="133"/>
      <c r="AF160" s="133"/>
      <c r="AG160" s="133"/>
      <c r="AH160" s="133"/>
      <c r="AI160" s="133"/>
    </row>
    <row r="161" spans="1:35">
      <c r="A161" s="238">
        <v>159</v>
      </c>
      <c r="B161" s="238" t="s">
        <v>82</v>
      </c>
      <c r="C161" s="238" t="s">
        <v>1336</v>
      </c>
      <c r="D161" s="238" t="s">
        <v>242</v>
      </c>
      <c r="E161" s="238" t="s">
        <v>1857</v>
      </c>
      <c r="F161" s="296">
        <f>'SS INPUT'!D477</f>
        <v>5776.06</v>
      </c>
      <c r="G161" s="296">
        <f>'SS INPUT'!E477</f>
        <v>5850.47</v>
      </c>
      <c r="H161" s="296">
        <f>'SS INPUT'!F477</f>
        <v>74.409999999999854</v>
      </c>
      <c r="I161" s="296">
        <f>'SS INPUT'!G477</f>
        <v>24000</v>
      </c>
      <c r="J161" s="296">
        <f>'SS INPUT'!H477</f>
        <v>1785839.9999999965</v>
      </c>
      <c r="K161" s="296">
        <f>'SS INPUT'!I477</f>
        <v>850000</v>
      </c>
      <c r="L161" s="180">
        <f>'SS INPUT'!J477</f>
        <v>2635839.9999999963</v>
      </c>
      <c r="M161" s="133"/>
      <c r="N161" s="133"/>
      <c r="O161" s="133"/>
      <c r="P161" s="133"/>
      <c r="Q161" s="133"/>
      <c r="R161" s="133"/>
      <c r="S161" s="133"/>
      <c r="T161" s="133"/>
      <c r="U161" s="133"/>
      <c r="V161" s="238" t="s">
        <v>1336</v>
      </c>
      <c r="W161" s="238" t="s">
        <v>1858</v>
      </c>
      <c r="X161" s="296">
        <f>'SS INPUT'!D480</f>
        <v>11286.38</v>
      </c>
      <c r="Y161" s="296">
        <f>'SS INPUT'!E480</f>
        <v>11518.05</v>
      </c>
      <c r="Z161" s="296">
        <f>'SS INPUT'!F480</f>
        <v>231.67000000000007</v>
      </c>
      <c r="AA161" s="296">
        <f>'SS INPUT'!G480</f>
        <v>6000</v>
      </c>
      <c r="AB161" s="180">
        <f>'SS INPUT'!H480</f>
        <v>1390020.0000000005</v>
      </c>
      <c r="AC161" s="180">
        <f>'SS INPUT'!I480</f>
        <v>0</v>
      </c>
      <c r="AD161" s="180">
        <f>'SS INPUT'!J480</f>
        <v>1390020.0000000005</v>
      </c>
      <c r="AE161" s="133"/>
      <c r="AF161" s="133"/>
      <c r="AG161" s="133"/>
      <c r="AH161" s="133"/>
      <c r="AI161" s="133"/>
    </row>
    <row r="162" spans="1:35">
      <c r="A162" s="238">
        <v>160</v>
      </c>
      <c r="B162" s="238" t="s">
        <v>82</v>
      </c>
      <c r="C162" s="238" t="s">
        <v>1336</v>
      </c>
      <c r="D162" s="133"/>
      <c r="E162" s="133"/>
      <c r="F162" s="220"/>
      <c r="G162" s="220"/>
      <c r="H162" s="220"/>
      <c r="I162" s="220"/>
      <c r="J162" s="220"/>
      <c r="K162" s="220"/>
      <c r="L162" s="180"/>
      <c r="M162" s="133"/>
      <c r="N162" s="133"/>
      <c r="O162" s="133"/>
      <c r="P162" s="133"/>
      <c r="Q162" s="133"/>
      <c r="R162" s="133"/>
      <c r="S162" s="133"/>
      <c r="T162" s="133"/>
      <c r="U162" s="133"/>
      <c r="V162" s="238" t="s">
        <v>1859</v>
      </c>
      <c r="W162" s="238" t="s">
        <v>1860</v>
      </c>
      <c r="X162" s="296">
        <f>'SS INPUT'!D481</f>
        <v>7360.88</v>
      </c>
      <c r="Y162" s="296">
        <f>'SS INPUT'!E481</f>
        <v>7444.15</v>
      </c>
      <c r="Z162" s="296">
        <f>'SS INPUT'!F481</f>
        <v>83.269999999999527</v>
      </c>
      <c r="AA162" s="296">
        <f>'SS INPUT'!G481</f>
        <v>6000</v>
      </c>
      <c r="AB162" s="180">
        <f>'SS INPUT'!H481</f>
        <v>499619.99999999715</v>
      </c>
      <c r="AC162" s="180">
        <f>'SS INPUT'!I481</f>
        <v>0</v>
      </c>
      <c r="AD162" s="180">
        <f>'SS INPUT'!J481</f>
        <v>499619.99999999715</v>
      </c>
      <c r="AE162" s="133"/>
      <c r="AF162" s="133"/>
      <c r="AG162" s="133"/>
      <c r="AH162" s="133"/>
      <c r="AI162" s="133"/>
    </row>
    <row r="163" spans="1:35">
      <c r="A163" s="238">
        <v>161</v>
      </c>
      <c r="B163" s="238" t="s">
        <v>82</v>
      </c>
      <c r="C163" s="238" t="s">
        <v>1336</v>
      </c>
      <c r="D163" s="133"/>
      <c r="E163" s="133"/>
      <c r="F163" s="220"/>
      <c r="G163" s="220"/>
      <c r="H163" s="220"/>
      <c r="I163" s="220"/>
      <c r="J163" s="220"/>
      <c r="K163" s="220"/>
      <c r="L163" s="180"/>
      <c r="M163" s="133"/>
      <c r="N163" s="133"/>
      <c r="O163" s="133"/>
      <c r="P163" s="133"/>
      <c r="Q163" s="133"/>
      <c r="R163" s="133"/>
      <c r="S163" s="133"/>
      <c r="T163" s="133"/>
      <c r="U163" s="133"/>
      <c r="V163" s="238" t="s">
        <v>1861</v>
      </c>
      <c r="W163" s="238" t="s">
        <v>1862</v>
      </c>
      <c r="X163" s="296">
        <f>'SS INPUT'!D482</f>
        <v>5529.45</v>
      </c>
      <c r="Y163" s="296">
        <f>'SS INPUT'!E482</f>
        <v>5648.52</v>
      </c>
      <c r="Z163" s="296">
        <f>'SS INPUT'!F482</f>
        <v>119.07000000000062</v>
      </c>
      <c r="AA163" s="296">
        <f>'SS INPUT'!G482</f>
        <v>6000</v>
      </c>
      <c r="AB163" s="180">
        <f>'SS INPUT'!H482</f>
        <v>714420.00000000373</v>
      </c>
      <c r="AC163" s="180">
        <f>'SS INPUT'!I482</f>
        <v>0</v>
      </c>
      <c r="AD163" s="180">
        <f>'SS INPUT'!J482</f>
        <v>714420.00000000373</v>
      </c>
      <c r="AE163" s="133"/>
      <c r="AF163" s="133"/>
      <c r="AG163" s="133"/>
      <c r="AH163" s="133"/>
      <c r="AI163" s="133"/>
    </row>
    <row r="164" spans="1:35">
      <c r="A164" s="238">
        <v>162</v>
      </c>
      <c r="B164" s="238" t="s">
        <v>82</v>
      </c>
      <c r="C164" s="238" t="s">
        <v>1337</v>
      </c>
      <c r="D164" s="238" t="s">
        <v>1631</v>
      </c>
      <c r="E164" s="238" t="s">
        <v>1864</v>
      </c>
      <c r="F164" s="296">
        <f>'SS INPUT'!D486</f>
        <v>69530</v>
      </c>
      <c r="G164" s="296">
        <f>'SS INPUT'!E486</f>
        <v>70794</v>
      </c>
      <c r="H164" s="296">
        <f>'SS INPUT'!F486</f>
        <v>1264</v>
      </c>
      <c r="I164" s="296">
        <f>'SS INPUT'!G486</f>
        <v>30</v>
      </c>
      <c r="J164" s="296">
        <f>'SS INPUT'!H486</f>
        <v>37920</v>
      </c>
      <c r="K164" s="296">
        <f>'SS INPUT'!I486</f>
        <v>43000</v>
      </c>
      <c r="L164" s="180">
        <f>'SS INPUT'!J486</f>
        <v>80920</v>
      </c>
      <c r="M164" s="133"/>
      <c r="N164" s="133"/>
      <c r="O164" s="133"/>
      <c r="P164" s="133"/>
      <c r="Q164" s="133"/>
      <c r="R164" s="133"/>
      <c r="S164" s="133"/>
      <c r="T164" s="133"/>
      <c r="U164" s="133"/>
      <c r="V164" s="238" t="s">
        <v>1865</v>
      </c>
      <c r="W164" s="238" t="s">
        <v>1866</v>
      </c>
      <c r="X164" s="296">
        <f>'SS INPUT'!D489</f>
        <v>7376.5</v>
      </c>
      <c r="Y164" s="296">
        <f>'SS INPUT'!E489</f>
        <v>7485</v>
      </c>
      <c r="Z164" s="296">
        <f>'SS INPUT'!F489</f>
        <v>108.5</v>
      </c>
      <c r="AA164" s="296">
        <f>'SS INPUT'!G489</f>
        <v>40</v>
      </c>
      <c r="AB164" s="180">
        <f>'SS INPUT'!H489</f>
        <v>4340</v>
      </c>
      <c r="AC164" s="180">
        <f>'SS INPUT'!I489</f>
        <v>10060</v>
      </c>
      <c r="AD164" s="180">
        <f>'SS INPUT'!J489</f>
        <v>14400</v>
      </c>
      <c r="AE164" s="133"/>
      <c r="AF164" s="133"/>
      <c r="AG164" s="133"/>
      <c r="AH164" s="133"/>
      <c r="AI164" s="133"/>
    </row>
    <row r="165" spans="1:35">
      <c r="A165" s="238">
        <v>163</v>
      </c>
      <c r="B165" s="238" t="s">
        <v>82</v>
      </c>
      <c r="C165" s="238" t="s">
        <v>1337</v>
      </c>
      <c r="D165" s="133"/>
      <c r="E165" s="133"/>
      <c r="F165" s="220"/>
      <c r="G165" s="220"/>
      <c r="H165" s="220"/>
      <c r="I165" s="220"/>
      <c r="J165" s="220"/>
      <c r="K165" s="220"/>
      <c r="L165" s="180"/>
      <c r="M165" s="133"/>
      <c r="N165" s="133"/>
      <c r="O165" s="133"/>
      <c r="P165" s="133"/>
      <c r="Q165" s="133"/>
      <c r="R165" s="133"/>
      <c r="S165" s="133"/>
      <c r="T165" s="133"/>
      <c r="U165" s="133"/>
      <c r="V165" s="238" t="s">
        <v>1867</v>
      </c>
      <c r="W165" s="238" t="s">
        <v>1868</v>
      </c>
      <c r="X165" s="296">
        <f>'SS INPUT'!D490</f>
        <v>15893.5</v>
      </c>
      <c r="Y165" s="296">
        <f>'SS INPUT'!E490</f>
        <v>16022</v>
      </c>
      <c r="Z165" s="296">
        <f>'SS INPUT'!F490</f>
        <v>128.5</v>
      </c>
      <c r="AA165" s="296">
        <f>'SS INPUT'!G490</f>
        <v>40</v>
      </c>
      <c r="AB165" s="180">
        <f>'SS INPUT'!H490</f>
        <v>5140</v>
      </c>
      <c r="AC165" s="180">
        <f>'SS INPUT'!I490</f>
        <v>42259</v>
      </c>
      <c r="AD165" s="180">
        <f>'SS INPUT'!J490</f>
        <v>47399</v>
      </c>
      <c r="AE165" s="133"/>
      <c r="AF165" s="133"/>
      <c r="AG165" s="133"/>
      <c r="AH165" s="133"/>
      <c r="AI165" s="133"/>
    </row>
    <row r="166" spans="1:35">
      <c r="A166" s="238">
        <v>164</v>
      </c>
      <c r="B166" s="238" t="s">
        <v>82</v>
      </c>
      <c r="C166" s="238" t="s">
        <v>1337</v>
      </c>
      <c r="D166" s="133"/>
      <c r="E166" s="133"/>
      <c r="F166" s="220"/>
      <c r="G166" s="220"/>
      <c r="H166" s="220"/>
      <c r="I166" s="220"/>
      <c r="J166" s="220"/>
      <c r="K166" s="220"/>
      <c r="L166" s="180"/>
      <c r="M166" s="133"/>
      <c r="N166" s="133"/>
      <c r="O166" s="133"/>
      <c r="P166" s="133"/>
      <c r="Q166" s="133"/>
      <c r="R166" s="133"/>
      <c r="S166" s="133"/>
      <c r="T166" s="133"/>
      <c r="U166" s="133"/>
      <c r="V166" s="238" t="s">
        <v>1869</v>
      </c>
      <c r="W166" s="238" t="s">
        <v>1870</v>
      </c>
      <c r="X166" s="296">
        <f>'SS INPUT'!D491</f>
        <v>19320</v>
      </c>
      <c r="Y166" s="296">
        <f>'SS INPUT'!E491</f>
        <v>19421.5</v>
      </c>
      <c r="Z166" s="296">
        <f>'SS INPUT'!F491</f>
        <v>101.5</v>
      </c>
      <c r="AA166" s="296">
        <f>'SS INPUT'!G491</f>
        <v>40</v>
      </c>
      <c r="AB166" s="180">
        <f>'SS INPUT'!H491</f>
        <v>4060</v>
      </c>
      <c r="AC166" s="180">
        <f>'SS INPUT'!I491</f>
        <v>14340</v>
      </c>
      <c r="AD166" s="180">
        <f>'SS INPUT'!J491</f>
        <v>18400</v>
      </c>
      <c r="AE166" s="133"/>
      <c r="AF166" s="133"/>
      <c r="AG166" s="133"/>
      <c r="AH166" s="133"/>
      <c r="AI166" s="133"/>
    </row>
    <row r="167" spans="1:35">
      <c r="A167" s="238">
        <v>165</v>
      </c>
      <c r="B167" s="238" t="s">
        <v>82</v>
      </c>
      <c r="C167" s="238" t="s">
        <v>2121</v>
      </c>
      <c r="D167" s="238" t="s">
        <v>1791</v>
      </c>
      <c r="E167" s="14" t="s">
        <v>1792</v>
      </c>
      <c r="F167" s="296">
        <f>'SS INPUT'!D494</f>
        <v>323421</v>
      </c>
      <c r="G167" s="296">
        <f>'SS INPUT'!E494</f>
        <v>328455</v>
      </c>
      <c r="H167" s="296">
        <f>'SS INPUT'!F494</f>
        <v>5034</v>
      </c>
      <c r="I167" s="296">
        <f>'SS INPUT'!G494</f>
        <v>80</v>
      </c>
      <c r="J167" s="296">
        <f>'SS INPUT'!H494</f>
        <v>402720</v>
      </c>
      <c r="K167" s="296">
        <f>'SS INPUT'!I494</f>
        <v>0</v>
      </c>
      <c r="L167" s="180">
        <f>'SS INPUT'!J494</f>
        <v>402720</v>
      </c>
      <c r="M167" s="133"/>
      <c r="N167" s="133"/>
      <c r="O167" s="133"/>
      <c r="P167" s="133"/>
      <c r="Q167" s="133"/>
      <c r="R167" s="133"/>
      <c r="S167" s="133"/>
      <c r="T167" s="133"/>
      <c r="U167" s="133"/>
      <c r="V167" s="734" t="s">
        <v>1797</v>
      </c>
      <c r="W167" s="14" t="s">
        <v>2122</v>
      </c>
      <c r="X167" s="296" t="e">
        <f>'SS INPUT'!#REF!</f>
        <v>#REF!</v>
      </c>
      <c r="Y167" s="296" t="e">
        <f>'SS INPUT'!#REF!</f>
        <v>#REF!</v>
      </c>
      <c r="Z167" s="296" t="e">
        <f>'SS INPUT'!#REF!</f>
        <v>#REF!</v>
      </c>
      <c r="AA167" s="296" t="e">
        <f>'SS INPUT'!#REF!</f>
        <v>#REF!</v>
      </c>
      <c r="AB167" s="180" t="e">
        <f>'SS INPUT'!#REF!</f>
        <v>#REF!</v>
      </c>
      <c r="AC167" s="180" t="e">
        <f>'SS INPUT'!#REF!</f>
        <v>#REF!</v>
      </c>
      <c r="AD167" s="180" t="e">
        <f>'SS INPUT'!#REF!</f>
        <v>#REF!</v>
      </c>
      <c r="AE167" s="133"/>
      <c r="AF167" s="133"/>
      <c r="AG167" s="133"/>
      <c r="AH167" s="133"/>
      <c r="AI167" s="133"/>
    </row>
    <row r="168" spans="1:35">
      <c r="A168" s="238">
        <v>166</v>
      </c>
      <c r="B168" s="238" t="s">
        <v>82</v>
      </c>
      <c r="C168" s="238" t="s">
        <v>2121</v>
      </c>
      <c r="D168" s="238" t="s">
        <v>1872</v>
      </c>
      <c r="E168" s="14" t="s">
        <v>1792</v>
      </c>
      <c r="F168" s="296">
        <f>'SS INPUT'!D495</f>
        <v>321260</v>
      </c>
      <c r="G168" s="296">
        <f>'SS INPUT'!E495</f>
        <v>324824</v>
      </c>
      <c r="H168" s="296">
        <f>'SS INPUT'!F495</f>
        <v>3564</v>
      </c>
      <c r="I168" s="296">
        <f>'SS INPUT'!G495</f>
        <v>80</v>
      </c>
      <c r="J168" s="296">
        <f>'SS INPUT'!H495</f>
        <v>285120</v>
      </c>
      <c r="K168" s="296">
        <f>'SS INPUT'!I495</f>
        <v>0</v>
      </c>
      <c r="L168" s="180">
        <f>'SS INPUT'!J495</f>
        <v>285120</v>
      </c>
      <c r="M168" s="133"/>
      <c r="N168" s="133"/>
      <c r="O168" s="133"/>
      <c r="P168" s="133"/>
      <c r="Q168" s="133"/>
      <c r="R168" s="133"/>
      <c r="S168" s="133"/>
      <c r="T168" s="133"/>
      <c r="U168" s="133"/>
      <c r="V168" s="734" t="s">
        <v>1875</v>
      </c>
      <c r="W168" s="14" t="s">
        <v>1876</v>
      </c>
      <c r="X168" s="296">
        <f>'SS INPUT'!D500</f>
        <v>179623</v>
      </c>
      <c r="Y168" s="296">
        <f>'SS INPUT'!E500</f>
        <v>182447</v>
      </c>
      <c r="Z168" s="296">
        <f>'SS INPUT'!F500</f>
        <v>2824</v>
      </c>
      <c r="AA168" s="296">
        <f>'SS INPUT'!G500</f>
        <v>40</v>
      </c>
      <c r="AB168" s="180">
        <f>'SS INPUT'!H500</f>
        <v>112960</v>
      </c>
      <c r="AC168" s="180">
        <f>'SS INPUT'!I500</f>
        <v>0</v>
      </c>
      <c r="AD168" s="180">
        <f>'SS INPUT'!J500</f>
        <v>112960</v>
      </c>
      <c r="AE168" s="133"/>
      <c r="AF168" s="133"/>
      <c r="AG168" s="133"/>
      <c r="AH168" s="133"/>
      <c r="AI168" s="133"/>
    </row>
    <row r="169" spans="1:35">
      <c r="A169" s="238">
        <v>167</v>
      </c>
      <c r="B169" s="238" t="s">
        <v>82</v>
      </c>
      <c r="C169" s="238" t="s">
        <v>2121</v>
      </c>
      <c r="D169" s="238" t="s">
        <v>1873</v>
      </c>
      <c r="E169" s="14" t="s">
        <v>1874</v>
      </c>
      <c r="F169" s="296">
        <f>'SS INPUT'!D496</f>
        <v>842876</v>
      </c>
      <c r="G169" s="296">
        <f>'SS INPUT'!E496</f>
        <v>855931</v>
      </c>
      <c r="H169" s="296">
        <f>'SS INPUT'!F496</f>
        <v>13055</v>
      </c>
      <c r="I169" s="296">
        <f>'SS INPUT'!G496</f>
        <v>80</v>
      </c>
      <c r="J169" s="296">
        <f>'SS INPUT'!H496</f>
        <v>1044400</v>
      </c>
      <c r="K169" s="296">
        <f>'SS INPUT'!I496</f>
        <v>0</v>
      </c>
      <c r="L169" s="180">
        <f>'SS INPUT'!J496</f>
        <v>1044400</v>
      </c>
      <c r="M169" s="133"/>
      <c r="N169" s="133"/>
      <c r="O169" s="133"/>
      <c r="P169" s="133"/>
      <c r="Q169" s="133"/>
      <c r="R169" s="133"/>
      <c r="S169" s="133"/>
      <c r="T169" s="133"/>
      <c r="U169" s="133"/>
      <c r="V169" s="734" t="s">
        <v>1877</v>
      </c>
      <c r="W169" s="14" t="s">
        <v>1878</v>
      </c>
      <c r="X169" s="296">
        <f>'SS INPUT'!D501</f>
        <v>615037.5</v>
      </c>
      <c r="Y169" s="296">
        <f>'SS INPUT'!E501</f>
        <v>640500.5</v>
      </c>
      <c r="Z169" s="296">
        <f>'SS INPUT'!F501</f>
        <v>25463</v>
      </c>
      <c r="AA169" s="296">
        <f>'SS INPUT'!G501</f>
        <v>40</v>
      </c>
      <c r="AB169" s="180">
        <f>'SS INPUT'!H501</f>
        <v>1018520</v>
      </c>
      <c r="AC169" s="180">
        <f>'SS INPUT'!I501</f>
        <v>0</v>
      </c>
      <c r="AD169" s="180">
        <f>'SS INPUT'!J501</f>
        <v>1018520</v>
      </c>
      <c r="AE169" s="133"/>
      <c r="AF169" s="133"/>
      <c r="AG169" s="133"/>
      <c r="AH169" s="133"/>
      <c r="AI169" s="133"/>
    </row>
    <row r="170" spans="1:35">
      <c r="A170" s="238">
        <v>168</v>
      </c>
      <c r="B170" s="238" t="s">
        <v>82</v>
      </c>
      <c r="C170" s="238" t="s">
        <v>979</v>
      </c>
      <c r="D170" s="238" t="s">
        <v>1881</v>
      </c>
      <c r="E170" s="14">
        <v>9916389</v>
      </c>
      <c r="F170" s="296">
        <f>'SS INPUT'!D506</f>
        <v>314.86599999999999</v>
      </c>
      <c r="G170" s="296">
        <f>'SS INPUT'!E506</f>
        <v>314.86599999999999</v>
      </c>
      <c r="H170" s="296">
        <f>'SS INPUT'!F506</f>
        <v>0</v>
      </c>
      <c r="I170" s="296">
        <f>'SS INPUT'!G506</f>
        <v>120</v>
      </c>
      <c r="J170" s="296">
        <f>'SS INPUT'!H506</f>
        <v>0</v>
      </c>
      <c r="K170" s="296">
        <f>'SS INPUT'!I506</f>
        <v>616439.99999999942</v>
      </c>
      <c r="L170" s="180">
        <f>'SS INPUT'!J506</f>
        <v>616439.99999999942</v>
      </c>
      <c r="M170" s="133"/>
      <c r="N170" s="133"/>
      <c r="O170" s="133"/>
      <c r="P170" s="133"/>
      <c r="Q170" s="133"/>
      <c r="R170" s="133"/>
      <c r="S170" s="133"/>
      <c r="T170" s="133"/>
      <c r="U170" s="133"/>
      <c r="V170" s="734" t="s">
        <v>1883</v>
      </c>
      <c r="W170" s="14">
        <v>9916392</v>
      </c>
      <c r="X170" s="296">
        <f>'SS INPUT'!D510</f>
        <v>9438.6659999999993</v>
      </c>
      <c r="Y170" s="296">
        <f>'SS INPUT'!E510</f>
        <v>9438.6659999999993</v>
      </c>
      <c r="Z170" s="296">
        <f>'SS INPUT'!F510</f>
        <v>0</v>
      </c>
      <c r="AA170" s="296">
        <f>'SS INPUT'!G510</f>
        <v>40</v>
      </c>
      <c r="AB170" s="180">
        <f>'SS INPUT'!H510</f>
        <v>0</v>
      </c>
      <c r="AC170" s="180">
        <f>'SS INPUT'!I510</f>
        <v>558425.28309999965</v>
      </c>
      <c r="AD170" s="180">
        <f>'SS INPUT'!J510</f>
        <v>558425.28309999965</v>
      </c>
      <c r="AE170" s="133"/>
      <c r="AF170" s="133"/>
      <c r="AG170" s="133"/>
      <c r="AH170" s="133"/>
      <c r="AI170" s="133"/>
    </row>
    <row r="171" spans="1:35">
      <c r="A171" s="238">
        <v>169</v>
      </c>
      <c r="B171" s="238" t="s">
        <v>82</v>
      </c>
      <c r="C171" s="238" t="s">
        <v>979</v>
      </c>
      <c r="D171" s="133"/>
      <c r="E171" s="133"/>
      <c r="F171" s="220"/>
      <c r="G171" s="220"/>
      <c r="H171" s="220"/>
      <c r="I171" s="220"/>
      <c r="J171" s="220"/>
      <c r="K171" s="220"/>
      <c r="L171" s="180"/>
      <c r="M171" s="133"/>
      <c r="N171" s="133"/>
      <c r="O171" s="133"/>
      <c r="P171" s="133"/>
      <c r="Q171" s="133"/>
      <c r="R171" s="133"/>
      <c r="S171" s="133"/>
      <c r="T171" s="133"/>
      <c r="U171" s="133"/>
      <c r="V171" s="734" t="s">
        <v>1885</v>
      </c>
      <c r="W171" s="14">
        <v>9916391</v>
      </c>
      <c r="X171" s="296">
        <f>'SS INPUT'!D512</f>
        <v>1051.7</v>
      </c>
      <c r="Y171" s="296">
        <f>'SS INPUT'!E512</f>
        <v>1051.7</v>
      </c>
      <c r="Z171" s="296">
        <f>'SS INPUT'!F512</f>
        <v>0</v>
      </c>
      <c r="AA171" s="296">
        <f>'SS INPUT'!G512</f>
        <v>40</v>
      </c>
      <c r="AB171" s="180">
        <f>'SS INPUT'!H512</f>
        <v>0</v>
      </c>
      <c r="AC171" s="180">
        <f>'SS INPUT'!I512</f>
        <v>47973.213400000146</v>
      </c>
      <c r="AD171" s="180">
        <f>'SS INPUT'!J512</f>
        <v>47973.213400000146</v>
      </c>
      <c r="AE171" s="133"/>
      <c r="AF171" s="133"/>
      <c r="AG171" s="133"/>
      <c r="AH171" s="133"/>
      <c r="AI171" s="133"/>
    </row>
    <row r="172" spans="1:35">
      <c r="A172" s="238">
        <v>170</v>
      </c>
      <c r="B172" s="238" t="s">
        <v>82</v>
      </c>
      <c r="C172" s="238" t="s">
        <v>2123</v>
      </c>
      <c r="D172" s="734" t="s">
        <v>1888</v>
      </c>
      <c r="E172" s="14" t="s">
        <v>1889</v>
      </c>
      <c r="F172" s="296">
        <f>'SS INPUT'!D516</f>
        <v>167295</v>
      </c>
      <c r="G172" s="296">
        <f>'SS INPUT'!E516</f>
        <v>171226</v>
      </c>
      <c r="H172" s="296">
        <f>'SS INPUT'!F516</f>
        <v>3931</v>
      </c>
      <c r="I172" s="296">
        <f>'SS INPUT'!G516</f>
        <v>80</v>
      </c>
      <c r="J172" s="296">
        <f>'SS INPUT'!H516</f>
        <v>314480</v>
      </c>
      <c r="K172" s="296">
        <f>'SS INPUT'!I516</f>
        <v>0</v>
      </c>
      <c r="L172" s="180">
        <f>'SS INPUT'!J516</f>
        <v>314480</v>
      </c>
      <c r="M172" s="133"/>
      <c r="N172" s="133"/>
      <c r="O172" s="133"/>
      <c r="P172" s="133"/>
      <c r="Q172" s="133"/>
      <c r="R172" s="133"/>
      <c r="S172" s="133"/>
      <c r="T172" s="133"/>
      <c r="U172" s="133"/>
      <c r="V172" s="734" t="s">
        <v>23</v>
      </c>
      <c r="W172" s="14" t="s">
        <v>1890</v>
      </c>
      <c r="X172" s="296">
        <f>'SS INPUT'!D519</f>
        <v>101130.5</v>
      </c>
      <c r="Y172" s="296">
        <f>'SS INPUT'!E519</f>
        <v>106634.5</v>
      </c>
      <c r="Z172" s="296">
        <f>'SS INPUT'!F519</f>
        <v>5504</v>
      </c>
      <c r="AA172" s="296">
        <f>'SS INPUT'!G519</f>
        <v>40</v>
      </c>
      <c r="AB172" s="180">
        <f>'SS INPUT'!H519</f>
        <v>220160</v>
      </c>
      <c r="AC172" s="180">
        <f>'SS INPUT'!I519</f>
        <v>0</v>
      </c>
      <c r="AD172" s="180">
        <f>'SS INPUT'!J519</f>
        <v>220160</v>
      </c>
      <c r="AE172" s="133"/>
      <c r="AF172" s="133"/>
      <c r="AG172" s="133"/>
      <c r="AH172" s="133"/>
      <c r="AI172" s="133"/>
    </row>
    <row r="173" spans="1:35">
      <c r="A173" s="238">
        <v>171</v>
      </c>
      <c r="B173" s="238" t="s">
        <v>82</v>
      </c>
      <c r="C173" s="238" t="s">
        <v>2123</v>
      </c>
      <c r="D173" s="133"/>
      <c r="E173" s="133"/>
      <c r="F173" s="133"/>
      <c r="G173" s="133"/>
      <c r="H173" s="133"/>
      <c r="I173" s="133"/>
      <c r="J173" s="133"/>
      <c r="K173" s="133"/>
      <c r="L173" s="133"/>
      <c r="M173" s="133"/>
      <c r="N173" s="133"/>
      <c r="O173" s="133"/>
      <c r="P173" s="133"/>
      <c r="Q173" s="133"/>
      <c r="R173" s="133"/>
      <c r="S173" s="133"/>
      <c r="T173" s="133"/>
      <c r="U173" s="133"/>
      <c r="V173" s="734" t="s">
        <v>1891</v>
      </c>
      <c r="W173" s="14" t="s">
        <v>1892</v>
      </c>
      <c r="X173" s="296">
        <f>'SS INPUT'!D520</f>
        <v>32673</v>
      </c>
      <c r="Y173" s="296">
        <f>'SS INPUT'!E520</f>
        <v>33461.5</v>
      </c>
      <c r="Z173" s="296">
        <f>'SS INPUT'!F520</f>
        <v>788.5</v>
      </c>
      <c r="AA173" s="296">
        <f>'SS INPUT'!G520</f>
        <v>40</v>
      </c>
      <c r="AB173" s="180">
        <f>'SS INPUT'!H520</f>
        <v>31540</v>
      </c>
      <c r="AC173" s="180">
        <f>'SS INPUT'!I520</f>
        <v>0</v>
      </c>
      <c r="AD173" s="180">
        <f>'SS INPUT'!J520</f>
        <v>31540</v>
      </c>
      <c r="AE173" s="133"/>
      <c r="AF173" s="133"/>
      <c r="AG173" s="133"/>
      <c r="AH173" s="133"/>
      <c r="AI173" s="133"/>
    </row>
    <row r="174" spans="1:35">
      <c r="A174" s="238">
        <v>172</v>
      </c>
      <c r="B174" s="238" t="s">
        <v>82</v>
      </c>
      <c r="C174" s="238" t="s">
        <v>2123</v>
      </c>
      <c r="D174" s="133"/>
      <c r="E174" s="133"/>
      <c r="F174" s="133"/>
      <c r="G174" s="133"/>
      <c r="H174" s="133"/>
      <c r="I174" s="133"/>
      <c r="J174" s="133"/>
      <c r="K174" s="133"/>
      <c r="L174" s="133"/>
      <c r="M174" s="133"/>
      <c r="N174" s="133"/>
      <c r="O174" s="133"/>
      <c r="P174" s="133"/>
      <c r="Q174" s="133"/>
      <c r="R174" s="133"/>
      <c r="S174" s="133"/>
      <c r="T174" s="133"/>
      <c r="U174" s="133"/>
      <c r="V174" s="734" t="s">
        <v>1893</v>
      </c>
      <c r="W174" s="14" t="s">
        <v>1894</v>
      </c>
      <c r="X174" s="296">
        <f>'SS INPUT'!D521</f>
        <v>196020</v>
      </c>
      <c r="Y174" s="296">
        <f>'SS INPUT'!E521</f>
        <v>197516.5</v>
      </c>
      <c r="Z174" s="296">
        <f>'SS INPUT'!F521</f>
        <v>1496.5</v>
      </c>
      <c r="AA174" s="296">
        <f>'SS INPUT'!G521</f>
        <v>40</v>
      </c>
      <c r="AB174" s="180">
        <f>'SS INPUT'!H521</f>
        <v>59860</v>
      </c>
      <c r="AC174" s="180">
        <f>'SS INPUT'!I521</f>
        <v>0</v>
      </c>
      <c r="AD174" s="180">
        <f>'SS INPUT'!J521</f>
        <v>59860</v>
      </c>
      <c r="AE174" s="133"/>
      <c r="AF174" s="133"/>
      <c r="AG174" s="133"/>
      <c r="AH174" s="133"/>
      <c r="AI174" s="133"/>
    </row>
    <row r="175" spans="1:35">
      <c r="A175" s="238">
        <v>173</v>
      </c>
      <c r="B175" s="238" t="s">
        <v>83</v>
      </c>
      <c r="C175" s="238" t="s">
        <v>2124</v>
      </c>
      <c r="D175" s="238" t="s">
        <v>1899</v>
      </c>
      <c r="E175" s="238" t="s">
        <v>1900</v>
      </c>
      <c r="F175" s="314">
        <f>'SS INPUT'!D533</f>
        <v>2774.14</v>
      </c>
      <c r="G175" s="314">
        <f>'SS INPUT'!E533</f>
        <v>2774.14</v>
      </c>
      <c r="H175" s="314">
        <f>'SS INPUT'!F533</f>
        <v>0</v>
      </c>
      <c r="I175" s="314">
        <f>'SS INPUT'!G533</f>
        <v>80000</v>
      </c>
      <c r="J175" s="314">
        <f>'SS INPUT'!H533</f>
        <v>0</v>
      </c>
      <c r="K175" s="314">
        <f>'SS INPUT'!I533</f>
        <v>0</v>
      </c>
      <c r="L175" s="314">
        <f>'SS INPUT'!J533</f>
        <v>0</v>
      </c>
      <c r="M175" s="827" t="s">
        <v>1903</v>
      </c>
      <c r="N175" s="238" t="s">
        <v>1900</v>
      </c>
      <c r="O175" s="314">
        <f>'SS INPUT'!D536</f>
        <v>586.24</v>
      </c>
      <c r="P175" s="314">
        <f>'SS INPUT'!E536</f>
        <v>602.66999999999996</v>
      </c>
      <c r="Q175" s="314">
        <f>'SS INPUT'!F536</f>
        <v>16.42999999999995</v>
      </c>
      <c r="R175" s="149">
        <f>'SS INPUT'!G536</f>
        <v>80000</v>
      </c>
      <c r="S175" s="314">
        <f>'SS INPUT'!H536</f>
        <v>1314399.999999996</v>
      </c>
      <c r="T175" s="314">
        <f>'SS INPUT'!I536</f>
        <v>0</v>
      </c>
      <c r="U175" s="314">
        <f>'SS INPUT'!J536</f>
        <v>1314399.999999996</v>
      </c>
      <c r="V175" s="238" t="s">
        <v>1221</v>
      </c>
      <c r="W175" s="238" t="s">
        <v>1904</v>
      </c>
      <c r="X175" s="220">
        <f>'SS INPUT'!D554</f>
        <v>126398.7</v>
      </c>
      <c r="Y175" s="220">
        <f>'SS INPUT'!E554</f>
        <v>126738.5</v>
      </c>
      <c r="Z175" s="220">
        <f>'SS INPUT'!F554</f>
        <v>339.80000000000291</v>
      </c>
      <c r="AA175" s="220">
        <f>'SS INPUT'!G554</f>
        <v>2000</v>
      </c>
      <c r="AB175" s="220">
        <f>'SS INPUT'!H554</f>
        <v>679600.00000000582</v>
      </c>
      <c r="AC175" s="220">
        <f>'SS INPUT'!I554</f>
        <v>0</v>
      </c>
      <c r="AD175" s="220">
        <f>'SS INPUT'!J554</f>
        <v>679600.00000000582</v>
      </c>
      <c r="AE175" s="133"/>
      <c r="AF175" s="133"/>
      <c r="AG175" s="133"/>
      <c r="AH175" s="133"/>
      <c r="AI175" s="133"/>
    </row>
    <row r="176" spans="1:35">
      <c r="A176" s="238">
        <v>174</v>
      </c>
      <c r="B176" s="238" t="s">
        <v>83</v>
      </c>
      <c r="C176" s="238" t="s">
        <v>2124</v>
      </c>
      <c r="D176" s="238" t="s">
        <v>1407</v>
      </c>
      <c r="E176" s="238" t="s">
        <v>1901</v>
      </c>
      <c r="F176" s="314">
        <f>'SS INPUT'!D534</f>
        <v>72414.100000000006</v>
      </c>
      <c r="G176" s="314">
        <f>'SS INPUT'!E534</f>
        <v>72425.3</v>
      </c>
      <c r="H176" s="314">
        <f>'SS INPUT'!F534</f>
        <v>11.19999999999709</v>
      </c>
      <c r="I176" s="314">
        <f>'SS INPUT'!G534</f>
        <v>4000</v>
      </c>
      <c r="J176" s="314">
        <f>'SS INPUT'!H534</f>
        <v>44799.999999988358</v>
      </c>
      <c r="K176" s="314">
        <f>'SS INPUT'!I534</f>
        <v>0</v>
      </c>
      <c r="L176" s="314">
        <f>'SS INPUT'!J534</f>
        <v>44799.999999988358</v>
      </c>
      <c r="M176" s="238" t="s">
        <v>1407</v>
      </c>
      <c r="N176" s="238" t="s">
        <v>1901</v>
      </c>
      <c r="O176" s="314">
        <f>'SS INPUT'!D537</f>
        <v>5309.9</v>
      </c>
      <c r="P176" s="314">
        <f>'SS INPUT'!E537</f>
        <v>5309.9</v>
      </c>
      <c r="Q176" s="314">
        <f>'SS INPUT'!F537</f>
        <v>0</v>
      </c>
      <c r="R176" s="149">
        <f>'SS INPUT'!G537</f>
        <v>4000</v>
      </c>
      <c r="S176" s="314">
        <f>'SS INPUT'!H537</f>
        <v>0</v>
      </c>
      <c r="T176" s="314">
        <f>'SS INPUT'!I537</f>
        <v>0</v>
      </c>
      <c r="U176" s="314">
        <f>'SS INPUT'!J537</f>
        <v>0</v>
      </c>
      <c r="V176" s="238" t="s">
        <v>1215</v>
      </c>
      <c r="W176" s="238" t="s">
        <v>1905</v>
      </c>
      <c r="X176" s="220">
        <f>'SS INPUT'!D555</f>
        <v>138847.6</v>
      </c>
      <c r="Y176" s="220">
        <f>'SS INPUT'!E555</f>
        <v>139560.29999999999</v>
      </c>
      <c r="Z176" s="220">
        <f>'SS INPUT'!F555</f>
        <v>712.69999999998254</v>
      </c>
      <c r="AA176" s="220">
        <f>'SS INPUT'!G555</f>
        <v>2000</v>
      </c>
      <c r="AB176" s="220">
        <f>'SS INPUT'!H555</f>
        <v>1425399.9999999651</v>
      </c>
      <c r="AC176" s="220">
        <f>'SS INPUT'!I555</f>
        <v>0</v>
      </c>
      <c r="AD176" s="220">
        <f>'SS INPUT'!J555</f>
        <v>1425399.9999999651</v>
      </c>
      <c r="AE176" s="133"/>
      <c r="AF176" s="133"/>
      <c r="AG176" s="133"/>
      <c r="AH176" s="133"/>
      <c r="AI176" s="133"/>
    </row>
    <row r="177" spans="1:35">
      <c r="A177" s="238">
        <v>175</v>
      </c>
      <c r="B177" s="238" t="s">
        <v>83</v>
      </c>
      <c r="C177" s="238" t="s">
        <v>2124</v>
      </c>
      <c r="D177" s="827" t="s">
        <v>1902</v>
      </c>
      <c r="E177" s="238"/>
      <c r="F177" s="149">
        <f>'SS INPUT'!D535</f>
        <v>0</v>
      </c>
      <c r="G177" s="149">
        <f>'SS INPUT'!E535</f>
        <v>0</v>
      </c>
      <c r="H177" s="149">
        <f>'SS INPUT'!F535</f>
        <v>0</v>
      </c>
      <c r="I177" s="149">
        <f>'SS INPUT'!G535</f>
        <v>0</v>
      </c>
      <c r="J177" s="149">
        <f>'SS INPUT'!H535</f>
        <v>0</v>
      </c>
      <c r="K177" s="149">
        <f>'SS INPUT'!I535</f>
        <v>2008000</v>
      </c>
      <c r="L177" s="149">
        <f>'SS INPUT'!J535</f>
        <v>2008000</v>
      </c>
      <c r="M177" s="133"/>
      <c r="N177" s="133"/>
      <c r="O177" s="133"/>
      <c r="P177" s="133"/>
      <c r="Q177" s="133"/>
      <c r="R177" s="133"/>
      <c r="S177" s="133"/>
      <c r="T177" s="133"/>
      <c r="U177" s="133"/>
      <c r="V177" s="238" t="s">
        <v>1906</v>
      </c>
      <c r="W177" s="238" t="s">
        <v>1907</v>
      </c>
      <c r="X177" s="220">
        <f>'SS INPUT'!D556</f>
        <v>3121.8</v>
      </c>
      <c r="Y177" s="220">
        <f>'SS INPUT'!E556</f>
        <v>3121.8</v>
      </c>
      <c r="Z177" s="220">
        <f>'SS INPUT'!F556</f>
        <v>0</v>
      </c>
      <c r="AA177" s="220">
        <f>'SS INPUT'!G556</f>
        <v>2000</v>
      </c>
      <c r="AB177" s="220">
        <f>'SS INPUT'!H556</f>
        <v>0</v>
      </c>
      <c r="AC177" s="220">
        <f>'SS INPUT'!I556</f>
        <v>0</v>
      </c>
      <c r="AD177" s="220">
        <f>'SS INPUT'!J556</f>
        <v>0</v>
      </c>
      <c r="AE177" s="133"/>
      <c r="AF177" s="133"/>
      <c r="AG177" s="133"/>
      <c r="AH177" s="133"/>
      <c r="AI177" s="133"/>
    </row>
    <row r="178" spans="1:35">
      <c r="A178" s="238">
        <v>176</v>
      </c>
      <c r="B178" s="238" t="s">
        <v>83</v>
      </c>
      <c r="C178" s="238" t="s">
        <v>2124</v>
      </c>
      <c r="D178" s="133"/>
      <c r="E178" s="133"/>
      <c r="F178" s="133"/>
      <c r="G178" s="133"/>
      <c r="H178" s="133"/>
      <c r="I178" s="133"/>
      <c r="J178" s="133"/>
      <c r="K178" s="133"/>
      <c r="L178" s="133"/>
      <c r="M178" s="133"/>
      <c r="N178" s="133"/>
      <c r="O178" s="133"/>
      <c r="P178" s="133"/>
      <c r="Q178" s="133"/>
      <c r="R178" s="133"/>
      <c r="S178" s="133"/>
      <c r="T178" s="133"/>
      <c r="U178" s="133"/>
      <c r="V178" s="238" t="s">
        <v>1908</v>
      </c>
      <c r="W178" s="238" t="s">
        <v>1909</v>
      </c>
      <c r="X178" s="220">
        <f>'SS INPUT'!D558</f>
        <v>3037.48</v>
      </c>
      <c r="Y178" s="220">
        <f>'SS INPUT'!E558</f>
        <v>3123.65</v>
      </c>
      <c r="Z178" s="220">
        <f>'SS INPUT'!F558</f>
        <v>86.170000000000073</v>
      </c>
      <c r="AA178" s="220">
        <f>'SS INPUT'!G558</f>
        <v>6000</v>
      </c>
      <c r="AB178" s="220">
        <f>'SS INPUT'!H558</f>
        <v>517020.00000000047</v>
      </c>
      <c r="AC178" s="220">
        <f>'SS INPUT'!I558</f>
        <v>0</v>
      </c>
      <c r="AD178" s="220">
        <f>'SS INPUT'!J558</f>
        <v>517020.00000000047</v>
      </c>
      <c r="AE178" s="133"/>
      <c r="AF178" s="133"/>
      <c r="AG178" s="133"/>
      <c r="AH178" s="133"/>
      <c r="AI178" s="133"/>
    </row>
    <row r="179" spans="1:35">
      <c r="A179" s="238">
        <v>177</v>
      </c>
      <c r="B179" s="238" t="s">
        <v>83</v>
      </c>
      <c r="C179" s="238" t="s">
        <v>2124</v>
      </c>
      <c r="D179" s="133"/>
      <c r="E179" s="133"/>
      <c r="F179" s="133"/>
      <c r="G179" s="133"/>
      <c r="H179" s="133"/>
      <c r="I179" s="133"/>
      <c r="J179" s="133"/>
      <c r="K179" s="133"/>
      <c r="L179" s="133"/>
      <c r="M179" s="133"/>
      <c r="N179" s="133"/>
      <c r="O179" s="133"/>
      <c r="P179" s="133"/>
      <c r="Q179" s="133"/>
      <c r="R179" s="133"/>
      <c r="S179" s="133"/>
      <c r="T179" s="133"/>
      <c r="U179" s="133"/>
      <c r="V179" s="238" t="s">
        <v>1225</v>
      </c>
      <c r="W179" s="238" t="s">
        <v>1910</v>
      </c>
      <c r="X179" s="220">
        <f>'SS INPUT'!D559</f>
        <v>407558.5</v>
      </c>
      <c r="Y179" s="220">
        <f>'SS INPUT'!E559</f>
        <v>423869</v>
      </c>
      <c r="Z179" s="220">
        <f>'SS INPUT'!F559</f>
        <v>16310.5</v>
      </c>
      <c r="AA179" s="220">
        <f>'SS INPUT'!G559</f>
        <v>60</v>
      </c>
      <c r="AB179" s="220">
        <f>'SS INPUT'!H559</f>
        <v>978630</v>
      </c>
      <c r="AC179" s="220">
        <f>'SS INPUT'!I559</f>
        <v>80000</v>
      </c>
      <c r="AD179" s="220">
        <f>'SS INPUT'!J559</f>
        <v>1058630</v>
      </c>
      <c r="AE179" s="133"/>
      <c r="AF179" s="133"/>
      <c r="AG179" s="133"/>
      <c r="AH179" s="133"/>
      <c r="AI179" s="133"/>
    </row>
    <row r="180" spans="1:35">
      <c r="A180" s="238">
        <v>178</v>
      </c>
      <c r="B180" s="238" t="s">
        <v>83</v>
      </c>
      <c r="C180" s="734" t="s">
        <v>1310</v>
      </c>
      <c r="D180" s="734" t="s">
        <v>1912</v>
      </c>
      <c r="E180" s="238" t="s">
        <v>1913</v>
      </c>
      <c r="F180" s="133">
        <f>'SS INPUT'!D547</f>
        <v>456256.8</v>
      </c>
      <c r="G180" s="133">
        <f>'SS INPUT'!E547</f>
        <v>456256.8</v>
      </c>
      <c r="H180" s="133">
        <f>'SS INPUT'!F547</f>
        <v>0</v>
      </c>
      <c r="I180" s="133">
        <f>'SS INPUT'!G547</f>
        <v>2000</v>
      </c>
      <c r="J180" s="133">
        <f>'SS INPUT'!H547</f>
        <v>0</v>
      </c>
      <c r="K180" s="133">
        <f>'SS INPUT'!I547</f>
        <v>1586000</v>
      </c>
      <c r="L180" s="133">
        <f>'SS INPUT'!J547</f>
        <v>1586000</v>
      </c>
      <c r="M180" s="133"/>
      <c r="N180" s="133"/>
      <c r="O180" s="133"/>
      <c r="P180" s="133"/>
      <c r="Q180" s="133"/>
      <c r="R180" s="133"/>
      <c r="S180" s="133"/>
      <c r="T180" s="133"/>
      <c r="U180" s="133"/>
      <c r="V180" s="238" t="s">
        <v>1918</v>
      </c>
      <c r="W180" s="238" t="s">
        <v>1919</v>
      </c>
      <c r="X180" s="220">
        <f>'SS INPUT'!D554</f>
        <v>126398.7</v>
      </c>
      <c r="Y180" s="220">
        <f>'SS INPUT'!E554</f>
        <v>126738.5</v>
      </c>
      <c r="Z180" s="220">
        <f>'SS INPUT'!F554</f>
        <v>339.80000000000291</v>
      </c>
      <c r="AA180" s="220">
        <f>'SS INPUT'!G554</f>
        <v>2000</v>
      </c>
      <c r="AB180" s="220">
        <f>'SS INPUT'!H554</f>
        <v>679600.00000000582</v>
      </c>
      <c r="AC180" s="220">
        <f>'SS INPUT'!I554</f>
        <v>0</v>
      </c>
      <c r="AD180" s="220">
        <f>'SS INPUT'!J554</f>
        <v>679600.00000000582</v>
      </c>
      <c r="AE180" s="133"/>
      <c r="AF180" s="133"/>
      <c r="AG180" s="133"/>
      <c r="AH180" s="133"/>
      <c r="AI180" s="133"/>
    </row>
    <row r="181" spans="1:35">
      <c r="A181" s="238">
        <v>179</v>
      </c>
      <c r="B181" s="238" t="s">
        <v>83</v>
      </c>
      <c r="C181" s="734" t="s">
        <v>1310</v>
      </c>
      <c r="D181" s="734" t="s">
        <v>1914</v>
      </c>
      <c r="E181" s="238" t="s">
        <v>1915</v>
      </c>
      <c r="F181" s="133">
        <f>'SS INPUT'!D548</f>
        <v>305694.40000000002</v>
      </c>
      <c r="G181" s="133">
        <f>'SS INPUT'!E548</f>
        <v>308213.3</v>
      </c>
      <c r="H181" s="133">
        <f>'SS INPUT'!F548</f>
        <v>2518.8999999999651</v>
      </c>
      <c r="I181" s="133">
        <f>'SS INPUT'!G548</f>
        <v>2000</v>
      </c>
      <c r="J181" s="133">
        <f>'SS INPUT'!H548</f>
        <v>5037799.9999999302</v>
      </c>
      <c r="K181" s="133">
        <f>'SS INPUT'!I548</f>
        <v>0</v>
      </c>
      <c r="L181" s="133">
        <f>'SS INPUT'!J548</f>
        <v>5037799.9999999302</v>
      </c>
      <c r="M181" s="133"/>
      <c r="N181" s="133"/>
      <c r="O181" s="133"/>
      <c r="P181" s="133"/>
      <c r="Q181" s="133"/>
      <c r="R181" s="133"/>
      <c r="S181" s="133"/>
      <c r="T181" s="133"/>
      <c r="U181" s="133"/>
      <c r="V181" s="238" t="s">
        <v>1920</v>
      </c>
      <c r="W181" s="238" t="s">
        <v>1921</v>
      </c>
      <c r="X181" s="220">
        <f>'SS INPUT'!D555</f>
        <v>138847.6</v>
      </c>
      <c r="Y181" s="220">
        <f>'SS INPUT'!E555</f>
        <v>139560.29999999999</v>
      </c>
      <c r="Z181" s="220">
        <f>'SS INPUT'!F555</f>
        <v>712.69999999998254</v>
      </c>
      <c r="AA181" s="220">
        <f>'SS INPUT'!G555</f>
        <v>2000</v>
      </c>
      <c r="AB181" s="220">
        <f>'SS INPUT'!H555</f>
        <v>1425399.9999999651</v>
      </c>
      <c r="AC181" s="220">
        <f>'SS INPUT'!I555</f>
        <v>0</v>
      </c>
      <c r="AD181" s="220">
        <f>'SS INPUT'!J555</f>
        <v>1425399.9999999651</v>
      </c>
      <c r="AE181" s="133"/>
      <c r="AF181" s="133"/>
      <c r="AG181" s="133"/>
      <c r="AH181" s="133"/>
      <c r="AI181" s="133"/>
    </row>
    <row r="182" spans="1:35">
      <c r="A182" s="238">
        <v>180</v>
      </c>
      <c r="B182" s="238" t="s">
        <v>83</v>
      </c>
      <c r="C182" s="734" t="s">
        <v>1310</v>
      </c>
      <c r="D182" s="734" t="s">
        <v>1916</v>
      </c>
      <c r="E182" s="238">
        <v>3300084</v>
      </c>
      <c r="F182" s="133">
        <f>'SS INPUT'!D550</f>
        <v>139538.4</v>
      </c>
      <c r="G182" s="133">
        <f>'SS INPUT'!E550</f>
        <v>139538.4</v>
      </c>
      <c r="H182" s="133">
        <f>'SS INPUT'!F550</f>
        <v>0</v>
      </c>
      <c r="I182" s="133">
        <f>'SS INPUT'!G550</f>
        <v>80</v>
      </c>
      <c r="J182" s="133">
        <f>'SS INPUT'!H550</f>
        <v>0</v>
      </c>
      <c r="K182" s="133">
        <f>'SS INPUT'!I550</f>
        <v>0</v>
      </c>
      <c r="L182" s="133">
        <f>'SS INPUT'!J550</f>
        <v>0</v>
      </c>
      <c r="M182" s="734" t="s">
        <v>1917</v>
      </c>
      <c r="N182" s="238">
        <v>3300084</v>
      </c>
      <c r="O182" s="133">
        <f>'SS INPUT'!D551</f>
        <v>0</v>
      </c>
      <c r="P182" s="133">
        <f>'SS INPUT'!E551</f>
        <v>0</v>
      </c>
      <c r="Q182" s="133">
        <f>'SS INPUT'!F551</f>
        <v>0</v>
      </c>
      <c r="R182" s="133">
        <f>'SS INPUT'!G551</f>
        <v>0</v>
      </c>
      <c r="S182" s="133">
        <f>'SS INPUT'!H551</f>
        <v>0</v>
      </c>
      <c r="T182" s="133">
        <f>'SS INPUT'!I551</f>
        <v>0</v>
      </c>
      <c r="U182" s="133">
        <f>'SS INPUT'!J551</f>
        <v>0</v>
      </c>
      <c r="V182" s="238" t="s">
        <v>1922</v>
      </c>
      <c r="W182" s="238" t="s">
        <v>1923</v>
      </c>
      <c r="X182" s="220">
        <f>'SS INPUT'!D556</f>
        <v>3121.8</v>
      </c>
      <c r="Y182" s="220">
        <f>'SS INPUT'!E556</f>
        <v>3121.8</v>
      </c>
      <c r="Z182" s="220">
        <f>'SS INPUT'!F556</f>
        <v>0</v>
      </c>
      <c r="AA182" s="220">
        <f>'SS INPUT'!G556</f>
        <v>2000</v>
      </c>
      <c r="AB182" s="220">
        <f>'SS INPUT'!H556</f>
        <v>0</v>
      </c>
      <c r="AC182" s="220">
        <f>'SS INPUT'!I556</f>
        <v>0</v>
      </c>
      <c r="AD182" s="220">
        <f>'SS INPUT'!J556</f>
        <v>0</v>
      </c>
      <c r="AE182" s="133"/>
      <c r="AF182" s="133"/>
      <c r="AG182" s="133"/>
      <c r="AH182" s="133"/>
      <c r="AI182" s="133"/>
    </row>
    <row r="183" spans="1:35">
      <c r="A183" s="238">
        <v>181</v>
      </c>
      <c r="B183" s="238" t="s">
        <v>83</v>
      </c>
      <c r="C183" s="734" t="s">
        <v>1310</v>
      </c>
      <c r="D183" s="133"/>
      <c r="E183" s="133"/>
      <c r="F183" s="133"/>
      <c r="G183" s="133"/>
      <c r="H183" s="133"/>
      <c r="I183" s="133"/>
      <c r="J183" s="133"/>
      <c r="K183" s="133"/>
      <c r="L183" s="133"/>
      <c r="M183" s="133"/>
      <c r="N183" s="133"/>
      <c r="O183" s="133"/>
      <c r="P183" s="133"/>
      <c r="Q183" s="133"/>
      <c r="R183" s="133"/>
      <c r="S183" s="133"/>
      <c r="T183" s="133"/>
      <c r="U183" s="133"/>
      <c r="V183" s="238" t="s">
        <v>1924</v>
      </c>
      <c r="W183" s="238" t="s">
        <v>1923</v>
      </c>
      <c r="X183" s="220">
        <f>'SS INPUT'!D557</f>
        <v>31524.9</v>
      </c>
      <c r="Y183" s="220">
        <f>'SS INPUT'!E557</f>
        <v>32169.200000000001</v>
      </c>
      <c r="Z183" s="220">
        <f>'SS INPUT'!F557</f>
        <v>644.29999999999927</v>
      </c>
      <c r="AA183" s="220">
        <f>'SS INPUT'!G557</f>
        <v>2000</v>
      </c>
      <c r="AB183" s="220">
        <f>'SS INPUT'!H557</f>
        <v>1288599.9999999986</v>
      </c>
      <c r="AC183" s="220">
        <f>'SS INPUT'!I557</f>
        <v>0</v>
      </c>
      <c r="AD183" s="220">
        <f>'SS INPUT'!J557</f>
        <v>1288599.9999999986</v>
      </c>
      <c r="AE183" s="133"/>
      <c r="AF183" s="133"/>
      <c r="AG183" s="133"/>
      <c r="AH183" s="133"/>
      <c r="AI183" s="133"/>
    </row>
    <row r="184" spans="1:35">
      <c r="A184" s="238">
        <v>182</v>
      </c>
      <c r="B184" s="238" t="s">
        <v>83</v>
      </c>
      <c r="C184" s="734" t="s">
        <v>1310</v>
      </c>
      <c r="D184" s="133"/>
      <c r="E184" s="133"/>
      <c r="F184" s="133"/>
      <c r="G184" s="133"/>
      <c r="H184" s="133"/>
      <c r="I184" s="133"/>
      <c r="J184" s="133"/>
      <c r="K184" s="133"/>
      <c r="L184" s="133"/>
      <c r="M184" s="133"/>
      <c r="N184" s="133"/>
      <c r="O184" s="133"/>
      <c r="P184" s="133"/>
      <c r="Q184" s="133"/>
      <c r="R184" s="133"/>
      <c r="S184" s="133"/>
      <c r="T184" s="133"/>
      <c r="U184" s="133"/>
      <c r="V184" s="238" t="s">
        <v>1925</v>
      </c>
      <c r="W184" s="238" t="s">
        <v>1926</v>
      </c>
      <c r="X184" s="220">
        <f>'SS INPUT'!D558</f>
        <v>3037.48</v>
      </c>
      <c r="Y184" s="220">
        <f>'SS INPUT'!E558</f>
        <v>3123.65</v>
      </c>
      <c r="Z184" s="220">
        <f>'SS INPUT'!F558</f>
        <v>86.170000000000073</v>
      </c>
      <c r="AA184" s="220">
        <f>'SS INPUT'!G558</f>
        <v>6000</v>
      </c>
      <c r="AB184" s="220">
        <f>'SS INPUT'!H558</f>
        <v>517020.00000000047</v>
      </c>
      <c r="AC184" s="220">
        <f>'SS INPUT'!I558</f>
        <v>0</v>
      </c>
      <c r="AD184" s="220">
        <f>'SS INPUT'!J558</f>
        <v>517020.00000000047</v>
      </c>
      <c r="AE184" s="133"/>
      <c r="AF184" s="133"/>
      <c r="AG184" s="133"/>
      <c r="AH184" s="133"/>
      <c r="AI184" s="133"/>
    </row>
    <row r="185" spans="1:35">
      <c r="A185" s="238">
        <v>183</v>
      </c>
      <c r="B185" s="238" t="s">
        <v>83</v>
      </c>
      <c r="C185" s="734" t="s">
        <v>1310</v>
      </c>
      <c r="D185" s="133"/>
      <c r="E185" s="133"/>
      <c r="F185" s="133"/>
      <c r="G185" s="133"/>
      <c r="H185" s="133"/>
      <c r="I185" s="133"/>
      <c r="J185" s="133"/>
      <c r="K185" s="133"/>
      <c r="L185" s="133"/>
      <c r="M185" s="133"/>
      <c r="N185" s="133"/>
      <c r="O185" s="133"/>
      <c r="P185" s="133"/>
      <c r="Q185" s="133"/>
      <c r="R185" s="133"/>
      <c r="S185" s="133"/>
      <c r="T185" s="133"/>
      <c r="U185" s="133"/>
      <c r="V185" s="238" t="s">
        <v>1927</v>
      </c>
      <c r="W185" s="238" t="s">
        <v>2125</v>
      </c>
      <c r="X185" s="220">
        <f>'SS INPUT'!D559</f>
        <v>407558.5</v>
      </c>
      <c r="Y185" s="220">
        <f>'SS INPUT'!E559</f>
        <v>423869</v>
      </c>
      <c r="Z185" s="220">
        <f>'SS INPUT'!F559</f>
        <v>16310.5</v>
      </c>
      <c r="AA185" s="220">
        <f>'SS INPUT'!G559</f>
        <v>60</v>
      </c>
      <c r="AB185" s="220">
        <f>'SS INPUT'!H559</f>
        <v>978630</v>
      </c>
      <c r="AC185" s="220">
        <f>'SS INPUT'!I559</f>
        <v>80000</v>
      </c>
      <c r="AD185" s="220">
        <f>'SS INPUT'!J559</f>
        <v>1058630</v>
      </c>
      <c r="AE185" s="133"/>
      <c r="AF185" s="133"/>
      <c r="AG185" s="133"/>
      <c r="AH185" s="133"/>
      <c r="AI185" s="133"/>
    </row>
    <row r="186" spans="1:35">
      <c r="A186" s="238">
        <v>184</v>
      </c>
      <c r="B186" s="238" t="s">
        <v>83</v>
      </c>
      <c r="C186" s="734" t="s">
        <v>1310</v>
      </c>
      <c r="D186" s="133"/>
      <c r="E186" s="133"/>
      <c r="F186" s="133"/>
      <c r="G186" s="133"/>
      <c r="H186" s="133"/>
      <c r="I186" s="133"/>
      <c r="J186" s="133"/>
      <c r="K186" s="133"/>
      <c r="L186" s="133"/>
      <c r="M186" s="133"/>
      <c r="N186" s="133"/>
      <c r="O186" s="133"/>
      <c r="P186" s="133"/>
      <c r="Q186" s="133"/>
      <c r="R186" s="133"/>
      <c r="S186" s="133"/>
      <c r="T186" s="133"/>
      <c r="U186" s="133"/>
      <c r="V186" s="238" t="s">
        <v>1929</v>
      </c>
      <c r="W186" s="238" t="s">
        <v>2126</v>
      </c>
      <c r="X186" s="220">
        <f>'SS INPUT'!D560</f>
        <v>132457.70000000001</v>
      </c>
      <c r="Y186" s="220">
        <f>'SS INPUT'!E560</f>
        <v>134250.9</v>
      </c>
      <c r="Z186" s="220">
        <f>'SS INPUT'!F560</f>
        <v>1793.1999999999825</v>
      </c>
      <c r="AA186" s="220">
        <f>'SS INPUT'!G560</f>
        <v>200</v>
      </c>
      <c r="AB186" s="220">
        <f>'SS INPUT'!H560</f>
        <v>358639.99999999651</v>
      </c>
      <c r="AC186" s="220">
        <f>'SS INPUT'!I560</f>
        <v>500000</v>
      </c>
      <c r="AD186" s="220">
        <f>'SS INPUT'!J560</f>
        <v>858639.99999999651</v>
      </c>
      <c r="AE186" s="133"/>
      <c r="AF186" s="133"/>
      <c r="AG186" s="133"/>
      <c r="AH186" s="133"/>
      <c r="AI186" s="133"/>
    </row>
    <row r="187" spans="1:35">
      <c r="A187" s="238">
        <v>185</v>
      </c>
      <c r="B187" s="238" t="s">
        <v>83</v>
      </c>
      <c r="C187" s="734" t="s">
        <v>216</v>
      </c>
      <c r="D187" s="238" t="s">
        <v>1914</v>
      </c>
      <c r="E187" s="238" t="s">
        <v>1933</v>
      </c>
      <c r="F187" s="133">
        <f>'SS INPUT'!D564</f>
        <v>159215</v>
      </c>
      <c r="G187" s="133">
        <f>'SS INPUT'!E564</f>
        <v>159873.60000000001</v>
      </c>
      <c r="H187" s="133">
        <f>'SS INPUT'!F564</f>
        <v>658.60000000000582</v>
      </c>
      <c r="I187" s="133">
        <f>'SS INPUT'!G564</f>
        <v>2000</v>
      </c>
      <c r="J187" s="133">
        <f>'SS INPUT'!H564</f>
        <v>1317200.0000000116</v>
      </c>
      <c r="K187" s="133">
        <f>'SS INPUT'!I564</f>
        <v>0</v>
      </c>
      <c r="L187" s="133">
        <f>'SS INPUT'!J564</f>
        <v>1317200.0000000116</v>
      </c>
      <c r="M187" s="133"/>
      <c r="N187" s="133"/>
      <c r="O187" s="133"/>
      <c r="P187" s="133"/>
      <c r="Q187" s="133"/>
      <c r="R187" s="133"/>
      <c r="S187" s="133"/>
      <c r="T187" s="133"/>
      <c r="U187" s="133"/>
      <c r="V187" s="734" t="s">
        <v>1935</v>
      </c>
      <c r="W187" s="238" t="s">
        <v>1936</v>
      </c>
      <c r="X187" s="220">
        <f>'SS INPUT'!D568</f>
        <v>48260.800000000003</v>
      </c>
      <c r="Y187" s="220">
        <f>'SS INPUT'!E568</f>
        <v>48427.3</v>
      </c>
      <c r="Z187" s="220">
        <f>'SS INPUT'!F568</f>
        <v>166.5</v>
      </c>
      <c r="AA187" s="220">
        <f>'SS INPUT'!G568</f>
        <v>2000</v>
      </c>
      <c r="AB187" s="220">
        <f>'SS INPUT'!H568</f>
        <v>333000</v>
      </c>
      <c r="AC187" s="220">
        <f>'SS INPUT'!I568</f>
        <v>0</v>
      </c>
      <c r="AD187" s="220">
        <f>'SS INPUT'!J568</f>
        <v>333000</v>
      </c>
      <c r="AE187" s="133"/>
      <c r="AF187" s="133"/>
      <c r="AG187" s="133"/>
      <c r="AH187" s="133"/>
      <c r="AI187" s="133"/>
    </row>
    <row r="188" spans="1:35">
      <c r="A188" s="238">
        <v>186</v>
      </c>
      <c r="B188" s="238" t="s">
        <v>83</v>
      </c>
      <c r="C188" s="734" t="s">
        <v>216</v>
      </c>
      <c r="D188" s="133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133"/>
      <c r="T188" s="133"/>
      <c r="U188" s="133"/>
      <c r="V188" s="734" t="s">
        <v>1937</v>
      </c>
      <c r="W188" s="238" t="s">
        <v>1938</v>
      </c>
      <c r="X188" s="220">
        <f>'SS INPUT'!D569</f>
        <v>61177</v>
      </c>
      <c r="Y188" s="220">
        <f>'SS INPUT'!E569</f>
        <v>61422.3</v>
      </c>
      <c r="Z188" s="220">
        <f>'SS INPUT'!F569</f>
        <v>245.30000000000291</v>
      </c>
      <c r="AA188" s="220">
        <f>'SS INPUT'!G569</f>
        <v>2000</v>
      </c>
      <c r="AB188" s="220">
        <f>'SS INPUT'!H569</f>
        <v>490600.00000000582</v>
      </c>
      <c r="AC188" s="220">
        <f>'SS INPUT'!I569</f>
        <v>0</v>
      </c>
      <c r="AD188" s="220">
        <f>'SS INPUT'!J569</f>
        <v>490600.00000000582</v>
      </c>
      <c r="AE188" s="133"/>
      <c r="AF188" s="133"/>
      <c r="AG188" s="133"/>
      <c r="AH188" s="133"/>
      <c r="AI188" s="133"/>
    </row>
    <row r="189" spans="1:35">
      <c r="A189" s="238">
        <v>187</v>
      </c>
      <c r="B189" s="238" t="s">
        <v>83</v>
      </c>
      <c r="C189" s="734" t="s">
        <v>216</v>
      </c>
      <c r="D189" s="133"/>
      <c r="E189" s="133"/>
      <c r="F189" s="133"/>
      <c r="G189" s="133"/>
      <c r="H189" s="133"/>
      <c r="I189" s="133"/>
      <c r="J189" s="133"/>
      <c r="K189" s="133"/>
      <c r="L189" s="133"/>
      <c r="M189" s="133"/>
      <c r="N189" s="133"/>
      <c r="O189" s="133"/>
      <c r="P189" s="133"/>
      <c r="Q189" s="133"/>
      <c r="R189" s="133"/>
      <c r="S189" s="133"/>
      <c r="T189" s="133"/>
      <c r="U189" s="133"/>
      <c r="V189" s="734" t="s">
        <v>1939</v>
      </c>
      <c r="W189" s="238" t="s">
        <v>1940</v>
      </c>
      <c r="X189" s="220">
        <f>'SS INPUT'!D570</f>
        <v>83749.2</v>
      </c>
      <c r="Y189" s="220">
        <f>'SS INPUT'!E570</f>
        <v>83990.399999999994</v>
      </c>
      <c r="Z189" s="220">
        <f>'SS INPUT'!F570</f>
        <v>241.19999999999709</v>
      </c>
      <c r="AA189" s="220">
        <f>'SS INPUT'!G570</f>
        <v>2000</v>
      </c>
      <c r="AB189" s="220">
        <f>'SS INPUT'!H570</f>
        <v>482399.99999999418</v>
      </c>
      <c r="AC189" s="220">
        <f>'SS INPUT'!I570</f>
        <v>0</v>
      </c>
      <c r="AD189" s="220">
        <f>'SS INPUT'!J570</f>
        <v>482399.99999999418</v>
      </c>
      <c r="AE189" s="133"/>
      <c r="AF189" s="133"/>
      <c r="AG189" s="133"/>
      <c r="AH189" s="133"/>
      <c r="AI189" s="133"/>
    </row>
    <row r="190" spans="1:35">
      <c r="A190" s="238">
        <v>188</v>
      </c>
      <c r="B190" s="238" t="s">
        <v>83</v>
      </c>
      <c r="C190" s="734" t="s">
        <v>220</v>
      </c>
      <c r="D190" s="238" t="s">
        <v>1942</v>
      </c>
      <c r="E190" s="238" t="s">
        <v>1943</v>
      </c>
      <c r="F190" s="133">
        <f>'SS INPUT'!D573</f>
        <v>461298.3</v>
      </c>
      <c r="G190" s="133">
        <f>'SS INPUT'!E573</f>
        <v>461298.3</v>
      </c>
      <c r="H190" s="133">
        <f>'SS INPUT'!F573</f>
        <v>0</v>
      </c>
      <c r="I190" s="133">
        <f>'SS INPUT'!G573</f>
        <v>2000</v>
      </c>
      <c r="J190" s="133">
        <f>'SS INPUT'!H573</f>
        <v>0</v>
      </c>
      <c r="K190" s="133">
        <f>'SS INPUT'!I573</f>
        <v>1898200</v>
      </c>
      <c r="L190" s="133">
        <f>'SS INPUT'!J573</f>
        <v>1898200</v>
      </c>
      <c r="M190" s="814" t="s">
        <v>1942</v>
      </c>
      <c r="N190" s="238" t="s">
        <v>1943</v>
      </c>
      <c r="O190" s="133">
        <f>'SS INPUT'!D575</f>
        <v>196</v>
      </c>
      <c r="P190" s="133">
        <f>'SS INPUT'!E575</f>
        <v>196</v>
      </c>
      <c r="Q190" s="133">
        <f>'SS INPUT'!F575</f>
        <v>0</v>
      </c>
      <c r="R190" s="133">
        <f>'SS INPUT'!G575</f>
        <v>2000</v>
      </c>
      <c r="S190" s="133">
        <f>'SS INPUT'!H575</f>
        <v>0</v>
      </c>
      <c r="T190" s="133">
        <f>'SS INPUT'!I575</f>
        <v>0</v>
      </c>
      <c r="U190" s="133">
        <f>'SS INPUT'!J575</f>
        <v>0</v>
      </c>
      <c r="V190" s="238" t="s">
        <v>1945</v>
      </c>
      <c r="W190" s="238" t="s">
        <v>1946</v>
      </c>
      <c r="X190" s="220">
        <f>'SS INPUT'!D578</f>
        <v>195590.8</v>
      </c>
      <c r="Y190" s="220">
        <f>'SS INPUT'!E578</f>
        <v>195919</v>
      </c>
      <c r="Z190" s="220">
        <f>'SS INPUT'!F578</f>
        <v>328.20000000001164</v>
      </c>
      <c r="AA190" s="220">
        <f>'SS INPUT'!G578</f>
        <v>2000</v>
      </c>
      <c r="AB190" s="220">
        <f>'SS INPUT'!H578</f>
        <v>656400.00000002328</v>
      </c>
      <c r="AC190" s="220">
        <f>'SS INPUT'!I578</f>
        <v>0</v>
      </c>
      <c r="AD190" s="220">
        <f>'SS INPUT'!J578</f>
        <v>656400.00000002328</v>
      </c>
      <c r="AE190" s="133"/>
      <c r="AF190" s="133"/>
      <c r="AG190" s="133"/>
      <c r="AH190" s="133"/>
      <c r="AI190" s="133"/>
    </row>
    <row r="191" spans="1:35">
      <c r="A191" s="238">
        <v>189</v>
      </c>
      <c r="B191" s="238" t="s">
        <v>83</v>
      </c>
      <c r="C191" s="734" t="s">
        <v>220</v>
      </c>
      <c r="D191" s="238" t="s">
        <v>1944</v>
      </c>
      <c r="E191" s="238">
        <v>3743640</v>
      </c>
      <c r="F191" s="133">
        <f>'SS INPUT'!D574</f>
        <v>889950.3</v>
      </c>
      <c r="G191" s="133">
        <f>'SS INPUT'!E574</f>
        <v>948123.6</v>
      </c>
      <c r="H191" s="133">
        <f>'SS INPUT'!F574</f>
        <v>58173.29999999993</v>
      </c>
      <c r="I191" s="133">
        <f>'SS INPUT'!G574</f>
        <v>80</v>
      </c>
      <c r="J191" s="133">
        <f>'SS INPUT'!H574</f>
        <v>4653863.9999999944</v>
      </c>
      <c r="K191" s="133">
        <f>'SS INPUT'!I574</f>
        <v>0</v>
      </c>
      <c r="L191" s="133">
        <f>'SS INPUT'!J574</f>
        <v>4653863.9999999944</v>
      </c>
      <c r="M191" s="133"/>
      <c r="N191" s="133"/>
      <c r="O191" s="133"/>
      <c r="P191" s="133"/>
      <c r="Q191" s="133"/>
      <c r="R191" s="133"/>
      <c r="S191" s="133"/>
      <c r="T191" s="133"/>
      <c r="U191" s="133"/>
      <c r="V191" s="238" t="s">
        <v>1947</v>
      </c>
      <c r="W191" s="238" t="s">
        <v>1962</v>
      </c>
      <c r="X191" s="220">
        <f>'SS INPUT'!D579</f>
        <v>30525.360000000001</v>
      </c>
      <c r="Y191" s="220">
        <f>'SS INPUT'!E579</f>
        <v>30534.42</v>
      </c>
      <c r="Z191" s="220">
        <f>'SS INPUT'!F579</f>
        <v>9.0599999999976717</v>
      </c>
      <c r="AA191" s="220">
        <f>'SS INPUT'!G579</f>
        <v>6000</v>
      </c>
      <c r="AB191" s="220">
        <f>'SS INPUT'!H579</f>
        <v>54359.99999998603</v>
      </c>
      <c r="AC191" s="220">
        <f>'SS INPUT'!I579</f>
        <v>1309420</v>
      </c>
      <c r="AD191" s="220">
        <f>'SS INPUT'!J579</f>
        <v>1363779.999999986</v>
      </c>
      <c r="AE191" s="133"/>
      <c r="AF191" s="133"/>
      <c r="AG191" s="133"/>
      <c r="AH191" s="133"/>
      <c r="AI191" s="133"/>
    </row>
    <row r="192" spans="1:35">
      <c r="A192" s="238">
        <v>190</v>
      </c>
      <c r="B192" s="238" t="s">
        <v>83</v>
      </c>
      <c r="C192" s="734" t="s">
        <v>220</v>
      </c>
      <c r="D192" s="133"/>
      <c r="E192" s="133"/>
      <c r="F192" s="133"/>
      <c r="G192" s="133"/>
      <c r="H192" s="133"/>
      <c r="I192" s="133"/>
      <c r="J192" s="133"/>
      <c r="K192" s="133"/>
      <c r="L192" s="133"/>
      <c r="M192" s="133"/>
      <c r="N192" s="133"/>
      <c r="O192" s="133"/>
      <c r="P192" s="133"/>
      <c r="Q192" s="133"/>
      <c r="R192" s="133"/>
      <c r="S192" s="133"/>
      <c r="T192" s="133"/>
      <c r="U192" s="133"/>
      <c r="V192" s="238" t="s">
        <v>220</v>
      </c>
      <c r="W192" s="238" t="s">
        <v>1949</v>
      </c>
      <c r="X192" s="220">
        <f>'SS INPUT'!D580</f>
        <v>3702.96</v>
      </c>
      <c r="Y192" s="220">
        <f>'SS INPUT'!E580</f>
        <v>3735.17</v>
      </c>
      <c r="Z192" s="220">
        <f>'SS INPUT'!F580</f>
        <v>32.210000000000036</v>
      </c>
      <c r="AA192" s="220">
        <f>'SS INPUT'!G580</f>
        <v>20000</v>
      </c>
      <c r="AB192" s="220">
        <f>'SS INPUT'!H580</f>
        <v>644200.0000000007</v>
      </c>
      <c r="AC192" s="220">
        <f>'SS INPUT'!I580</f>
        <v>0</v>
      </c>
      <c r="AD192" s="220">
        <f>'SS INPUT'!J580</f>
        <v>644200.0000000007</v>
      </c>
      <c r="AE192" s="133"/>
      <c r="AF192" s="133"/>
      <c r="AG192" s="133"/>
      <c r="AH192" s="133"/>
      <c r="AI192" s="133"/>
    </row>
    <row r="193" spans="1:35">
      <c r="A193" s="238">
        <v>191</v>
      </c>
      <c r="B193" s="238" t="s">
        <v>83</v>
      </c>
      <c r="C193" s="734" t="s">
        <v>220</v>
      </c>
      <c r="D193" s="133"/>
      <c r="E193" s="133"/>
      <c r="F193" s="133"/>
      <c r="G193" s="133"/>
      <c r="H193" s="133"/>
      <c r="I193" s="133"/>
      <c r="J193" s="133"/>
      <c r="K193" s="133"/>
      <c r="L193" s="133"/>
      <c r="M193" s="133"/>
      <c r="N193" s="133"/>
      <c r="O193" s="133"/>
      <c r="P193" s="133"/>
      <c r="Q193" s="133"/>
      <c r="R193" s="133"/>
      <c r="S193" s="133"/>
      <c r="T193" s="133"/>
      <c r="U193" s="133"/>
      <c r="V193" s="238" t="s">
        <v>1950</v>
      </c>
      <c r="W193" s="238" t="s">
        <v>1951</v>
      </c>
      <c r="X193" s="220">
        <f>'SS INPUT'!D581</f>
        <v>83748</v>
      </c>
      <c r="Y193" s="220">
        <f>'SS INPUT'!E581</f>
        <v>84033.600000000006</v>
      </c>
      <c r="Z193" s="220">
        <f>'SS INPUT'!F581</f>
        <v>285.60000000000582</v>
      </c>
      <c r="AA193" s="220">
        <f>'SS INPUT'!G581</f>
        <v>2000</v>
      </c>
      <c r="AB193" s="220">
        <f>'SS INPUT'!H581</f>
        <v>571200.00000001164</v>
      </c>
      <c r="AC193" s="220">
        <f>'SS INPUT'!I581</f>
        <v>0</v>
      </c>
      <c r="AD193" s="220">
        <f>'SS INPUT'!J581</f>
        <v>571200.00000001164</v>
      </c>
      <c r="AE193" s="133"/>
      <c r="AF193" s="133"/>
      <c r="AG193" s="133"/>
      <c r="AH193" s="133"/>
      <c r="AI193" s="133"/>
    </row>
    <row r="194" spans="1:35">
      <c r="A194" s="238">
        <v>192</v>
      </c>
      <c r="B194" s="238" t="s">
        <v>83</v>
      </c>
      <c r="C194" s="734" t="s">
        <v>220</v>
      </c>
      <c r="D194" s="133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133"/>
      <c r="T194" s="133"/>
      <c r="U194" s="133"/>
      <c r="V194" s="238" t="s">
        <v>1230</v>
      </c>
      <c r="W194" s="238" t="s">
        <v>1952</v>
      </c>
      <c r="X194" s="220">
        <f>'SS INPUT'!D582</f>
        <v>29904.3</v>
      </c>
      <c r="Y194" s="220">
        <f>'SS INPUT'!E582</f>
        <v>30028.3</v>
      </c>
      <c r="Z194" s="220">
        <f>'SS INPUT'!F582</f>
        <v>124</v>
      </c>
      <c r="AA194" s="220">
        <f>'SS INPUT'!G582</f>
        <v>2000</v>
      </c>
      <c r="AB194" s="220">
        <f>'SS INPUT'!H582</f>
        <v>248000</v>
      </c>
      <c r="AC194" s="220">
        <f>'SS INPUT'!I582</f>
        <v>0</v>
      </c>
      <c r="AD194" s="220">
        <f>'SS INPUT'!J582</f>
        <v>248000</v>
      </c>
      <c r="AE194" s="133"/>
      <c r="AF194" s="133"/>
      <c r="AG194" s="133"/>
      <c r="AH194" s="133"/>
      <c r="AI194" s="133"/>
    </row>
    <row r="195" spans="1:35">
      <c r="A195" s="238">
        <v>193</v>
      </c>
      <c r="B195" s="238" t="s">
        <v>83</v>
      </c>
      <c r="C195" s="734" t="s">
        <v>220</v>
      </c>
      <c r="D195" s="133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133"/>
      <c r="T195" s="133"/>
      <c r="U195" s="133"/>
      <c r="V195" s="238" t="s">
        <v>1953</v>
      </c>
      <c r="W195" s="238" t="s">
        <v>1954</v>
      </c>
      <c r="X195" s="220">
        <f>'SS INPUT'!D583</f>
        <v>3351.57</v>
      </c>
      <c r="Y195" s="220">
        <f>'SS INPUT'!E583</f>
        <v>3364.04</v>
      </c>
      <c r="Z195" s="220">
        <f>'SS INPUT'!F583</f>
        <v>12.4699999999998</v>
      </c>
      <c r="AA195" s="220">
        <f>'SS INPUT'!G583</f>
        <v>4000</v>
      </c>
      <c r="AB195" s="220">
        <f>'SS INPUT'!H583</f>
        <v>49879.9999999992</v>
      </c>
      <c r="AC195" s="220">
        <f>'SS INPUT'!I583</f>
        <v>0</v>
      </c>
      <c r="AD195" s="220">
        <f>'SS INPUT'!J583</f>
        <v>49879.9999999992</v>
      </c>
      <c r="AE195" s="133"/>
      <c r="AF195" s="133"/>
      <c r="AG195" s="133"/>
      <c r="AH195" s="133"/>
      <c r="AI195" s="133"/>
    </row>
    <row r="196" spans="1:35">
      <c r="A196" s="238">
        <v>194</v>
      </c>
      <c r="B196" s="238" t="s">
        <v>83</v>
      </c>
      <c r="C196" s="734" t="s">
        <v>220</v>
      </c>
      <c r="D196" s="133"/>
      <c r="E196" s="133"/>
      <c r="F196" s="133"/>
      <c r="G196" s="133"/>
      <c r="H196" s="133"/>
      <c r="I196" s="133"/>
      <c r="J196" s="133"/>
      <c r="K196" s="133"/>
      <c r="L196" s="133"/>
      <c r="M196" s="133"/>
      <c r="N196" s="133"/>
      <c r="O196" s="133"/>
      <c r="P196" s="133"/>
      <c r="Q196" s="133"/>
      <c r="R196" s="133"/>
      <c r="S196" s="133"/>
      <c r="T196" s="133"/>
      <c r="U196" s="133"/>
      <c r="V196" s="238" t="s">
        <v>1961</v>
      </c>
      <c r="W196" s="238" t="s">
        <v>2127</v>
      </c>
      <c r="X196" s="220">
        <f>'SS INPUT'!D584</f>
        <v>1640.07</v>
      </c>
      <c r="Y196" s="220">
        <f>'SS INPUT'!E584</f>
        <v>1787.75</v>
      </c>
      <c r="Z196" s="220">
        <f>'SS INPUT'!F584</f>
        <v>147.68000000000006</v>
      </c>
      <c r="AA196" s="220">
        <f>'SS INPUT'!G584</f>
        <v>4000</v>
      </c>
      <c r="AB196" s="220">
        <f>'SS INPUT'!H584</f>
        <v>590720.00000000023</v>
      </c>
      <c r="AC196" s="220">
        <f>'SS INPUT'!I584</f>
        <v>300000</v>
      </c>
      <c r="AD196" s="220">
        <f>'SS INPUT'!J584</f>
        <v>890720.00000000023</v>
      </c>
      <c r="AE196" s="133"/>
      <c r="AF196" s="133"/>
      <c r="AG196" s="133"/>
      <c r="AH196" s="133"/>
      <c r="AI196" s="133"/>
    </row>
    <row r="197" spans="1:35">
      <c r="A197" s="238">
        <v>195</v>
      </c>
      <c r="B197" s="238" t="s">
        <v>83</v>
      </c>
      <c r="C197" s="734" t="s">
        <v>220</v>
      </c>
      <c r="D197" s="133"/>
      <c r="E197" s="133"/>
      <c r="F197" s="133"/>
      <c r="G197" s="133"/>
      <c r="H197" s="133"/>
      <c r="I197" s="133"/>
      <c r="J197" s="133"/>
      <c r="K197" s="133"/>
      <c r="L197" s="133"/>
      <c r="M197" s="133"/>
      <c r="N197" s="133"/>
      <c r="O197" s="133"/>
      <c r="P197" s="133"/>
      <c r="Q197" s="133"/>
      <c r="R197" s="133"/>
      <c r="S197" s="133"/>
      <c r="T197" s="133"/>
      <c r="U197" s="133"/>
      <c r="V197" s="238" t="s">
        <v>1957</v>
      </c>
      <c r="W197" s="238" t="s">
        <v>1958</v>
      </c>
      <c r="X197" s="220">
        <f>'SS INPUT'!D585</f>
        <v>1939.865</v>
      </c>
      <c r="Y197" s="220">
        <f>'SS INPUT'!E585</f>
        <v>1952.855</v>
      </c>
      <c r="Z197" s="220">
        <f>'SS INPUT'!F585</f>
        <v>12.990000000000009</v>
      </c>
      <c r="AA197" s="220">
        <f>'SS INPUT'!G585</f>
        <v>60000</v>
      </c>
      <c r="AB197" s="220">
        <f>'SS INPUT'!H585</f>
        <v>779400.00000000058</v>
      </c>
      <c r="AC197" s="220">
        <f>'SS INPUT'!I585</f>
        <v>0</v>
      </c>
      <c r="AD197" s="220">
        <f>'SS INPUT'!J585</f>
        <v>779400.00000000058</v>
      </c>
      <c r="AE197" s="133"/>
      <c r="AF197" s="133"/>
      <c r="AG197" s="133"/>
      <c r="AH197" s="133"/>
      <c r="AI197" s="133"/>
    </row>
    <row r="198" spans="1:35">
      <c r="A198" s="238">
        <v>196</v>
      </c>
      <c r="B198" s="238" t="s">
        <v>83</v>
      </c>
      <c r="C198" s="734" t="s">
        <v>220</v>
      </c>
      <c r="D198" s="133"/>
      <c r="E198" s="133"/>
      <c r="F198" s="133"/>
      <c r="G198" s="133"/>
      <c r="H198" s="133"/>
      <c r="I198" s="133"/>
      <c r="J198" s="133"/>
      <c r="K198" s="133"/>
      <c r="L198" s="133"/>
      <c r="M198" s="133"/>
      <c r="N198" s="133"/>
      <c r="O198" s="133"/>
      <c r="P198" s="133"/>
      <c r="Q198" s="133"/>
      <c r="R198" s="133"/>
      <c r="S198" s="133"/>
      <c r="T198" s="133"/>
      <c r="U198" s="133"/>
      <c r="V198" s="734" t="s">
        <v>1959</v>
      </c>
      <c r="W198" s="238" t="s">
        <v>1960</v>
      </c>
      <c r="X198" s="220">
        <f>'SS INPUT'!D586</f>
        <v>660.82</v>
      </c>
      <c r="Y198" s="220">
        <f>'SS INPUT'!E586</f>
        <v>673.75</v>
      </c>
      <c r="Z198" s="220">
        <f>'SS INPUT'!F586</f>
        <v>12.92999999999995</v>
      </c>
      <c r="AA198" s="220">
        <f>'SS INPUT'!G586</f>
        <v>4000</v>
      </c>
      <c r="AB198" s="220">
        <f>'SS INPUT'!H586</f>
        <v>51719.999999999796</v>
      </c>
      <c r="AC198" s="220">
        <f>'SS INPUT'!I586</f>
        <v>450000</v>
      </c>
      <c r="AD198" s="220">
        <f>'SS INPUT'!J586</f>
        <v>501719.99999999977</v>
      </c>
      <c r="AE198" s="133"/>
      <c r="AF198" s="133"/>
      <c r="AG198" s="133"/>
      <c r="AH198" s="133"/>
      <c r="AI198" s="133"/>
    </row>
    <row r="199" spans="1:35">
      <c r="A199" s="238">
        <v>197</v>
      </c>
      <c r="B199" s="238" t="s">
        <v>83</v>
      </c>
      <c r="C199" s="734" t="s">
        <v>961</v>
      </c>
      <c r="D199" s="734" t="s">
        <v>1964</v>
      </c>
      <c r="E199" s="238" t="s">
        <v>1965</v>
      </c>
      <c r="F199" s="133">
        <f>'SS INPUT'!D590</f>
        <v>148220.70000000001</v>
      </c>
      <c r="G199" s="133">
        <f>'SS INPUT'!E590</f>
        <v>149908.9</v>
      </c>
      <c r="H199" s="133">
        <f>'SS INPUT'!F590</f>
        <v>1688.1999999999825</v>
      </c>
      <c r="I199" s="133">
        <f>'SS INPUT'!G590</f>
        <v>2000</v>
      </c>
      <c r="J199" s="133">
        <f>'SS INPUT'!H590</f>
        <v>3376399.9999999651</v>
      </c>
      <c r="K199" s="133">
        <f>'SS INPUT'!I590</f>
        <v>0</v>
      </c>
      <c r="L199" s="133">
        <f>'SS INPUT'!J590</f>
        <v>3376399.9999999651</v>
      </c>
      <c r="M199" s="133"/>
      <c r="N199" s="133"/>
      <c r="O199" s="133"/>
      <c r="P199" s="133"/>
      <c r="Q199" s="133"/>
      <c r="R199" s="133"/>
      <c r="S199" s="133"/>
      <c r="T199" s="133"/>
      <c r="U199" s="133"/>
      <c r="V199" s="238" t="s">
        <v>1967</v>
      </c>
      <c r="W199" s="153" t="s">
        <v>1968</v>
      </c>
      <c r="X199" s="296">
        <f>'SS INPUT'!D595</f>
        <v>5418.87</v>
      </c>
      <c r="Y199" s="296">
        <f>'SS INPUT'!E595</f>
        <v>5424.3</v>
      </c>
      <c r="Z199" s="296">
        <f>'SS INPUT'!F595</f>
        <v>5.430000000000291</v>
      </c>
      <c r="AA199" s="296">
        <f>'SS INPUT'!G595</f>
        <v>6000</v>
      </c>
      <c r="AB199" s="296">
        <f>'SS INPUT'!H595</f>
        <v>32580.000000001746</v>
      </c>
      <c r="AC199" s="296">
        <f>'SS INPUT'!I595</f>
        <v>30020.4739999987</v>
      </c>
      <c r="AD199" s="296">
        <f>'SS INPUT'!J595</f>
        <v>62600.474000000446</v>
      </c>
      <c r="AE199" s="133"/>
      <c r="AF199" s="133"/>
      <c r="AG199" s="133"/>
      <c r="AH199" s="133"/>
      <c r="AI199" s="133"/>
    </row>
    <row r="200" spans="1:35">
      <c r="A200" s="238">
        <v>198</v>
      </c>
      <c r="B200" s="238" t="s">
        <v>83</v>
      </c>
      <c r="C200" s="734" t="s">
        <v>961</v>
      </c>
      <c r="D200" s="734" t="s">
        <v>1776</v>
      </c>
      <c r="E200" s="238" t="s">
        <v>1966</v>
      </c>
      <c r="F200" s="133">
        <f>'SS INPUT'!D591</f>
        <v>151873.5</v>
      </c>
      <c r="G200" s="133">
        <f>'SS INPUT'!E591</f>
        <v>151874.6</v>
      </c>
      <c r="H200" s="133">
        <f>'SS INPUT'!F591</f>
        <v>1.1000000000058208</v>
      </c>
      <c r="I200" s="133">
        <f>'SS INPUT'!G591</f>
        <v>1500</v>
      </c>
      <c r="J200" s="133">
        <f>'SS INPUT'!H591</f>
        <v>1650.0000000087311</v>
      </c>
      <c r="K200" s="133">
        <f>'SS INPUT'!I591</f>
        <v>0</v>
      </c>
      <c r="L200" s="133">
        <f>'SS INPUT'!J591</f>
        <v>1650.0000000087311</v>
      </c>
      <c r="M200" s="133"/>
      <c r="N200" s="133"/>
      <c r="O200" s="133"/>
      <c r="P200" s="133"/>
      <c r="Q200" s="133"/>
      <c r="R200" s="133"/>
      <c r="S200" s="133"/>
      <c r="T200" s="133"/>
      <c r="U200" s="133"/>
      <c r="V200" s="238" t="s">
        <v>1969</v>
      </c>
      <c r="W200" s="14" t="s">
        <v>1970</v>
      </c>
      <c r="X200" s="296">
        <f>'SS INPUT'!D596</f>
        <v>746884</v>
      </c>
      <c r="Y200" s="296">
        <f>'SS INPUT'!E596</f>
        <v>756870.5</v>
      </c>
      <c r="Z200" s="296">
        <f>'SS INPUT'!F596</f>
        <v>9986.5</v>
      </c>
      <c r="AA200" s="296">
        <f>'SS INPUT'!G596</f>
        <v>60</v>
      </c>
      <c r="AB200" s="296">
        <f>'SS INPUT'!H596</f>
        <v>599190</v>
      </c>
      <c r="AC200" s="296">
        <f>'SS INPUT'!I596</f>
        <v>325844.37540000002</v>
      </c>
      <c r="AD200" s="296">
        <f>'SS INPUT'!J596</f>
        <v>925034.37540000002</v>
      </c>
      <c r="AE200" s="133"/>
      <c r="AF200" s="133"/>
      <c r="AG200" s="133"/>
      <c r="AH200" s="133"/>
      <c r="AI200" s="133"/>
    </row>
    <row r="201" spans="1:35">
      <c r="A201" s="238">
        <v>199</v>
      </c>
      <c r="B201" s="238" t="s">
        <v>83</v>
      </c>
      <c r="C201" s="734" t="s">
        <v>961</v>
      </c>
      <c r="D201" s="133"/>
      <c r="E201" s="133"/>
      <c r="F201" s="133"/>
      <c r="G201" s="133"/>
      <c r="H201" s="133"/>
      <c r="I201" s="133"/>
      <c r="J201" s="133"/>
      <c r="K201" s="133"/>
      <c r="L201" s="133"/>
      <c r="M201" s="133"/>
      <c r="N201" s="133"/>
      <c r="O201" s="133"/>
      <c r="P201" s="133"/>
      <c r="Q201" s="133"/>
      <c r="R201" s="133"/>
      <c r="S201" s="133"/>
      <c r="T201" s="133"/>
      <c r="U201" s="133"/>
      <c r="V201" s="238" t="s">
        <v>1971</v>
      </c>
      <c r="W201" s="153" t="s">
        <v>1972</v>
      </c>
      <c r="X201" s="296">
        <f>'SS INPUT'!D597</f>
        <v>103387.2</v>
      </c>
      <c r="Y201" s="296">
        <f>'SS INPUT'!E597</f>
        <v>103894.1</v>
      </c>
      <c r="Z201" s="296">
        <f>'SS INPUT'!F597</f>
        <v>506.90000000000873</v>
      </c>
      <c r="AA201" s="296">
        <f>'SS INPUT'!G597</f>
        <v>2000</v>
      </c>
      <c r="AB201" s="296">
        <f>'SS INPUT'!H597</f>
        <v>1013800.0000000175</v>
      </c>
      <c r="AC201" s="296">
        <f>'SS INPUT'!I597</f>
        <v>0</v>
      </c>
      <c r="AD201" s="296">
        <f>'SS INPUT'!J597</f>
        <v>1013800.0000000175</v>
      </c>
      <c r="AE201" s="133"/>
      <c r="AF201" s="133"/>
      <c r="AG201" s="133"/>
      <c r="AH201" s="133"/>
      <c r="AI201" s="133"/>
    </row>
    <row r="202" spans="1:35">
      <c r="A202" s="238">
        <v>200</v>
      </c>
      <c r="B202" s="238" t="s">
        <v>83</v>
      </c>
      <c r="C202" s="734" t="s">
        <v>961</v>
      </c>
      <c r="D202" s="133"/>
      <c r="E202" s="133"/>
      <c r="F202" s="133"/>
      <c r="G202" s="133"/>
      <c r="H202" s="133"/>
      <c r="I202" s="133"/>
      <c r="J202" s="133"/>
      <c r="K202" s="133"/>
      <c r="L202" s="133"/>
      <c r="M202" s="133"/>
      <c r="N202" s="133"/>
      <c r="O202" s="133"/>
      <c r="P202" s="133"/>
      <c r="Q202" s="133"/>
      <c r="R202" s="133"/>
      <c r="S202" s="133"/>
      <c r="T202" s="133"/>
      <c r="U202" s="133"/>
      <c r="V202" s="238" t="s">
        <v>1973</v>
      </c>
      <c r="W202" s="153" t="s">
        <v>1974</v>
      </c>
      <c r="X202" s="296">
        <f>'SS INPUT'!D598</f>
        <v>1732085.5</v>
      </c>
      <c r="Y202" s="296">
        <f>'SS INPUT'!E598</f>
        <v>1755220</v>
      </c>
      <c r="Z202" s="296">
        <f>'SS INPUT'!F598</f>
        <v>23134.5</v>
      </c>
      <c r="AA202" s="296">
        <f>'SS INPUT'!G598</f>
        <v>40</v>
      </c>
      <c r="AB202" s="296">
        <f>'SS INPUT'!H598</f>
        <v>925380</v>
      </c>
      <c r="AC202" s="296">
        <f>'SS INPUT'!I598</f>
        <v>409719.98619999998</v>
      </c>
      <c r="AD202" s="296">
        <f>'SS INPUT'!J598</f>
        <v>1335099.9861999999</v>
      </c>
      <c r="AE202" s="133"/>
      <c r="AF202" s="133"/>
      <c r="AG202" s="133"/>
      <c r="AH202" s="133"/>
      <c r="AI202" s="133"/>
    </row>
    <row r="203" spans="1:35">
      <c r="A203" s="238">
        <v>201</v>
      </c>
      <c r="B203" s="238" t="s">
        <v>83</v>
      </c>
      <c r="C203" s="734" t="s">
        <v>2128</v>
      </c>
      <c r="D203" s="734" t="s">
        <v>1776</v>
      </c>
      <c r="E203" s="238" t="s">
        <v>1976</v>
      </c>
      <c r="F203" s="133">
        <f>'SS INPUT'!D601</f>
        <v>239815.2</v>
      </c>
      <c r="G203" s="133">
        <f>'SS INPUT'!E601</f>
        <v>240924.4</v>
      </c>
      <c r="H203" s="133">
        <f>'SS INPUT'!F601</f>
        <v>1109.1999999999825</v>
      </c>
      <c r="I203" s="133">
        <f>'SS INPUT'!G601</f>
        <v>2000</v>
      </c>
      <c r="J203" s="133">
        <f>'SS INPUT'!H601</f>
        <v>2218399.9999999651</v>
      </c>
      <c r="K203" s="133">
        <f>'SS INPUT'!I601</f>
        <v>0</v>
      </c>
      <c r="L203" s="133">
        <f>'SS INPUT'!J601</f>
        <v>2218399.9999999651</v>
      </c>
      <c r="M203" s="133"/>
      <c r="N203" s="133"/>
      <c r="O203" s="133"/>
      <c r="P203" s="133"/>
      <c r="Q203" s="133"/>
      <c r="R203" s="133"/>
      <c r="S203" s="133"/>
      <c r="T203" s="133"/>
      <c r="U203" s="133"/>
      <c r="V203" s="238" t="s">
        <v>1978</v>
      </c>
      <c r="W203" s="238" t="s">
        <v>1979</v>
      </c>
      <c r="X203" s="220">
        <f>'SS INPUT'!D605</f>
        <v>41104.300000000003</v>
      </c>
      <c r="Y203" s="220">
        <f>'SS INPUT'!E605</f>
        <v>41394.6</v>
      </c>
      <c r="Z203" s="220">
        <f>'SS INPUT'!F605</f>
        <v>290.29999999999563</v>
      </c>
      <c r="AA203" s="220">
        <f>'SS INPUT'!G605</f>
        <v>2000</v>
      </c>
      <c r="AB203" s="220">
        <f>'SS INPUT'!H605</f>
        <v>580599.99999999127</v>
      </c>
      <c r="AC203" s="220">
        <f>'SS INPUT'!I605</f>
        <v>0</v>
      </c>
      <c r="AD203" s="220">
        <f>'SS INPUT'!J605</f>
        <v>580599.99999999127</v>
      </c>
      <c r="AE203" s="133"/>
      <c r="AF203" s="133"/>
      <c r="AG203" s="133"/>
      <c r="AH203" s="133"/>
      <c r="AI203" s="133"/>
    </row>
    <row r="204" spans="1:35">
      <c r="A204" s="238">
        <v>202</v>
      </c>
      <c r="B204" s="238" t="s">
        <v>83</v>
      </c>
      <c r="C204" s="734" t="s">
        <v>2128</v>
      </c>
      <c r="D204" s="133"/>
      <c r="E204" s="133"/>
      <c r="F204" s="133"/>
      <c r="G204" s="133"/>
      <c r="H204" s="133"/>
      <c r="I204" s="133"/>
      <c r="J204" s="133"/>
      <c r="K204" s="133"/>
      <c r="L204" s="133"/>
      <c r="M204" s="133"/>
      <c r="N204" s="133"/>
      <c r="O204" s="133"/>
      <c r="P204" s="133"/>
      <c r="Q204" s="133"/>
      <c r="R204" s="133"/>
      <c r="S204" s="133"/>
      <c r="T204" s="133"/>
      <c r="U204" s="133"/>
      <c r="V204" s="238" t="s">
        <v>1980</v>
      </c>
      <c r="W204" s="238" t="s">
        <v>1981</v>
      </c>
      <c r="X204" s="220">
        <f>'SS INPUT'!D606</f>
        <v>5568.05</v>
      </c>
      <c r="Y204" s="220">
        <f>'SS INPUT'!E606</f>
        <v>5682.79</v>
      </c>
      <c r="Z204" s="220">
        <f>'SS INPUT'!F606</f>
        <v>114.73999999999978</v>
      </c>
      <c r="AA204" s="220">
        <f>'SS INPUT'!G606</f>
        <v>6000</v>
      </c>
      <c r="AB204" s="220">
        <f>'SS INPUT'!H606</f>
        <v>688439.99999999872</v>
      </c>
      <c r="AC204" s="220">
        <f>'SS INPUT'!I606</f>
        <v>0</v>
      </c>
      <c r="AD204" s="220">
        <f>'SS INPUT'!J606</f>
        <v>688439.99999999872</v>
      </c>
      <c r="AE204" s="133"/>
      <c r="AF204" s="133"/>
      <c r="AG204" s="133"/>
      <c r="AH204" s="133"/>
      <c r="AI204" s="133"/>
    </row>
    <row r="205" spans="1:35">
      <c r="A205" s="238">
        <v>203</v>
      </c>
      <c r="B205" s="238" t="s">
        <v>83</v>
      </c>
      <c r="C205" s="734" t="s">
        <v>2128</v>
      </c>
      <c r="D205" s="133"/>
      <c r="E205" s="133"/>
      <c r="F205" s="133"/>
      <c r="G205" s="133"/>
      <c r="H205" s="133"/>
      <c r="I205" s="133"/>
      <c r="J205" s="133"/>
      <c r="K205" s="133"/>
      <c r="L205" s="133"/>
      <c r="M205" s="133"/>
      <c r="N205" s="133"/>
      <c r="O205" s="133"/>
      <c r="P205" s="133"/>
      <c r="Q205" s="133"/>
      <c r="R205" s="133"/>
      <c r="S205" s="133"/>
      <c r="T205" s="133"/>
      <c r="U205" s="133"/>
      <c r="V205" s="238" t="s">
        <v>1982</v>
      </c>
      <c r="W205" s="238" t="s">
        <v>1983</v>
      </c>
      <c r="X205" s="220">
        <f>'SS INPUT'!D607</f>
        <v>69551.3</v>
      </c>
      <c r="Y205" s="220">
        <f>'SS INPUT'!E607</f>
        <v>69559.199999999997</v>
      </c>
      <c r="Z205" s="220">
        <f>'SS INPUT'!F607</f>
        <v>7.8999999999941792</v>
      </c>
      <c r="AA205" s="220">
        <f>'SS INPUT'!G607</f>
        <v>2000</v>
      </c>
      <c r="AB205" s="220">
        <f>'SS INPUT'!H607</f>
        <v>15799.999999988358</v>
      </c>
      <c r="AC205" s="220">
        <f>'SS INPUT'!I607</f>
        <v>930605.86020000605</v>
      </c>
      <c r="AD205" s="220">
        <f>'SS INPUT'!J607</f>
        <v>946405.86019999441</v>
      </c>
      <c r="AE205" s="133"/>
      <c r="AF205" s="133"/>
      <c r="AG205" s="133"/>
      <c r="AH205" s="133"/>
      <c r="AI205" s="133"/>
    </row>
    <row r="206" spans="1:35">
      <c r="A206" s="238">
        <v>204</v>
      </c>
      <c r="B206" s="238" t="s">
        <v>83</v>
      </c>
      <c r="C206" s="734" t="s">
        <v>222</v>
      </c>
      <c r="D206" s="238" t="s">
        <v>1985</v>
      </c>
      <c r="E206" s="238" t="s">
        <v>1986</v>
      </c>
      <c r="F206" s="133">
        <f>'SS INPUT'!D610</f>
        <v>1463.85</v>
      </c>
      <c r="G206" s="133">
        <f>'SS INPUT'!E610</f>
        <v>1468.42</v>
      </c>
      <c r="H206" s="133">
        <f>'SS INPUT'!F610</f>
        <v>4.5700000000001637</v>
      </c>
      <c r="I206" s="133">
        <f>'SS INPUT'!G610</f>
        <v>80000</v>
      </c>
      <c r="J206" s="133">
        <f>'SS INPUT'!H610</f>
        <v>365600.0000000131</v>
      </c>
      <c r="K206" s="133">
        <f>'SS INPUT'!I610</f>
        <v>0</v>
      </c>
      <c r="L206" s="133">
        <f>'SS INPUT'!J610</f>
        <v>365600.0000000131</v>
      </c>
      <c r="M206" s="133"/>
      <c r="N206" s="133"/>
      <c r="O206" s="133"/>
      <c r="P206" s="133"/>
      <c r="Q206" s="133"/>
      <c r="R206" s="133"/>
      <c r="S206" s="133"/>
      <c r="T206" s="133"/>
      <c r="U206" s="133"/>
      <c r="V206" s="238" t="s">
        <v>1989</v>
      </c>
      <c r="W206" s="153" t="s">
        <v>1990</v>
      </c>
      <c r="X206" s="220">
        <f>'SS INPUT'!D614</f>
        <v>12960.7</v>
      </c>
      <c r="Y206" s="220">
        <f>'SS INPUT'!E614</f>
        <v>13361.9</v>
      </c>
      <c r="Z206" s="220">
        <f>'SS INPUT'!F614</f>
        <v>401.19999999999891</v>
      </c>
      <c r="AA206" s="220">
        <f>'SS INPUT'!G614</f>
        <v>1600</v>
      </c>
      <c r="AB206" s="220">
        <f>'SS INPUT'!H614</f>
        <v>641919.99999999825</v>
      </c>
      <c r="AC206" s="220">
        <f>'SS INPUT'!I614</f>
        <v>-44479.6875</v>
      </c>
      <c r="AD206" s="220">
        <f>'SS INPUT'!J614</f>
        <v>597440.31249999825</v>
      </c>
      <c r="AE206" s="133"/>
      <c r="AF206" s="133"/>
      <c r="AG206" s="133"/>
      <c r="AH206" s="133"/>
      <c r="AI206" s="133"/>
    </row>
    <row r="207" spans="1:35">
      <c r="A207" s="238">
        <v>205</v>
      </c>
      <c r="B207" s="238" t="s">
        <v>83</v>
      </c>
      <c r="C207" s="734" t="s">
        <v>222</v>
      </c>
      <c r="D207" s="238" t="s">
        <v>1987</v>
      </c>
      <c r="E207" s="238" t="s">
        <v>1988</v>
      </c>
      <c r="F207" s="133">
        <f>'SS INPUT'!D611</f>
        <v>139940.79999999999</v>
      </c>
      <c r="G207" s="133">
        <f>'SS INPUT'!E611</f>
        <v>139940.79999999999</v>
      </c>
      <c r="H207" s="133">
        <f>'SS INPUT'!F611</f>
        <v>0</v>
      </c>
      <c r="I207" s="133">
        <f>'SS INPUT'!G611</f>
        <v>2000</v>
      </c>
      <c r="J207" s="133">
        <f>'SS INPUT'!H611</f>
        <v>0</v>
      </c>
      <c r="K207" s="133">
        <f>'SS INPUT'!I611</f>
        <v>2659000</v>
      </c>
      <c r="L207" s="133">
        <f>'SS INPUT'!J611</f>
        <v>2659000</v>
      </c>
      <c r="M207" s="133"/>
      <c r="N207" s="133"/>
      <c r="O207" s="133"/>
      <c r="P207" s="133"/>
      <c r="Q207" s="133"/>
      <c r="R207" s="133"/>
      <c r="S207" s="133"/>
      <c r="T207" s="133"/>
      <c r="U207" s="133"/>
      <c r="V207" s="238" t="s">
        <v>1991</v>
      </c>
      <c r="W207" s="153" t="s">
        <v>1992</v>
      </c>
      <c r="X207" s="220">
        <f>'SS INPUT'!D615</f>
        <v>23653.7</v>
      </c>
      <c r="Y207" s="220">
        <f>'SS INPUT'!E615</f>
        <v>23910.3</v>
      </c>
      <c r="Z207" s="220">
        <f>'SS INPUT'!F615</f>
        <v>256.59999999999854</v>
      </c>
      <c r="AA207" s="220">
        <f>'SS INPUT'!G615</f>
        <v>2000</v>
      </c>
      <c r="AB207" s="220">
        <f>'SS INPUT'!H615</f>
        <v>513199.99999999709</v>
      </c>
      <c r="AC207" s="220">
        <f>'SS INPUT'!I615</f>
        <v>0</v>
      </c>
      <c r="AD207" s="220">
        <f>'SS INPUT'!J615</f>
        <v>513199.99999999709</v>
      </c>
      <c r="AE207" s="133"/>
      <c r="AF207" s="133"/>
      <c r="AG207" s="133"/>
      <c r="AH207" s="133"/>
      <c r="AI207" s="133"/>
    </row>
    <row r="208" spans="1:35">
      <c r="A208" s="238">
        <v>206</v>
      </c>
      <c r="B208" s="238" t="s">
        <v>83</v>
      </c>
      <c r="C208" s="734" t="s">
        <v>222</v>
      </c>
      <c r="D208" s="133"/>
      <c r="E208" s="133"/>
      <c r="F208" s="133"/>
      <c r="G208" s="133"/>
      <c r="H208" s="133"/>
      <c r="I208" s="133"/>
      <c r="J208" s="133"/>
      <c r="K208" s="133"/>
      <c r="L208" s="133"/>
      <c r="M208" s="133"/>
      <c r="N208" s="133"/>
      <c r="O208" s="133"/>
      <c r="P208" s="133"/>
      <c r="Q208" s="133"/>
      <c r="R208" s="133"/>
      <c r="S208" s="133"/>
      <c r="T208" s="133"/>
      <c r="U208" s="133"/>
      <c r="V208" s="238" t="s">
        <v>1993</v>
      </c>
      <c r="W208" s="153" t="s">
        <v>1994</v>
      </c>
      <c r="X208" s="220">
        <f>'SS INPUT'!D616</f>
        <v>26559.4</v>
      </c>
      <c r="Y208" s="220">
        <f>'SS INPUT'!E616</f>
        <v>26559.4</v>
      </c>
      <c r="Z208" s="220">
        <f>'SS INPUT'!F616</f>
        <v>0</v>
      </c>
      <c r="AA208" s="220">
        <f>'SS INPUT'!G616</f>
        <v>2000</v>
      </c>
      <c r="AB208" s="220">
        <f>'SS INPUT'!H616</f>
        <v>0</v>
      </c>
      <c r="AC208" s="220">
        <f>'SS INPUT'!I616</f>
        <v>637640.62390000001</v>
      </c>
      <c r="AD208" s="220">
        <f>'SS INPUT'!J616</f>
        <v>637640.62390000001</v>
      </c>
      <c r="AE208" s="133"/>
      <c r="AF208" s="133"/>
      <c r="AG208" s="133"/>
      <c r="AH208" s="133"/>
      <c r="AI208" s="133"/>
    </row>
    <row r="209" spans="1:35">
      <c r="A209" s="238">
        <v>207</v>
      </c>
      <c r="B209" s="238" t="s">
        <v>83</v>
      </c>
      <c r="C209" s="734" t="s">
        <v>222</v>
      </c>
      <c r="D209" s="133"/>
      <c r="E209" s="133"/>
      <c r="F209" s="133"/>
      <c r="G209" s="133"/>
      <c r="H209" s="133"/>
      <c r="I209" s="133"/>
      <c r="J209" s="133"/>
      <c r="K209" s="133"/>
      <c r="L209" s="133"/>
      <c r="M209" s="133"/>
      <c r="N209" s="133"/>
      <c r="O209" s="133"/>
      <c r="P209" s="133"/>
      <c r="Q209" s="133"/>
      <c r="R209" s="133"/>
      <c r="S209" s="133"/>
      <c r="T209" s="133"/>
      <c r="U209" s="133"/>
      <c r="V209" s="734" t="s">
        <v>1995</v>
      </c>
      <c r="W209" s="153" t="s">
        <v>1996</v>
      </c>
      <c r="X209" s="220">
        <f>'SS INPUT'!D617</f>
        <v>44075.6</v>
      </c>
      <c r="Y209" s="220">
        <f>'SS INPUT'!E617</f>
        <v>44377.9</v>
      </c>
      <c r="Z209" s="220">
        <f>'SS INPUT'!F617</f>
        <v>302.30000000000291</v>
      </c>
      <c r="AA209" s="220">
        <f>'SS INPUT'!G617</f>
        <v>2000</v>
      </c>
      <c r="AB209" s="220">
        <f>'SS INPUT'!H617</f>
        <v>604600.00000000582</v>
      </c>
      <c r="AC209" s="220">
        <f>'SS INPUT'!I617</f>
        <v>0</v>
      </c>
      <c r="AD209" s="220">
        <f>'SS INPUT'!J617</f>
        <v>604600.00000000582</v>
      </c>
      <c r="AE209" s="133"/>
      <c r="AF209" s="133"/>
      <c r="AG209" s="133"/>
      <c r="AH209" s="133"/>
      <c r="AI209" s="133"/>
    </row>
    <row r="210" spans="1:35">
      <c r="A210" s="238">
        <v>208</v>
      </c>
      <c r="B210" s="238" t="s">
        <v>83</v>
      </c>
      <c r="C210" s="734" t="s">
        <v>222</v>
      </c>
      <c r="D210" s="133"/>
      <c r="E210" s="133"/>
      <c r="F210" s="133"/>
      <c r="G210" s="133"/>
      <c r="H210" s="133"/>
      <c r="I210" s="133"/>
      <c r="J210" s="133"/>
      <c r="K210" s="133"/>
      <c r="L210" s="133"/>
      <c r="M210" s="133"/>
      <c r="N210" s="133"/>
      <c r="O210" s="133"/>
      <c r="P210" s="133"/>
      <c r="Q210" s="133"/>
      <c r="R210" s="133"/>
      <c r="S210" s="133"/>
      <c r="T210" s="133"/>
      <c r="U210" s="133"/>
      <c r="V210" s="734" t="s">
        <v>1997</v>
      </c>
      <c r="W210" s="153" t="s">
        <v>1998</v>
      </c>
      <c r="X210" s="220">
        <f>'SS INPUT'!D618</f>
        <v>2576.1</v>
      </c>
      <c r="Y210" s="220">
        <f>'SS INPUT'!E618</f>
        <v>2601.6</v>
      </c>
      <c r="Z210" s="220">
        <f>'SS INPUT'!F618</f>
        <v>25.5</v>
      </c>
      <c r="AA210" s="220">
        <f>'SS INPUT'!G618</f>
        <v>2000</v>
      </c>
      <c r="AB210" s="220">
        <f>'SS INPUT'!H618</f>
        <v>51000</v>
      </c>
      <c r="AC210" s="220">
        <f>'SS INPUT'!I618</f>
        <v>0</v>
      </c>
      <c r="AD210" s="220">
        <f>'SS INPUT'!J618</f>
        <v>51000</v>
      </c>
      <c r="AE210" s="133"/>
      <c r="AF210" s="133"/>
      <c r="AG210" s="133"/>
      <c r="AH210" s="133"/>
      <c r="AI210" s="133"/>
    </row>
    <row r="211" spans="1:35">
      <c r="A211" s="238">
        <v>209</v>
      </c>
      <c r="B211" s="238" t="s">
        <v>83</v>
      </c>
      <c r="C211" s="734" t="s">
        <v>222</v>
      </c>
      <c r="D211" s="133"/>
      <c r="E211" s="133"/>
      <c r="F211" s="133"/>
      <c r="G211" s="133"/>
      <c r="H211" s="133"/>
      <c r="I211" s="133"/>
      <c r="J211" s="133"/>
      <c r="K211" s="133"/>
      <c r="L211" s="133"/>
      <c r="M211" s="133"/>
      <c r="N211" s="133"/>
      <c r="O211" s="133"/>
      <c r="P211" s="133"/>
      <c r="Q211" s="133"/>
      <c r="R211" s="133"/>
      <c r="S211" s="133"/>
      <c r="T211" s="133"/>
      <c r="U211" s="133"/>
      <c r="V211" s="734" t="s">
        <v>1999</v>
      </c>
      <c r="W211" s="153" t="s">
        <v>2000</v>
      </c>
      <c r="X211" s="220">
        <f>'SS INPUT'!D619</f>
        <v>5274.68</v>
      </c>
      <c r="Y211" s="220">
        <f>'SS INPUT'!E619</f>
        <v>5419.27</v>
      </c>
      <c r="Z211" s="220">
        <f>'SS INPUT'!F619</f>
        <v>144.59000000000015</v>
      </c>
      <c r="AA211" s="220">
        <f>'SS INPUT'!G619</f>
        <v>4000</v>
      </c>
      <c r="AB211" s="220">
        <f>'SS INPUT'!H619</f>
        <v>578360.00000000058</v>
      </c>
      <c r="AC211" s="220">
        <f>'SS INPUT'!I619</f>
        <v>0</v>
      </c>
      <c r="AD211" s="220">
        <f>'SS INPUT'!J619</f>
        <v>578360.00000000058</v>
      </c>
      <c r="AE211" s="133"/>
      <c r="AF211" s="133"/>
      <c r="AG211" s="133"/>
      <c r="AH211" s="133"/>
      <c r="AI211" s="133"/>
    </row>
    <row r="212" spans="1:35">
      <c r="A212" s="238">
        <v>210</v>
      </c>
      <c r="B212" s="238" t="s">
        <v>83</v>
      </c>
      <c r="C212" s="734" t="s">
        <v>222</v>
      </c>
      <c r="D212" s="133"/>
      <c r="E212" s="133"/>
      <c r="F212" s="133"/>
      <c r="G212" s="133"/>
      <c r="H212" s="133"/>
      <c r="I212" s="133"/>
      <c r="J212" s="133"/>
      <c r="K212" s="133"/>
      <c r="L212" s="133"/>
      <c r="M212" s="133"/>
      <c r="N212" s="133"/>
      <c r="O212" s="133"/>
      <c r="P212" s="133"/>
      <c r="Q212" s="133"/>
      <c r="R212" s="133"/>
      <c r="S212" s="133"/>
      <c r="T212" s="133"/>
      <c r="U212" s="133"/>
      <c r="V212" s="734" t="s">
        <v>2001</v>
      </c>
      <c r="W212" s="153"/>
      <c r="X212" s="220">
        <f>'SS INPUT'!D620</f>
        <v>0</v>
      </c>
      <c r="Y212" s="220">
        <f>'SS INPUT'!E620</f>
        <v>0</v>
      </c>
      <c r="Z212" s="220">
        <f>'SS INPUT'!F620</f>
        <v>0</v>
      </c>
      <c r="AA212" s="220">
        <f>'SS INPUT'!G620</f>
        <v>0</v>
      </c>
      <c r="AB212" s="220">
        <f>'SS INPUT'!H620</f>
        <v>0</v>
      </c>
      <c r="AC212" s="220">
        <f>'SS INPUT'!I620</f>
        <v>75000</v>
      </c>
      <c r="AD212" s="220">
        <f>'SS INPUT'!J620</f>
        <v>0</v>
      </c>
      <c r="AE212" s="133"/>
      <c r="AF212" s="133"/>
      <c r="AG212" s="133"/>
      <c r="AH212" s="133"/>
      <c r="AI212" s="133"/>
    </row>
    <row r="213" spans="1:35">
      <c r="A213" s="238">
        <v>211</v>
      </c>
      <c r="B213" s="238" t="s">
        <v>83</v>
      </c>
      <c r="C213" s="734" t="s">
        <v>1315</v>
      </c>
      <c r="D213" s="734" t="s">
        <v>2003</v>
      </c>
      <c r="E213" s="238">
        <v>3300083</v>
      </c>
      <c r="F213" s="133">
        <f>'SS INPUT'!D623</f>
        <v>183438.1</v>
      </c>
      <c r="G213" s="133">
        <f>'SS INPUT'!E623</f>
        <v>203354.7</v>
      </c>
      <c r="H213" s="133">
        <f>'SS INPUT'!F623</f>
        <v>20228.7</v>
      </c>
      <c r="I213" s="133">
        <f>'SS INPUT'!G623</f>
        <v>80</v>
      </c>
      <c r="J213" s="133">
        <f>'SS INPUT'!H623</f>
        <v>1618296</v>
      </c>
      <c r="K213" s="133">
        <f>'SS INPUT'!I623</f>
        <v>138000</v>
      </c>
      <c r="L213" s="133">
        <f>'SS INPUT'!J623</f>
        <v>1756296</v>
      </c>
      <c r="M213" s="133"/>
      <c r="N213" s="133"/>
      <c r="O213" s="133"/>
      <c r="P213" s="133"/>
      <c r="Q213" s="133"/>
      <c r="R213" s="133"/>
      <c r="S213" s="133"/>
      <c r="T213" s="133"/>
      <c r="U213" s="133"/>
      <c r="V213" s="734" t="s">
        <v>2005</v>
      </c>
      <c r="W213" s="238" t="s">
        <v>2006</v>
      </c>
      <c r="X213" s="220">
        <f>'SS INPUT'!D627</f>
        <v>3369.98</v>
      </c>
      <c r="Y213" s="220">
        <f>'SS INPUT'!E627</f>
        <v>3385.18</v>
      </c>
      <c r="Z213" s="220">
        <f>'SS INPUT'!F627</f>
        <v>15.199999999999818</v>
      </c>
      <c r="AA213" s="220">
        <f>'SS INPUT'!G627</f>
        <v>20000</v>
      </c>
      <c r="AB213" s="220">
        <f>'SS INPUT'!H627</f>
        <v>303999.99999999639</v>
      </c>
      <c r="AC213" s="220">
        <f>'SS INPUT'!I627</f>
        <v>320000</v>
      </c>
      <c r="AD213" s="220">
        <f>'SS INPUT'!J627</f>
        <v>623999.99999999639</v>
      </c>
      <c r="AE213" s="133"/>
      <c r="AF213" s="133"/>
      <c r="AG213" s="133"/>
      <c r="AH213" s="133"/>
      <c r="AI213" s="133"/>
    </row>
    <row r="214" spans="1:35">
      <c r="A214" s="238">
        <v>212</v>
      </c>
      <c r="B214" s="238" t="s">
        <v>83</v>
      </c>
      <c r="C214" s="734" t="s">
        <v>1315</v>
      </c>
      <c r="D214" s="734" t="s">
        <v>2003</v>
      </c>
      <c r="E214" s="238" t="s">
        <v>2004</v>
      </c>
      <c r="F214" s="133">
        <f>'SS INPUT'!D624</f>
        <v>73704.7</v>
      </c>
      <c r="G214" s="133">
        <f>'SS INPUT'!E624</f>
        <v>74760.2</v>
      </c>
      <c r="H214" s="133">
        <f>'SS INPUT'!F624</f>
        <v>1055.5</v>
      </c>
      <c r="I214" s="133">
        <f>'SS INPUT'!G624</f>
        <v>2000</v>
      </c>
      <c r="J214" s="133">
        <f>'SS INPUT'!H624</f>
        <v>2111000</v>
      </c>
      <c r="K214" s="133">
        <f>'SS INPUT'!I624</f>
        <v>0</v>
      </c>
      <c r="L214" s="133">
        <f>'SS INPUT'!J624</f>
        <v>2111000</v>
      </c>
      <c r="M214" s="133"/>
      <c r="N214" s="133"/>
      <c r="O214" s="133"/>
      <c r="P214" s="133"/>
      <c r="Q214" s="133"/>
      <c r="R214" s="133"/>
      <c r="S214" s="133"/>
      <c r="T214" s="133"/>
      <c r="U214" s="133"/>
      <c r="V214" s="734" t="s">
        <v>2007</v>
      </c>
      <c r="W214" s="238" t="s">
        <v>2008</v>
      </c>
      <c r="X214" s="220">
        <f>'SS INPUT'!D628</f>
        <v>38193.1</v>
      </c>
      <c r="Y214" s="220">
        <f>'SS INPUT'!E628</f>
        <v>38216</v>
      </c>
      <c r="Z214" s="220">
        <f>'SS INPUT'!F628</f>
        <v>22.900000000001455</v>
      </c>
      <c r="AA214" s="220">
        <f>'SS INPUT'!G628</f>
        <v>2000</v>
      </c>
      <c r="AB214" s="220">
        <f>'SS INPUT'!H628</f>
        <v>45800.00000000291</v>
      </c>
      <c r="AC214" s="220">
        <f>'SS INPUT'!I628</f>
        <v>906158.59290000598</v>
      </c>
      <c r="AD214" s="220">
        <f>'SS INPUT'!J628</f>
        <v>951958.59290000889</v>
      </c>
      <c r="AE214" s="133"/>
      <c r="AF214" s="133"/>
      <c r="AG214" s="133"/>
      <c r="AH214" s="133"/>
      <c r="AI214" s="133"/>
    </row>
    <row r="215" spans="1:35">
      <c r="A215" s="238">
        <v>213</v>
      </c>
      <c r="B215" s="238" t="s">
        <v>83</v>
      </c>
      <c r="C215" s="734" t="s">
        <v>1315</v>
      </c>
      <c r="D215" s="133"/>
      <c r="E215" s="133"/>
      <c r="F215" s="133"/>
      <c r="G215" s="133"/>
      <c r="H215" s="133"/>
      <c r="I215" s="133"/>
      <c r="J215" s="133"/>
      <c r="K215" s="133"/>
      <c r="L215" s="133"/>
      <c r="M215" s="133"/>
      <c r="N215" s="133"/>
      <c r="O215" s="133"/>
      <c r="P215" s="133"/>
      <c r="Q215" s="133"/>
      <c r="R215" s="133"/>
      <c r="S215" s="133"/>
      <c r="T215" s="133"/>
      <c r="U215" s="133"/>
      <c r="V215" s="734" t="s">
        <v>2009</v>
      </c>
      <c r="W215" s="238" t="s">
        <v>2010</v>
      </c>
      <c r="X215" s="220">
        <f>'SS INPUT'!D629</f>
        <v>5603.99</v>
      </c>
      <c r="Y215" s="220">
        <f>'SS INPUT'!E629</f>
        <v>5750.41</v>
      </c>
      <c r="Z215" s="220">
        <f>'SS INPUT'!F629</f>
        <v>146.42000000000007</v>
      </c>
      <c r="AA215" s="220">
        <f>'SS INPUT'!G629</f>
        <v>6000</v>
      </c>
      <c r="AB215" s="220">
        <f>'SS INPUT'!H629</f>
        <v>878520.00000000047</v>
      </c>
      <c r="AC215" s="220">
        <f>'SS INPUT'!I629</f>
        <v>0</v>
      </c>
      <c r="AD215" s="220">
        <f>'SS INPUT'!J629</f>
        <v>878520.00000000047</v>
      </c>
      <c r="AE215" s="133"/>
      <c r="AF215" s="133"/>
      <c r="AG215" s="133"/>
      <c r="AH215" s="133"/>
      <c r="AI215" s="133"/>
    </row>
    <row r="216" spans="1:35">
      <c r="A216" s="238">
        <v>214</v>
      </c>
      <c r="B216" s="238" t="s">
        <v>83</v>
      </c>
      <c r="C216" s="734" t="s">
        <v>1315</v>
      </c>
      <c r="D216" s="133"/>
      <c r="E216" s="133"/>
      <c r="F216" s="133"/>
      <c r="G216" s="133"/>
      <c r="H216" s="133"/>
      <c r="I216" s="133"/>
      <c r="J216" s="133"/>
      <c r="K216" s="133"/>
      <c r="L216" s="133"/>
      <c r="M216" s="133"/>
      <c r="N216" s="133"/>
      <c r="O216" s="133"/>
      <c r="P216" s="133"/>
      <c r="Q216" s="133"/>
      <c r="R216" s="133"/>
      <c r="S216" s="133"/>
      <c r="T216" s="133"/>
      <c r="U216" s="133"/>
      <c r="V216" s="734" t="s">
        <v>931</v>
      </c>
      <c r="W216" s="238" t="s">
        <v>2011</v>
      </c>
      <c r="X216" s="220">
        <f>'SS INPUT'!D630</f>
        <v>37903.599999999999</v>
      </c>
      <c r="Y216" s="220">
        <f>'SS INPUT'!E630</f>
        <v>38305.9</v>
      </c>
      <c r="Z216" s="220">
        <f>'SS INPUT'!F630</f>
        <v>402.30000000000291</v>
      </c>
      <c r="AA216" s="220">
        <f>'SS INPUT'!G630</f>
        <v>2000</v>
      </c>
      <c r="AB216" s="220">
        <f>'SS INPUT'!H630</f>
        <v>804600.00000000582</v>
      </c>
      <c r="AC216" s="220">
        <f>'SS INPUT'!I630</f>
        <v>0</v>
      </c>
      <c r="AD216" s="220">
        <f>'SS INPUT'!J630</f>
        <v>804600.00000000582</v>
      </c>
      <c r="AE216" s="133"/>
      <c r="AF216" s="133"/>
      <c r="AG216" s="133"/>
      <c r="AH216" s="133"/>
      <c r="AI216" s="133"/>
    </row>
    <row r="217" spans="1:35">
      <c r="A217" s="238">
        <v>215</v>
      </c>
      <c r="B217" s="238" t="s">
        <v>83</v>
      </c>
      <c r="C217" s="734" t="s">
        <v>1315</v>
      </c>
      <c r="D217" s="133"/>
      <c r="E217" s="133"/>
      <c r="F217" s="133"/>
      <c r="G217" s="133"/>
      <c r="H217" s="133"/>
      <c r="I217" s="133"/>
      <c r="J217" s="133"/>
      <c r="K217" s="133"/>
      <c r="L217" s="133"/>
      <c r="M217" s="133"/>
      <c r="N217" s="133"/>
      <c r="O217" s="133"/>
      <c r="P217" s="133"/>
      <c r="Q217" s="133"/>
      <c r="R217" s="133"/>
      <c r="S217" s="133"/>
      <c r="T217" s="133"/>
      <c r="U217" s="133"/>
      <c r="V217" s="734" t="s">
        <v>2012</v>
      </c>
      <c r="W217" s="238" t="s">
        <v>2013</v>
      </c>
      <c r="X217" s="220">
        <f>'SS INPUT'!D631</f>
        <v>3552.24</v>
      </c>
      <c r="Y217" s="220">
        <f>'SS INPUT'!E631</f>
        <v>3552.25</v>
      </c>
      <c r="Z217" s="220">
        <f>'SS INPUT'!F631</f>
        <v>1.0000000000218279E-2</v>
      </c>
      <c r="AA217" s="220">
        <f>'SS INPUT'!G631</f>
        <v>6000</v>
      </c>
      <c r="AB217" s="220">
        <f>'SS INPUT'!H631</f>
        <v>60.000000001309672</v>
      </c>
      <c r="AC217" s="220">
        <f>'SS INPUT'!I631</f>
        <v>600000</v>
      </c>
      <c r="AD217" s="220">
        <f>'SS INPUT'!J631</f>
        <v>600060.00000000128</v>
      </c>
      <c r="AE217" s="133"/>
      <c r="AF217" s="133"/>
      <c r="AG217" s="133"/>
      <c r="AH217" s="133"/>
      <c r="AI217" s="133"/>
    </row>
    <row r="218" spans="1:35">
      <c r="A218" s="238">
        <v>216</v>
      </c>
      <c r="B218" s="238" t="s">
        <v>83</v>
      </c>
      <c r="C218" s="734" t="s">
        <v>2129</v>
      </c>
      <c r="D218" s="734" t="s">
        <v>1776</v>
      </c>
      <c r="E218" s="238" t="s">
        <v>2015</v>
      </c>
      <c r="F218" s="133">
        <f>'SS INPUT'!D634</f>
        <v>193961.2</v>
      </c>
      <c r="G218" s="133">
        <f>'SS INPUT'!E634</f>
        <v>194541.4</v>
      </c>
      <c r="H218" s="133">
        <f>'SS INPUT'!F634</f>
        <v>580.19999999998254</v>
      </c>
      <c r="I218" s="133">
        <f>'SS INPUT'!G634</f>
        <v>1000</v>
      </c>
      <c r="J218" s="133">
        <f>'SS INPUT'!H634</f>
        <v>580199.99999998254</v>
      </c>
      <c r="K218" s="133">
        <f>'SS INPUT'!I634</f>
        <v>0</v>
      </c>
      <c r="L218" s="133">
        <f>'SS INPUT'!J634</f>
        <v>580199.99999998254</v>
      </c>
      <c r="M218" s="133"/>
      <c r="N218" s="133"/>
      <c r="O218" s="133"/>
      <c r="P218" s="133"/>
      <c r="Q218" s="133"/>
      <c r="R218" s="133"/>
      <c r="S218" s="133"/>
      <c r="T218" s="133"/>
      <c r="U218" s="133"/>
      <c r="V218" s="734" t="s">
        <v>2017</v>
      </c>
      <c r="W218" s="238" t="s">
        <v>2018</v>
      </c>
      <c r="X218" s="220">
        <f>'SS INPUT'!D639</f>
        <v>27662.6</v>
      </c>
      <c r="Y218" s="220">
        <f>'SS INPUT'!E639</f>
        <v>27662.6</v>
      </c>
      <c r="Z218" s="220">
        <f>'SS INPUT'!F639</f>
        <v>0</v>
      </c>
      <c r="AA218" s="220">
        <f>'SS INPUT'!G639</f>
        <v>2000</v>
      </c>
      <c r="AB218" s="220">
        <f>'SS INPUT'!H639</f>
        <v>0</v>
      </c>
      <c r="AC218" s="220">
        <f>'SS INPUT'!I639</f>
        <v>890000</v>
      </c>
      <c r="AD218" s="220">
        <f>'SS INPUT'!J639</f>
        <v>890000</v>
      </c>
      <c r="AE218" s="133"/>
      <c r="AF218" s="133"/>
      <c r="AG218" s="133"/>
      <c r="AH218" s="133"/>
      <c r="AI218" s="133"/>
    </row>
    <row r="219" spans="1:35">
      <c r="A219" s="238">
        <v>217</v>
      </c>
      <c r="B219" s="238" t="s">
        <v>83</v>
      </c>
      <c r="C219" s="734" t="s">
        <v>2129</v>
      </c>
      <c r="D219" s="133"/>
      <c r="E219" s="133"/>
      <c r="F219" s="133"/>
      <c r="G219" s="133"/>
      <c r="H219" s="133"/>
      <c r="I219" s="133"/>
      <c r="J219" s="133"/>
      <c r="K219" s="133"/>
      <c r="L219" s="133"/>
      <c r="M219" s="133"/>
      <c r="N219" s="133"/>
      <c r="O219" s="133"/>
      <c r="P219" s="133"/>
      <c r="Q219" s="133"/>
      <c r="R219" s="133"/>
      <c r="S219" s="133"/>
      <c r="T219" s="133"/>
      <c r="U219" s="133"/>
      <c r="V219" s="734" t="s">
        <v>1213</v>
      </c>
      <c r="W219" s="238" t="s">
        <v>2019</v>
      </c>
      <c r="X219" s="220">
        <f>'SS INPUT'!D640</f>
        <v>54803</v>
      </c>
      <c r="Y219" s="220">
        <f>'SS INPUT'!E640</f>
        <v>54803</v>
      </c>
      <c r="Z219" s="220">
        <f>'SS INPUT'!F640</f>
        <v>0</v>
      </c>
      <c r="AA219" s="220">
        <f>'SS INPUT'!G640</f>
        <v>2000</v>
      </c>
      <c r="AB219" s="220">
        <f>'SS INPUT'!H640</f>
        <v>0</v>
      </c>
      <c r="AC219" s="220">
        <f>'SS INPUT'!I640</f>
        <v>795186</v>
      </c>
      <c r="AD219" s="220">
        <f>'SS INPUT'!J640</f>
        <v>795186</v>
      </c>
      <c r="AE219" s="133"/>
      <c r="AF219" s="133"/>
      <c r="AG219" s="133"/>
      <c r="AH219" s="133"/>
      <c r="AI219" s="133"/>
    </row>
    <row r="220" spans="1:35">
      <c r="A220" s="238">
        <v>218</v>
      </c>
      <c r="B220" s="238" t="s">
        <v>83</v>
      </c>
      <c r="C220" s="734" t="s">
        <v>2129</v>
      </c>
      <c r="D220" s="133"/>
      <c r="E220" s="133"/>
      <c r="F220" s="133"/>
      <c r="G220" s="133"/>
      <c r="H220" s="133"/>
      <c r="I220" s="133"/>
      <c r="J220" s="133"/>
      <c r="K220" s="133"/>
      <c r="L220" s="133"/>
      <c r="M220" s="133"/>
      <c r="N220" s="133"/>
      <c r="O220" s="133"/>
      <c r="P220" s="133"/>
      <c r="Q220" s="133"/>
      <c r="R220" s="133"/>
      <c r="S220" s="133"/>
      <c r="T220" s="133"/>
      <c r="U220" s="133"/>
      <c r="V220" s="734" t="s">
        <v>2020</v>
      </c>
      <c r="W220" s="238" t="s">
        <v>2021</v>
      </c>
      <c r="X220" s="220">
        <f>'SS INPUT'!D641</f>
        <v>4019.1</v>
      </c>
      <c r="Y220" s="220">
        <f>'SS INPUT'!E641</f>
        <v>4050.9</v>
      </c>
      <c r="Z220" s="220">
        <f>'SS INPUT'!F641</f>
        <v>31.800000000000182</v>
      </c>
      <c r="AA220" s="220">
        <f>'SS INPUT'!G641</f>
        <v>2000</v>
      </c>
      <c r="AB220" s="220">
        <f>'SS INPUT'!H641</f>
        <v>63600.000000000364</v>
      </c>
      <c r="AC220" s="220">
        <f>'SS INPUT'!I641</f>
        <v>0</v>
      </c>
      <c r="AD220" s="220">
        <f>'SS INPUT'!J641</f>
        <v>63600.000000000364</v>
      </c>
      <c r="AE220" s="133"/>
      <c r="AF220" s="133"/>
      <c r="AG220" s="133"/>
      <c r="AH220" s="133"/>
      <c r="AI220" s="133"/>
    </row>
    <row r="221" spans="1:35">
      <c r="A221" s="238">
        <v>219</v>
      </c>
      <c r="B221" s="238" t="s">
        <v>83</v>
      </c>
      <c r="C221" s="734" t="s">
        <v>2025</v>
      </c>
      <c r="D221" s="734" t="s">
        <v>2003</v>
      </c>
      <c r="E221" s="238" t="s">
        <v>2024</v>
      </c>
      <c r="F221" s="133">
        <f>'SS INPUT'!D645</f>
        <v>94831.5</v>
      </c>
      <c r="G221" s="133">
        <f>'SS INPUT'!E645</f>
        <v>95649.7</v>
      </c>
      <c r="H221" s="133">
        <f>'SS INPUT'!F645</f>
        <v>818.19999999999709</v>
      </c>
      <c r="I221" s="133">
        <f>'SS INPUT'!G645</f>
        <v>2000</v>
      </c>
      <c r="J221" s="133">
        <f>'SS INPUT'!H645</f>
        <v>1636399.9999999942</v>
      </c>
      <c r="K221" s="133">
        <f>'SS INPUT'!I645</f>
        <v>0</v>
      </c>
      <c r="L221" s="133">
        <f>'SS INPUT'!J645</f>
        <v>1636399.9999999942</v>
      </c>
      <c r="M221" s="133"/>
      <c r="N221" s="133"/>
      <c r="O221" s="133"/>
      <c r="P221" s="133"/>
      <c r="Q221" s="133"/>
      <c r="R221" s="133"/>
      <c r="S221" s="133"/>
      <c r="T221" s="133"/>
      <c r="U221" s="133"/>
      <c r="V221" s="734" t="s">
        <v>2025</v>
      </c>
      <c r="W221" s="238" t="s">
        <v>2026</v>
      </c>
      <c r="X221" s="220">
        <f>'SS INPUT'!D648</f>
        <v>33807.800000000003</v>
      </c>
      <c r="Y221" s="220">
        <f>'SS INPUT'!E648</f>
        <v>34092.300000000003</v>
      </c>
      <c r="Z221" s="220">
        <f>'SS INPUT'!F648</f>
        <v>284.5</v>
      </c>
      <c r="AA221" s="220">
        <f>'SS INPUT'!G648</f>
        <v>2000</v>
      </c>
      <c r="AB221" s="220">
        <f>'SS INPUT'!H648</f>
        <v>569000</v>
      </c>
      <c r="AC221" s="220">
        <f>'SS INPUT'!I648</f>
        <v>0</v>
      </c>
      <c r="AD221" s="220">
        <f>'SS INPUT'!J648</f>
        <v>569000</v>
      </c>
      <c r="AE221" s="133"/>
      <c r="AF221" s="133"/>
      <c r="AG221" s="133"/>
      <c r="AH221" s="133"/>
      <c r="AI221" s="133"/>
    </row>
    <row r="222" spans="1:35">
      <c r="A222" s="238">
        <v>220</v>
      </c>
      <c r="B222" s="238" t="s">
        <v>83</v>
      </c>
      <c r="C222" s="734" t="s">
        <v>2025</v>
      </c>
      <c r="D222" s="133"/>
      <c r="E222" s="133"/>
      <c r="F222" s="133"/>
      <c r="G222" s="133"/>
      <c r="H222" s="133"/>
      <c r="I222" s="133"/>
      <c r="J222" s="133"/>
      <c r="K222" s="133"/>
      <c r="L222" s="133"/>
      <c r="M222" s="133"/>
      <c r="N222" s="133"/>
      <c r="O222" s="133"/>
      <c r="P222" s="133"/>
      <c r="Q222" s="133"/>
      <c r="R222" s="133"/>
      <c r="S222" s="133"/>
      <c r="T222" s="133"/>
      <c r="U222" s="133"/>
      <c r="V222" s="734" t="s">
        <v>2027</v>
      </c>
      <c r="W222" s="238" t="s">
        <v>2028</v>
      </c>
      <c r="X222" s="220">
        <f>'SS INPUT'!D649</f>
        <v>31332.6</v>
      </c>
      <c r="Y222" s="220">
        <f>'SS INPUT'!E649</f>
        <v>31332.6</v>
      </c>
      <c r="Z222" s="220">
        <f>'SS INPUT'!F649</f>
        <v>0</v>
      </c>
      <c r="AA222" s="220">
        <f>'SS INPUT'!G649</f>
        <v>2000</v>
      </c>
      <c r="AB222" s="220">
        <f>'SS INPUT'!H649</f>
        <v>0</v>
      </c>
      <c r="AC222" s="220">
        <f>'SS INPUT'!I649</f>
        <v>760000</v>
      </c>
      <c r="AD222" s="220">
        <f>'SS INPUT'!J649</f>
        <v>760000</v>
      </c>
      <c r="AE222" s="133"/>
      <c r="AF222" s="133"/>
      <c r="AG222" s="133"/>
      <c r="AH222" s="133"/>
      <c r="AI222" s="133"/>
    </row>
    <row r="223" spans="1:35">
      <c r="A223" s="238">
        <v>221</v>
      </c>
      <c r="B223" s="238" t="s">
        <v>83</v>
      </c>
      <c r="C223" s="734" t="s">
        <v>2025</v>
      </c>
      <c r="D223" s="133"/>
      <c r="E223" s="133"/>
      <c r="F223" s="133"/>
      <c r="G223" s="133"/>
      <c r="H223" s="133"/>
      <c r="I223" s="133"/>
      <c r="J223" s="133"/>
      <c r="K223" s="133"/>
      <c r="L223" s="133"/>
      <c r="M223" s="133"/>
      <c r="N223" s="133"/>
      <c r="O223" s="133"/>
      <c r="P223" s="133"/>
      <c r="Q223" s="133"/>
      <c r="R223" s="133"/>
      <c r="S223" s="133"/>
      <c r="T223" s="133"/>
      <c r="U223" s="133"/>
      <c r="V223" s="734" t="s">
        <v>2029</v>
      </c>
      <c r="W223" s="238" t="s">
        <v>2030</v>
      </c>
      <c r="X223" s="220">
        <f>'SS INPUT'!D650</f>
        <v>17513.5</v>
      </c>
      <c r="Y223" s="220">
        <f>'SS INPUT'!E650</f>
        <v>17662.7</v>
      </c>
      <c r="Z223" s="220">
        <f>'SS INPUT'!F650</f>
        <v>149.20000000000073</v>
      </c>
      <c r="AA223" s="220">
        <f>'SS INPUT'!G650</f>
        <v>2000</v>
      </c>
      <c r="AB223" s="220">
        <f>'SS INPUT'!H650</f>
        <v>298400.00000000146</v>
      </c>
      <c r="AC223" s="220">
        <f>'SS INPUT'!I650</f>
        <v>0</v>
      </c>
      <c r="AD223" s="220">
        <f>'SS INPUT'!J650</f>
        <v>298400.00000000146</v>
      </c>
      <c r="AE223" s="133"/>
      <c r="AF223" s="133"/>
      <c r="AG223" s="133"/>
      <c r="AH223" s="133"/>
      <c r="AI223" s="133"/>
    </row>
    <row r="224" spans="1:35">
      <c r="A224" s="238">
        <v>222</v>
      </c>
      <c r="B224" s="238" t="s">
        <v>83</v>
      </c>
      <c r="C224" s="734" t="s">
        <v>2035</v>
      </c>
      <c r="D224" s="734" t="s">
        <v>2032</v>
      </c>
      <c r="E224" s="238" t="s">
        <v>2033</v>
      </c>
      <c r="F224" s="314">
        <f>'SS INPUT'!D653</f>
        <v>46240.4</v>
      </c>
      <c r="G224" s="314">
        <f>'SS INPUT'!E653</f>
        <v>46894.3</v>
      </c>
      <c r="H224" s="314">
        <f>'SS INPUT'!F653</f>
        <v>653.90000000000146</v>
      </c>
      <c r="I224" s="314">
        <f>'SS INPUT'!G653</f>
        <v>2000</v>
      </c>
      <c r="J224" s="314">
        <f>'SS INPUT'!H653</f>
        <v>1307800.0000000028</v>
      </c>
      <c r="K224" s="314">
        <f>'SS INPUT'!I653</f>
        <v>0</v>
      </c>
      <c r="L224" s="314">
        <f>'SS INPUT'!J653</f>
        <v>1307800.0000000028</v>
      </c>
      <c r="M224" s="133"/>
      <c r="N224" s="133"/>
      <c r="O224" s="133"/>
      <c r="P224" s="133"/>
      <c r="Q224" s="133"/>
      <c r="R224" s="133"/>
      <c r="S224" s="133"/>
      <c r="T224" s="133"/>
      <c r="U224" s="133"/>
      <c r="V224" s="734" t="s">
        <v>1238</v>
      </c>
      <c r="W224" s="238" t="s">
        <v>2034</v>
      </c>
      <c r="X224" s="296">
        <f>'SS INPUT'!D656</f>
        <v>16482.2</v>
      </c>
      <c r="Y224" s="296">
        <f>'SS INPUT'!E656</f>
        <v>16825.099999999999</v>
      </c>
      <c r="Z224" s="296">
        <f>'SS INPUT'!F656</f>
        <v>342.89999999999782</v>
      </c>
      <c r="AA224" s="296">
        <f>'SS INPUT'!G656</f>
        <v>2000</v>
      </c>
      <c r="AB224" s="296">
        <f>'SS INPUT'!H656</f>
        <v>685799.99999999558</v>
      </c>
      <c r="AC224" s="296">
        <f>'SS INPUT'!I656</f>
        <v>0</v>
      </c>
      <c r="AD224" s="296">
        <f>'SS INPUT'!J656</f>
        <v>685799.99999999558</v>
      </c>
      <c r="AE224" s="133"/>
      <c r="AF224" s="133"/>
      <c r="AG224" s="133"/>
      <c r="AH224" s="133"/>
      <c r="AI224" s="133"/>
    </row>
    <row r="225" spans="1:35">
      <c r="A225" s="238">
        <v>223</v>
      </c>
      <c r="B225" s="238" t="s">
        <v>83</v>
      </c>
      <c r="C225" s="734" t="s">
        <v>2035</v>
      </c>
      <c r="D225" s="133"/>
      <c r="E225" s="133"/>
      <c r="F225" s="133"/>
      <c r="G225" s="133"/>
      <c r="H225" s="133"/>
      <c r="I225" s="133"/>
      <c r="J225" s="133"/>
      <c r="K225" s="133"/>
      <c r="L225" s="133"/>
      <c r="M225" s="133"/>
      <c r="N225" s="133"/>
      <c r="O225" s="133"/>
      <c r="P225" s="133"/>
      <c r="Q225" s="133"/>
      <c r="R225" s="133"/>
      <c r="S225" s="133"/>
      <c r="T225" s="133"/>
      <c r="U225" s="133"/>
      <c r="V225" s="734" t="s">
        <v>2035</v>
      </c>
      <c r="W225" s="238" t="s">
        <v>2036</v>
      </c>
      <c r="X225" s="296">
        <f>'SS INPUT'!D657</f>
        <v>12452.4</v>
      </c>
      <c r="Y225" s="296">
        <f>'SS INPUT'!E657</f>
        <v>12596.2</v>
      </c>
      <c r="Z225" s="296">
        <f>'SS INPUT'!F657</f>
        <v>143.80000000000109</v>
      </c>
      <c r="AA225" s="296">
        <f>'SS INPUT'!G657</f>
        <v>2000</v>
      </c>
      <c r="AB225" s="296">
        <f>'SS INPUT'!H657</f>
        <v>287600.00000000221</v>
      </c>
      <c r="AC225" s="296">
        <f>'SS INPUT'!I657</f>
        <v>0</v>
      </c>
      <c r="AD225" s="296">
        <f>'SS INPUT'!J657</f>
        <v>287600.00000000221</v>
      </c>
      <c r="AE225" s="133"/>
      <c r="AF225" s="133"/>
      <c r="AG225" s="133"/>
      <c r="AH225" s="133"/>
      <c r="AI225" s="133"/>
    </row>
    <row r="226" spans="1:35">
      <c r="A226" s="238">
        <v>224</v>
      </c>
      <c r="B226" s="238" t="s">
        <v>83</v>
      </c>
      <c r="C226" s="734" t="s">
        <v>2035</v>
      </c>
      <c r="D226" s="133"/>
      <c r="E226" s="133"/>
      <c r="F226" s="133"/>
      <c r="G226" s="133"/>
      <c r="H226" s="133"/>
      <c r="I226" s="133"/>
      <c r="J226" s="133"/>
      <c r="K226" s="133"/>
      <c r="L226" s="133"/>
      <c r="M226" s="133"/>
      <c r="N226" s="133"/>
      <c r="O226" s="133"/>
      <c r="P226" s="133"/>
      <c r="Q226" s="133"/>
      <c r="R226" s="133"/>
      <c r="S226" s="133"/>
      <c r="T226" s="133"/>
      <c r="U226" s="133"/>
      <c r="V226" s="734" t="s">
        <v>2037</v>
      </c>
      <c r="W226" s="238" t="s">
        <v>2038</v>
      </c>
      <c r="X226" s="296">
        <f>'SS INPUT'!D658</f>
        <v>16895.240000000002</v>
      </c>
      <c r="Y226" s="296">
        <f>'SS INPUT'!E658</f>
        <v>17056.919999999998</v>
      </c>
      <c r="Z226" s="296">
        <f>'SS INPUT'!F658</f>
        <v>161.67999999999665</v>
      </c>
      <c r="AA226" s="296">
        <f>'SS INPUT'!G658</f>
        <v>2000</v>
      </c>
      <c r="AB226" s="296">
        <f>'SS INPUT'!H658</f>
        <v>323359.99999999331</v>
      </c>
      <c r="AC226" s="296">
        <f>'SS INPUT'!I658</f>
        <v>0</v>
      </c>
      <c r="AD226" s="296">
        <f>'SS INPUT'!J658</f>
        <v>323359.99999999331</v>
      </c>
      <c r="AE226" s="133"/>
      <c r="AF226" s="133"/>
      <c r="AG226" s="133"/>
      <c r="AH226" s="133"/>
      <c r="AI226" s="133"/>
    </row>
    <row r="227" spans="1:35">
      <c r="A227" s="238">
        <v>225</v>
      </c>
      <c r="B227" s="238" t="s">
        <v>83</v>
      </c>
      <c r="C227" s="734" t="s">
        <v>2130</v>
      </c>
      <c r="D227" s="734" t="s">
        <v>261</v>
      </c>
      <c r="E227" s="238" t="s">
        <v>2041</v>
      </c>
      <c r="F227" s="133">
        <f>'SS INPUT'!D661</f>
        <v>2579.6999999999998</v>
      </c>
      <c r="G227" s="133">
        <f>'SS INPUT'!E661</f>
        <v>2807.9</v>
      </c>
      <c r="H227" s="133">
        <f>'SS INPUT'!F661</f>
        <v>228.20000000000027</v>
      </c>
      <c r="I227" s="133">
        <f>'SS INPUT'!G661</f>
        <v>100</v>
      </c>
      <c r="J227" s="133">
        <f>'SS INPUT'!H661</f>
        <v>22820.000000000029</v>
      </c>
      <c r="K227" s="133">
        <f>'SS INPUT'!I661</f>
        <v>13200</v>
      </c>
      <c r="L227" s="133">
        <f>'SS INPUT'!J661</f>
        <v>36020.000000000029</v>
      </c>
      <c r="M227" s="133"/>
      <c r="N227" s="133"/>
      <c r="O227" s="133"/>
      <c r="P227" s="133"/>
      <c r="Q227" s="133"/>
      <c r="R227" s="133"/>
      <c r="S227" s="133"/>
      <c r="T227" s="133"/>
      <c r="U227" s="133"/>
      <c r="V227" s="734" t="s">
        <v>1451</v>
      </c>
      <c r="W227" s="238">
        <v>7060898</v>
      </c>
      <c r="X227" s="220">
        <f>'SS INPUT'!D665</f>
        <v>1460.9</v>
      </c>
      <c r="Y227" s="220">
        <f>'SS INPUT'!E665</f>
        <v>1580.6</v>
      </c>
      <c r="Z227" s="220">
        <f>'SS INPUT'!F665</f>
        <v>119.69999999999982</v>
      </c>
      <c r="AA227" s="220">
        <f>'SS INPUT'!G665</f>
        <v>66.665999999999997</v>
      </c>
      <c r="AB227" s="220">
        <f>'SS INPUT'!H665</f>
        <v>7979.9201999999877</v>
      </c>
      <c r="AC227" s="220">
        <f>'SS INPUT'!I665</f>
        <v>4060.1000000000099</v>
      </c>
      <c r="AD227" s="220">
        <f>'SS INPUT'!J665</f>
        <v>12040.020199999997</v>
      </c>
      <c r="AE227" s="133"/>
      <c r="AF227" s="133"/>
      <c r="AG227" s="133"/>
      <c r="AH227" s="133"/>
      <c r="AI227" s="133"/>
    </row>
    <row r="228" spans="1:35">
      <c r="A228" s="238">
        <v>226</v>
      </c>
      <c r="B228" s="238" t="s">
        <v>83</v>
      </c>
      <c r="C228" s="734" t="s">
        <v>2130</v>
      </c>
      <c r="D228" s="133"/>
      <c r="E228" s="133"/>
      <c r="F228" s="133"/>
      <c r="G228" s="133"/>
      <c r="H228" s="133"/>
      <c r="I228" s="133"/>
      <c r="J228" s="133"/>
      <c r="K228" s="133"/>
      <c r="L228" s="133"/>
      <c r="M228" s="133"/>
      <c r="N228" s="133"/>
      <c r="O228" s="133"/>
      <c r="P228" s="133"/>
      <c r="Q228" s="133"/>
      <c r="R228" s="133"/>
      <c r="S228" s="133"/>
      <c r="T228" s="133"/>
      <c r="U228" s="133"/>
      <c r="V228" s="734" t="s">
        <v>1452</v>
      </c>
      <c r="W228" s="238">
        <v>7060896</v>
      </c>
      <c r="X228" s="220">
        <f>'SS INPUT'!D666</f>
        <v>700</v>
      </c>
      <c r="Y228" s="220">
        <f>'SS INPUT'!E666</f>
        <v>818.1</v>
      </c>
      <c r="Z228" s="220">
        <f>'SS INPUT'!F666</f>
        <v>118.10000000000002</v>
      </c>
      <c r="AA228" s="220">
        <f>'SS INPUT'!G666</f>
        <v>66.665999999999997</v>
      </c>
      <c r="AB228" s="220">
        <f>'SS INPUT'!H666</f>
        <v>7873.2546000000011</v>
      </c>
      <c r="AC228" s="220">
        <f>'SS INPUT'!I666</f>
        <v>5046.7435999999998</v>
      </c>
      <c r="AD228" s="220">
        <f>'SS INPUT'!J666</f>
        <v>12919.998200000002</v>
      </c>
      <c r="AE228" s="133"/>
      <c r="AF228" s="133"/>
      <c r="AG228" s="133"/>
      <c r="AH228" s="133"/>
      <c r="AI228" s="133"/>
    </row>
    <row r="229" spans="1:35">
      <c r="A229" s="238">
        <v>227</v>
      </c>
      <c r="B229" s="238" t="s">
        <v>83</v>
      </c>
      <c r="C229" s="734" t="s">
        <v>2130</v>
      </c>
      <c r="D229" s="133"/>
      <c r="E229" s="133"/>
      <c r="F229" s="133"/>
      <c r="G229" s="133"/>
      <c r="H229" s="133"/>
      <c r="I229" s="133"/>
      <c r="J229" s="133"/>
      <c r="K229" s="133"/>
      <c r="L229" s="133"/>
      <c r="M229" s="133"/>
      <c r="N229" s="133"/>
      <c r="O229" s="133"/>
      <c r="P229" s="133"/>
      <c r="Q229" s="133"/>
      <c r="R229" s="133"/>
      <c r="S229" s="133"/>
      <c r="T229" s="133"/>
      <c r="U229" s="133"/>
      <c r="V229" s="734" t="s">
        <v>2045</v>
      </c>
      <c r="W229" s="238" t="s">
        <v>2046</v>
      </c>
      <c r="X229" s="220">
        <f>'SS INPUT'!D667</f>
        <v>155848</v>
      </c>
      <c r="Y229" s="220">
        <f>'SS INPUT'!E667</f>
        <v>155848.4</v>
      </c>
      <c r="Z229" s="220">
        <f>'SS INPUT'!F667</f>
        <v>0.39999999999417923</v>
      </c>
      <c r="AA229" s="220">
        <f>'SS INPUT'!G667</f>
        <v>1500</v>
      </c>
      <c r="AB229" s="220">
        <f>'SS INPUT'!H667</f>
        <v>599.99999999126885</v>
      </c>
      <c r="AC229" s="220">
        <f>'SS INPUT'!I667</f>
        <v>9819.9668999999994</v>
      </c>
      <c r="AD229" s="220">
        <f>'SS INPUT'!J667</f>
        <v>10419.966899991268</v>
      </c>
      <c r="AE229" s="133"/>
      <c r="AF229" s="133"/>
      <c r="AG229" s="133"/>
      <c r="AH229" s="133"/>
      <c r="AI229" s="133"/>
    </row>
    <row r="230" spans="1:35">
      <c r="A230" s="238">
        <v>228</v>
      </c>
      <c r="B230" s="238" t="s">
        <v>83</v>
      </c>
      <c r="C230" s="734" t="s">
        <v>2130</v>
      </c>
      <c r="D230" s="133"/>
      <c r="E230" s="133"/>
      <c r="F230" s="133"/>
      <c r="G230" s="133"/>
      <c r="H230" s="133"/>
      <c r="I230" s="133"/>
      <c r="J230" s="133"/>
      <c r="K230" s="133"/>
      <c r="L230" s="133"/>
      <c r="M230" s="133"/>
      <c r="N230" s="133"/>
      <c r="O230" s="133"/>
      <c r="P230" s="133"/>
      <c r="Q230" s="133"/>
      <c r="R230" s="133"/>
      <c r="S230" s="133"/>
      <c r="T230" s="133"/>
      <c r="U230" s="133"/>
      <c r="V230" s="734" t="s">
        <v>2045</v>
      </c>
      <c r="W230" s="238" t="s">
        <v>2046</v>
      </c>
      <c r="X230" s="220">
        <f>'SS INPUT'!D668</f>
        <v>1158.9000000000001</v>
      </c>
      <c r="Y230" s="220">
        <f>'SS INPUT'!E668</f>
        <v>1162.3</v>
      </c>
      <c r="Z230" s="220">
        <f>'SS INPUT'!F668</f>
        <v>3.3999999999998636</v>
      </c>
      <c r="AA230" s="220">
        <f>'SS INPUT'!G668</f>
        <v>1500</v>
      </c>
      <c r="AB230" s="220">
        <f>'SS INPUT'!H668</f>
        <v>5099.9999999997954</v>
      </c>
      <c r="AC230" s="220">
        <f>'SS INPUT'!I668</f>
        <v>0</v>
      </c>
      <c r="AD230" s="220">
        <f>'SS INPUT'!J668</f>
        <v>5099.9999999997954</v>
      </c>
      <c r="AE230" s="133"/>
      <c r="AF230" s="133"/>
      <c r="AG230" s="133"/>
      <c r="AH230" s="133"/>
      <c r="AI230" s="133"/>
    </row>
    <row r="231" spans="1:35">
      <c r="A231" s="238">
        <v>229</v>
      </c>
      <c r="B231" s="238" t="s">
        <v>83</v>
      </c>
      <c r="C231" s="734" t="s">
        <v>1221</v>
      </c>
      <c r="D231" s="734" t="s">
        <v>2048</v>
      </c>
      <c r="E231" s="238" t="s">
        <v>2049</v>
      </c>
      <c r="F231" s="133">
        <f>'SS INPUT'!D671</f>
        <v>2364.56</v>
      </c>
      <c r="G231" s="133">
        <f>'SS INPUT'!E671</f>
        <v>2450.0300000000002</v>
      </c>
      <c r="H231" s="133">
        <f>'SS INPUT'!F671</f>
        <v>85.470000000000255</v>
      </c>
      <c r="I231" s="133">
        <f>'SS INPUT'!G671</f>
        <v>24000</v>
      </c>
      <c r="J231" s="133">
        <f>'SS INPUT'!H671</f>
        <v>2051280.0000000061</v>
      </c>
      <c r="K231" s="133">
        <f>'SS INPUT'!I671</f>
        <v>0</v>
      </c>
      <c r="L231" s="133">
        <f>'SS INPUT'!J671</f>
        <v>2051280.0000000061</v>
      </c>
      <c r="M231" s="133"/>
      <c r="N231" s="133"/>
      <c r="O231" s="133"/>
      <c r="P231" s="133"/>
      <c r="Q231" s="133"/>
      <c r="R231" s="133"/>
      <c r="S231" s="133"/>
      <c r="T231" s="133"/>
      <c r="U231" s="133"/>
      <c r="V231" s="734" t="s">
        <v>2050</v>
      </c>
      <c r="W231" s="238" t="s">
        <v>2051</v>
      </c>
      <c r="X231" s="220">
        <f>'SS INPUT'!D674</f>
        <v>5134.7700000000004</v>
      </c>
      <c r="Y231" s="220">
        <f>'SS INPUT'!E674</f>
        <v>5379.13</v>
      </c>
      <c r="Z231" s="220">
        <f>'SS INPUT'!F674</f>
        <v>244.35999999999967</v>
      </c>
      <c r="AA231" s="220">
        <f>'SS INPUT'!G674</f>
        <v>6000</v>
      </c>
      <c r="AB231" s="220">
        <f>'SS INPUT'!H674</f>
        <v>1466159.9999999981</v>
      </c>
      <c r="AC231" s="220">
        <f>'SS INPUT'!I674</f>
        <v>0</v>
      </c>
      <c r="AD231" s="220">
        <f>'SS INPUT'!J674</f>
        <v>1466159.9999999981</v>
      </c>
      <c r="AE231" s="133"/>
      <c r="AF231" s="133"/>
      <c r="AG231" s="133"/>
      <c r="AH231" s="133"/>
      <c r="AI231" s="133"/>
    </row>
    <row r="232" spans="1:35">
      <c r="A232" s="238">
        <v>230</v>
      </c>
      <c r="B232" s="238" t="s">
        <v>83</v>
      </c>
      <c r="C232" s="734" t="s">
        <v>1221</v>
      </c>
      <c r="D232" s="133"/>
      <c r="E232" s="133"/>
      <c r="F232" s="133"/>
      <c r="G232" s="133"/>
      <c r="H232" s="133"/>
      <c r="I232" s="133"/>
      <c r="J232" s="133"/>
      <c r="K232" s="133"/>
      <c r="L232" s="133"/>
      <c r="M232" s="133"/>
      <c r="N232" s="133"/>
      <c r="O232" s="133"/>
      <c r="P232" s="133"/>
      <c r="Q232" s="133"/>
      <c r="R232" s="133"/>
      <c r="S232" s="133"/>
      <c r="T232" s="133"/>
      <c r="U232" s="133"/>
      <c r="V232" s="734" t="s">
        <v>2052</v>
      </c>
      <c r="W232" s="238" t="s">
        <v>2053</v>
      </c>
      <c r="X232" s="220">
        <f>'SS INPUT'!D675</f>
        <v>1784.16</v>
      </c>
      <c r="Y232" s="220">
        <f>'SS INPUT'!E675</f>
        <v>1784.16</v>
      </c>
      <c r="Z232" s="220">
        <f>'SS INPUT'!F675</f>
        <v>0</v>
      </c>
      <c r="AA232" s="220">
        <f>'SS INPUT'!G675</f>
        <v>6000</v>
      </c>
      <c r="AB232" s="220">
        <f>'SS INPUT'!H675</f>
        <v>0</v>
      </c>
      <c r="AC232" s="220">
        <f>'SS INPUT'!I675</f>
        <v>254960.20300000001</v>
      </c>
      <c r="AD232" s="220">
        <f>'SS INPUT'!J675</f>
        <v>254960.20300000001</v>
      </c>
      <c r="AE232" s="133"/>
      <c r="AF232" s="133"/>
      <c r="AG232" s="133"/>
      <c r="AH232" s="133"/>
      <c r="AI232" s="133"/>
    </row>
  </sheetData>
  <autoFilter ref="A2:AK174"/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465"/>
  <sheetViews>
    <sheetView topLeftCell="A224" zoomScale="80" zoomScaleNormal="80" workbookViewId="0">
      <selection activeCell="J245" sqref="J245"/>
    </sheetView>
  </sheetViews>
  <sheetFormatPr defaultRowHeight="15"/>
  <cols>
    <col min="1" max="1" width="5.7109375" style="379" customWidth="1"/>
    <col min="2" max="3" width="14.7109375" style="379" customWidth="1"/>
    <col min="4" max="4" width="25.42578125" style="724" customWidth="1"/>
    <col min="5" max="5" width="13.5703125" style="847" customWidth="1"/>
    <col min="6" max="6" width="20" style="379" customWidth="1"/>
    <col min="7" max="7" width="13.5703125" style="848" customWidth="1"/>
    <col min="8" max="8" width="12.42578125" style="379" customWidth="1"/>
    <col min="9" max="9" width="16" style="379" customWidth="1"/>
    <col min="10" max="10" width="18.42578125" style="379" customWidth="1"/>
    <col min="11" max="11" width="19.42578125" style="202" customWidth="1"/>
    <col min="12" max="12" width="12.42578125" style="379" hidden="1" customWidth="1"/>
    <col min="13" max="13" width="10.28515625" style="379" hidden="1" customWidth="1"/>
    <col min="14" max="14" width="9.42578125" style="379" hidden="1" customWidth="1"/>
    <col min="15" max="15" width="12.5703125" style="379" hidden="1" customWidth="1"/>
    <col min="16" max="16" width="12.7109375" style="379" hidden="1" customWidth="1"/>
    <col min="17" max="17" width="11.5703125" style="379" hidden="1"/>
    <col min="18" max="18" width="13" style="379" customWidth="1"/>
    <col min="19" max="19" width="17.28515625" style="379" customWidth="1"/>
    <col min="20" max="20" width="8.85546875" style="379" customWidth="1"/>
    <col min="21" max="21" width="18.5703125" style="379" customWidth="1"/>
    <col min="22" max="22" width="17.140625" style="379" customWidth="1"/>
    <col min="23" max="23" width="8.7109375" style="379" customWidth="1"/>
    <col min="24" max="24" width="8.85546875" style="379" customWidth="1"/>
    <col min="25" max="1025" width="8.7109375" style="379" customWidth="1"/>
  </cols>
  <sheetData>
    <row r="1" spans="1:32" ht="23.25" customHeight="1">
      <c r="A1" s="1355" t="s">
        <v>2131</v>
      </c>
      <c r="B1" s="1355"/>
      <c r="C1" s="1355"/>
      <c r="D1" s="1355"/>
      <c r="E1" s="1355"/>
      <c r="F1" s="1355"/>
      <c r="G1" s="1355"/>
      <c r="H1" s="1355"/>
      <c r="I1" s="1355"/>
      <c r="J1" s="1355"/>
      <c r="K1" s="1355"/>
    </row>
    <row r="2" spans="1:32" ht="36" customHeight="1">
      <c r="A2" s="1356" t="s">
        <v>2132</v>
      </c>
      <c r="B2" s="1356"/>
      <c r="C2" s="1356"/>
      <c r="D2" s="1356"/>
      <c r="E2" s="1356"/>
      <c r="F2" s="1356"/>
      <c r="G2" s="1356"/>
      <c r="H2" s="1356"/>
      <c r="I2" s="1356"/>
      <c r="J2" s="849" t="str">
        <f>'CIRCLE INPUT'!Q3</f>
        <v>OCT.2024</v>
      </c>
      <c r="K2" s="850"/>
      <c r="S2" s="379">
        <f>1000-24653+17108</f>
        <v>-6545</v>
      </c>
    </row>
    <row r="3" spans="1:32" ht="45">
      <c r="A3" s="851" t="s">
        <v>345</v>
      </c>
      <c r="B3" s="852" t="s">
        <v>2133</v>
      </c>
      <c r="C3" s="852"/>
      <c r="D3" s="853" t="s">
        <v>2134</v>
      </c>
      <c r="E3" s="854"/>
      <c r="F3" s="851" t="s">
        <v>2135</v>
      </c>
      <c r="G3" s="489" t="s">
        <v>2136</v>
      </c>
      <c r="H3" s="851" t="s">
        <v>2137</v>
      </c>
      <c r="I3" s="851" t="s">
        <v>2138</v>
      </c>
      <c r="J3" s="855" t="s">
        <v>2139</v>
      </c>
      <c r="K3" s="851" t="s">
        <v>2140</v>
      </c>
      <c r="O3" s="379" t="s">
        <v>2140</v>
      </c>
      <c r="S3" s="379" t="s">
        <v>2140</v>
      </c>
    </row>
    <row r="4" spans="1:32" ht="19.5" customHeight="1">
      <c r="A4" s="495"/>
      <c r="B4" s="495"/>
      <c r="C4" s="495"/>
      <c r="D4" s="856" t="s">
        <v>2141</v>
      </c>
      <c r="E4" s="854"/>
      <c r="F4" s="495"/>
      <c r="G4" s="494"/>
      <c r="H4" s="495"/>
      <c r="I4" s="495"/>
      <c r="J4" s="495"/>
      <c r="K4" s="857">
        <f>J313</f>
        <v>4.0154260610523749E-3</v>
      </c>
      <c r="O4" s="379">
        <v>2.25802804825125E-2</v>
      </c>
      <c r="S4" s="379">
        <v>2.25802804825125E-2</v>
      </c>
      <c r="U4" s="379">
        <f>1515*24*31</f>
        <v>1127160</v>
      </c>
    </row>
    <row r="5" spans="1:32" ht="21" customHeight="1">
      <c r="A5" s="507">
        <v>1</v>
      </c>
      <c r="B5" s="1347" t="s">
        <v>921</v>
      </c>
      <c r="C5" s="507" t="s">
        <v>2142</v>
      </c>
      <c r="D5" s="511" t="s">
        <v>2143</v>
      </c>
      <c r="E5" s="859" t="s">
        <v>2144</v>
      </c>
      <c r="F5" s="860">
        <f>'SS INPUT'!J14</f>
        <v>547865.29700000002</v>
      </c>
      <c r="G5" s="861">
        <f>(-'SS INPUT'!J151)</f>
        <v>0</v>
      </c>
      <c r="H5" s="507"/>
      <c r="I5" s="860">
        <f t="shared" ref="I5:I16" si="0">F5+G5-H5</f>
        <v>547865.29700000002</v>
      </c>
      <c r="J5" s="860">
        <f t="shared" ref="J5:J16" si="1">(F5+G5)-(H5*1.015)</f>
        <v>547865.29700000002</v>
      </c>
      <c r="K5" s="862">
        <f>J5*(1+K4)</f>
        <v>550065.20959152002</v>
      </c>
      <c r="L5" s="785">
        <v>331060.19617328799</v>
      </c>
      <c r="M5" s="863">
        <f t="shared" ref="M5:M13" si="2">K5/L5</f>
        <v>1.6615262600267338</v>
      </c>
      <c r="N5" s="765"/>
      <c r="O5" s="379">
        <v>338269.556783618</v>
      </c>
      <c r="P5" s="379">
        <f t="shared" ref="P5:P17" si="3">K5/O5</f>
        <v>1.6261150273814975</v>
      </c>
      <c r="R5" s="379">
        <f t="shared" ref="R5:R22" si="4">K5/S5</f>
        <v>0.61716532189223827</v>
      </c>
      <c r="S5" s="379">
        <v>891276.92383138405</v>
      </c>
      <c r="T5" s="379">
        <f t="shared" ref="T5:T36" si="5">K5/S5</f>
        <v>0.61716532189223827</v>
      </c>
      <c r="U5" s="765">
        <f t="shared" ref="U5:U16" si="6">T5-K5</f>
        <v>-550064.59242619807</v>
      </c>
      <c r="V5" s="379">
        <v>-21375.901328702199</v>
      </c>
    </row>
    <row r="6" spans="1:32">
      <c r="A6" s="507">
        <v>2</v>
      </c>
      <c r="B6" s="1347"/>
      <c r="C6" s="507" t="s">
        <v>2145</v>
      </c>
      <c r="D6" s="511" t="s">
        <v>2146</v>
      </c>
      <c r="E6" s="859"/>
      <c r="F6" s="507">
        <f>'SS INPUT'!J15</f>
        <v>0</v>
      </c>
      <c r="G6" s="494">
        <v>185882</v>
      </c>
      <c r="H6" s="507"/>
      <c r="I6" s="507">
        <f t="shared" si="0"/>
        <v>185882</v>
      </c>
      <c r="J6" s="860">
        <f t="shared" si="1"/>
        <v>185882</v>
      </c>
      <c r="K6" s="862">
        <f>J6*(1+K4)</f>
        <v>186628.39542708054</v>
      </c>
      <c r="L6" s="785">
        <v>557749.27684278705</v>
      </c>
      <c r="M6" s="863">
        <f t="shared" si="2"/>
        <v>0.33460983846274989</v>
      </c>
      <c r="N6" s="379">
        <v>419480</v>
      </c>
      <c r="O6" s="379">
        <v>221797.66283666901</v>
      </c>
      <c r="P6" s="379">
        <f t="shared" si="3"/>
        <v>0.84143535617195842</v>
      </c>
      <c r="R6" s="379">
        <f t="shared" si="4"/>
        <v>1.0954902071650594</v>
      </c>
      <c r="S6" s="379">
        <v>170360.62413560299</v>
      </c>
      <c r="T6" s="379">
        <f t="shared" si="5"/>
        <v>1.0954902071650594</v>
      </c>
      <c r="U6" s="765">
        <f t="shared" si="6"/>
        <v>-186627.29993687337</v>
      </c>
    </row>
    <row r="7" spans="1:32">
      <c r="A7" s="507">
        <v>3</v>
      </c>
      <c r="B7" s="1347"/>
      <c r="C7" s="507" t="s">
        <v>2147</v>
      </c>
      <c r="D7" s="511" t="s">
        <v>1368</v>
      </c>
      <c r="E7" s="859"/>
      <c r="F7" s="507">
        <f>'SS INPUT'!J16</f>
        <v>19699.999999999818</v>
      </c>
      <c r="G7" s="494"/>
      <c r="H7" s="507"/>
      <c r="I7" s="507">
        <f t="shared" si="0"/>
        <v>19699.999999999818</v>
      </c>
      <c r="J7" s="860">
        <f t="shared" si="1"/>
        <v>19699.999999999818</v>
      </c>
      <c r="K7" s="862">
        <f>J7*(1+K4)</f>
        <v>19779.103893402549</v>
      </c>
      <c r="L7" s="785">
        <v>34256.759555994002</v>
      </c>
      <c r="M7" s="863">
        <f t="shared" si="2"/>
        <v>0.57737813353515932</v>
      </c>
      <c r="N7" s="379">
        <f>O6-N6</f>
        <v>-197682.33716333099</v>
      </c>
      <c r="O7" s="379">
        <v>43766.436004651703</v>
      </c>
      <c r="P7" s="379">
        <f t="shared" si="3"/>
        <v>0.45192402441223073</v>
      </c>
      <c r="R7" s="379">
        <f t="shared" si="4"/>
        <v>0.27357222185549801</v>
      </c>
      <c r="S7" s="379">
        <v>72299.386828279501</v>
      </c>
      <c r="T7" s="379">
        <f t="shared" si="5"/>
        <v>0.27357222185549801</v>
      </c>
      <c r="U7" s="765">
        <f t="shared" si="6"/>
        <v>-19778.830321180692</v>
      </c>
    </row>
    <row r="8" spans="1:32">
      <c r="A8" s="507">
        <v>4</v>
      </c>
      <c r="B8" s="1347"/>
      <c r="C8" s="507" t="s">
        <v>2148</v>
      </c>
      <c r="D8" s="511" t="s">
        <v>1154</v>
      </c>
      <c r="E8" s="746"/>
      <c r="F8" s="860">
        <f>'SS INPUT'!J17</f>
        <v>1088199.9999999825</v>
      </c>
      <c r="G8" s="494">
        <v>-258604</v>
      </c>
      <c r="H8" s="507">
        <f>'11 KV HT'!L79</f>
        <v>4443</v>
      </c>
      <c r="I8" s="860">
        <f t="shared" si="0"/>
        <v>825152.99999998254</v>
      </c>
      <c r="J8" s="860">
        <f t="shared" si="1"/>
        <v>825086.35499998252</v>
      </c>
      <c r="K8" s="862">
        <f>J8*(1+K4)</f>
        <v>828399.42825246812</v>
      </c>
      <c r="L8" s="785">
        <v>455761.06768767501</v>
      </c>
      <c r="M8" s="863">
        <f t="shared" si="2"/>
        <v>1.8176177979733792</v>
      </c>
      <c r="O8" s="379">
        <v>453256.78687294602</v>
      </c>
      <c r="P8" s="379">
        <f t="shared" si="3"/>
        <v>1.8276602849516286</v>
      </c>
      <c r="R8" s="379">
        <f t="shared" si="4"/>
        <v>0.75279289746605316</v>
      </c>
      <c r="S8" s="379">
        <v>1100434.70261331</v>
      </c>
      <c r="T8" s="379">
        <f t="shared" si="5"/>
        <v>0.75279289746605316</v>
      </c>
      <c r="U8" s="765">
        <f t="shared" si="6"/>
        <v>-828398.6754595706</v>
      </c>
      <c r="V8" s="379">
        <f>S8/100</f>
        <v>11004.3470261331</v>
      </c>
      <c r="W8" s="379">
        <f>V8*110</f>
        <v>1210478.1728746411</v>
      </c>
      <c r="X8" s="379">
        <f>F8-W8</f>
        <v>-122278.1728746586</v>
      </c>
    </row>
    <row r="9" spans="1:32">
      <c r="A9" s="507">
        <v>5</v>
      </c>
      <c r="B9" s="1347"/>
      <c r="C9" s="507" t="s">
        <v>2149</v>
      </c>
      <c r="D9" s="511" t="s">
        <v>1371</v>
      </c>
      <c r="E9" s="859" t="s">
        <v>2150</v>
      </c>
      <c r="F9" s="860">
        <f>'SS INPUT'!J18+'SS INPUT'!J19</f>
        <v>25639.844200000047</v>
      </c>
      <c r="G9" s="861"/>
      <c r="H9" s="864"/>
      <c r="I9" s="860">
        <f t="shared" si="0"/>
        <v>25639.844200000047</v>
      </c>
      <c r="J9" s="860">
        <f t="shared" si="1"/>
        <v>25639.844200000047</v>
      </c>
      <c r="K9" s="865">
        <f>J9*(1+K4)</f>
        <v>25742.799098602049</v>
      </c>
      <c r="L9" s="785">
        <v>7023.2510998689504</v>
      </c>
      <c r="M9" s="863">
        <f t="shared" si="2"/>
        <v>3.6653678948033614</v>
      </c>
      <c r="N9" s="765"/>
      <c r="O9" s="379">
        <v>22688.193199121601</v>
      </c>
      <c r="P9" s="379">
        <f t="shared" si="3"/>
        <v>1.134634162917773</v>
      </c>
      <c r="R9" s="379">
        <f t="shared" si="4"/>
        <v>1.4656698370068331</v>
      </c>
      <c r="S9" s="379">
        <v>17563.8458598381</v>
      </c>
      <c r="T9" s="379">
        <f t="shared" si="5"/>
        <v>1.4656698370068331</v>
      </c>
      <c r="U9" s="765">
        <f t="shared" si="6"/>
        <v>-25741.333428765043</v>
      </c>
      <c r="AF9" s="379">
        <f>98+58+32+49</f>
        <v>237</v>
      </c>
    </row>
    <row r="10" spans="1:32" ht="15" customHeight="1">
      <c r="A10" s="507">
        <v>6</v>
      </c>
      <c r="B10" s="1357" t="s">
        <v>1291</v>
      </c>
      <c r="C10" s="507" t="s">
        <v>2151</v>
      </c>
      <c r="D10" s="511" t="s">
        <v>1137</v>
      </c>
      <c r="E10" s="866"/>
      <c r="F10" s="507">
        <f>'SS INPUT'!J116</f>
        <v>538140.00000000303</v>
      </c>
      <c r="G10" s="532"/>
      <c r="H10" s="507">
        <f>'11 KV HT'!L66</f>
        <v>41622</v>
      </c>
      <c r="I10" s="860">
        <f t="shared" si="0"/>
        <v>496518.00000000303</v>
      </c>
      <c r="J10" s="860">
        <f t="shared" si="1"/>
        <v>495893.67000000301</v>
      </c>
      <c r="K10" s="865">
        <f>J10*(1+K4)</f>
        <v>497884.89436603192</v>
      </c>
      <c r="L10" s="785">
        <v>284853.89426077</v>
      </c>
      <c r="M10" s="863">
        <f t="shared" si="2"/>
        <v>1.7478605853646583</v>
      </c>
      <c r="O10" s="379">
        <v>329316.75394416403</v>
      </c>
      <c r="P10" s="379">
        <f t="shared" si="3"/>
        <v>1.5118723490468049</v>
      </c>
      <c r="R10" s="379">
        <f t="shared" si="4"/>
        <v>0.76289275106677468</v>
      </c>
      <c r="S10" s="379">
        <v>652627.63824905304</v>
      </c>
      <c r="T10" s="379">
        <f t="shared" si="5"/>
        <v>0.76289275106677468</v>
      </c>
      <c r="U10" s="765">
        <f t="shared" si="6"/>
        <v>-497884.13147328084</v>
      </c>
    </row>
    <row r="11" spans="1:32">
      <c r="A11" s="507">
        <v>7</v>
      </c>
      <c r="B11" s="1357"/>
      <c r="C11" s="507" t="s">
        <v>2152</v>
      </c>
      <c r="D11" s="511" t="s">
        <v>1461</v>
      </c>
      <c r="E11" s="866"/>
      <c r="F11" s="507">
        <f>'SS INPUT'!J117</f>
        <v>494099.99999999674</v>
      </c>
      <c r="G11" s="492"/>
      <c r="H11" s="184"/>
      <c r="I11" s="860">
        <f t="shared" si="0"/>
        <v>494099.99999999674</v>
      </c>
      <c r="J11" s="860">
        <f t="shared" si="1"/>
        <v>494099.99999999674</v>
      </c>
      <c r="K11" s="865">
        <f>J11*(1+K4)</f>
        <v>496084.0220167627</v>
      </c>
      <c r="L11" s="785">
        <v>285725.99033259699</v>
      </c>
      <c r="M11" s="863">
        <f t="shared" si="2"/>
        <v>1.7362229506643767</v>
      </c>
      <c r="O11" s="379">
        <v>322235.49798565201</v>
      </c>
      <c r="P11" s="379">
        <f t="shared" si="3"/>
        <v>1.5395076741012921</v>
      </c>
      <c r="R11" s="379">
        <f t="shared" si="4"/>
        <v>0.66036410418203384</v>
      </c>
      <c r="S11" s="379">
        <v>751228.025380395</v>
      </c>
      <c r="T11" s="379">
        <f t="shared" si="5"/>
        <v>0.66036410418203384</v>
      </c>
      <c r="U11" s="765">
        <f t="shared" si="6"/>
        <v>-496083.3616526585</v>
      </c>
    </row>
    <row r="12" spans="1:32">
      <c r="A12" s="507">
        <v>8</v>
      </c>
      <c r="B12" s="1357"/>
      <c r="C12" s="507" t="s">
        <v>2153</v>
      </c>
      <c r="D12" s="511" t="s">
        <v>1291</v>
      </c>
      <c r="E12" s="866"/>
      <c r="F12" s="860">
        <f>'SS INPUT'!J118</f>
        <v>452900.70080000401</v>
      </c>
      <c r="G12" s="492"/>
      <c r="H12" s="184"/>
      <c r="I12" s="860">
        <f t="shared" si="0"/>
        <v>452900.70080000401</v>
      </c>
      <c r="J12" s="860">
        <f t="shared" si="1"/>
        <v>452900.70080000401</v>
      </c>
      <c r="K12" s="865">
        <f>J12*(1+K4)</f>
        <v>454719.29007706518</v>
      </c>
      <c r="L12" s="785">
        <v>273479.71161707299</v>
      </c>
      <c r="M12" s="863">
        <f t="shared" si="2"/>
        <v>1.6627167236221323</v>
      </c>
      <c r="O12" s="379">
        <v>238240.753746815</v>
      </c>
      <c r="P12" s="379">
        <f t="shared" si="3"/>
        <v>1.9086545140816162</v>
      </c>
      <c r="R12" s="379">
        <f t="shared" si="4"/>
        <v>0.86729629147997811</v>
      </c>
      <c r="S12" s="379">
        <v>524295.20862025104</v>
      </c>
      <c r="T12" s="379">
        <f t="shared" si="5"/>
        <v>0.86729629147997811</v>
      </c>
      <c r="U12" s="765">
        <f t="shared" si="6"/>
        <v>-454718.42278077372</v>
      </c>
    </row>
    <row r="13" spans="1:32">
      <c r="A13" s="507">
        <v>9</v>
      </c>
      <c r="B13" s="1357"/>
      <c r="C13" s="507" t="s">
        <v>2154</v>
      </c>
      <c r="D13" s="511" t="s">
        <v>1464</v>
      </c>
      <c r="E13" s="866"/>
      <c r="F13" s="507">
        <f>'SS INPUT'!J119</f>
        <v>478020.00000000047</v>
      </c>
      <c r="G13" s="492"/>
      <c r="H13" s="184">
        <f>'11 KV HT'!L68</f>
        <v>22139</v>
      </c>
      <c r="I13" s="860">
        <f t="shared" si="0"/>
        <v>455881.00000000047</v>
      </c>
      <c r="J13" s="860">
        <f t="shared" si="1"/>
        <v>455548.91500000044</v>
      </c>
      <c r="K13" s="865">
        <f>J13*(1+K4)</f>
        <v>457378.13798537554</v>
      </c>
      <c r="L13" s="785">
        <v>284937.85409122601</v>
      </c>
      <c r="M13" s="863">
        <f t="shared" si="2"/>
        <v>1.60518559193943</v>
      </c>
      <c r="O13" s="379">
        <v>359793.05149487202</v>
      </c>
      <c r="P13" s="379">
        <f t="shared" si="3"/>
        <v>1.271225600619734</v>
      </c>
      <c r="R13" s="379">
        <f t="shared" si="4"/>
        <v>0.65070309674939086</v>
      </c>
      <c r="S13" s="379">
        <v>702898.35759230796</v>
      </c>
      <c r="T13" s="379">
        <f t="shared" si="5"/>
        <v>0.65070309674939086</v>
      </c>
      <c r="U13" s="765">
        <f t="shared" si="6"/>
        <v>-457377.48728227877</v>
      </c>
    </row>
    <row r="14" spans="1:32">
      <c r="A14" s="507">
        <v>10</v>
      </c>
      <c r="B14" s="851"/>
      <c r="C14" s="507"/>
      <c r="D14" s="511" t="s">
        <v>1466</v>
      </c>
      <c r="E14" s="866"/>
      <c r="F14" s="860">
        <f>'SS INPUT'!J120</f>
        <v>291839.99999999994</v>
      </c>
      <c r="G14" s="492">
        <v>-184653</v>
      </c>
      <c r="H14" s="184"/>
      <c r="I14" s="860">
        <f t="shared" si="0"/>
        <v>107186.99999999994</v>
      </c>
      <c r="J14" s="860">
        <f t="shared" si="1"/>
        <v>107186.99999999994</v>
      </c>
      <c r="K14" s="865">
        <f>J14*(1+K4)</f>
        <v>107617.40147320596</v>
      </c>
      <c r="L14" s="785"/>
      <c r="M14" s="863"/>
      <c r="O14" s="379">
        <v>93259.321580005097</v>
      </c>
      <c r="P14" s="379">
        <f t="shared" si="3"/>
        <v>1.1539586568929026</v>
      </c>
      <c r="R14" s="379">
        <f t="shared" si="4"/>
        <v>0.55537350157589449</v>
      </c>
      <c r="S14" s="379">
        <v>193774.822111313</v>
      </c>
      <c r="T14" s="379">
        <f t="shared" si="5"/>
        <v>0.55537350157589449</v>
      </c>
      <c r="U14" s="765">
        <f t="shared" si="6"/>
        <v>-107616.84609970439</v>
      </c>
      <c r="V14" s="379">
        <f>S14/100</f>
        <v>1937.7482211131301</v>
      </c>
      <c r="W14" s="379">
        <f>V14*110</f>
        <v>213152.30432244431</v>
      </c>
      <c r="X14" s="379">
        <f>F14-W14</f>
        <v>78687.695677555632</v>
      </c>
    </row>
    <row r="15" spans="1:32">
      <c r="A15" s="507">
        <v>11</v>
      </c>
      <c r="B15" s="864" t="s">
        <v>1176</v>
      </c>
      <c r="C15" s="507" t="s">
        <v>2155</v>
      </c>
      <c r="D15" s="511" t="s">
        <v>2156</v>
      </c>
      <c r="E15" s="859" t="s">
        <v>2157</v>
      </c>
      <c r="F15" s="491">
        <f>'SS INPUT'!J184</f>
        <v>812062.10999996471</v>
      </c>
      <c r="G15" s="494"/>
      <c r="H15" s="864"/>
      <c r="I15" s="860">
        <f t="shared" si="0"/>
        <v>812062.10999996471</v>
      </c>
      <c r="J15" s="860">
        <f t="shared" si="1"/>
        <v>812062.10999996471</v>
      </c>
      <c r="K15" s="865">
        <f>J15*(1+K4)</f>
        <v>815322.88535965176</v>
      </c>
      <c r="L15" s="785">
        <v>475081.76725559199</v>
      </c>
      <c r="M15" s="863">
        <f>K15/L15</f>
        <v>1.716173807446943</v>
      </c>
      <c r="O15" s="379">
        <v>492883.69519257097</v>
      </c>
      <c r="P15" s="379">
        <f t="shared" si="3"/>
        <v>1.6541891998295926</v>
      </c>
      <c r="R15" s="379">
        <f t="shared" si="4"/>
        <v>0.74665315761574635</v>
      </c>
      <c r="S15" s="379">
        <v>1091970.04933748</v>
      </c>
      <c r="T15" s="379">
        <f t="shared" si="5"/>
        <v>0.74665315761574635</v>
      </c>
      <c r="U15" s="765">
        <f t="shared" si="6"/>
        <v>-815322.13870649412</v>
      </c>
      <c r="V15" s="379">
        <f>J15/28</f>
        <v>29002.218214284454</v>
      </c>
      <c r="W15" s="379">
        <f>V15*3</f>
        <v>87006.654642853362</v>
      </c>
    </row>
    <row r="16" spans="1:32">
      <c r="A16" s="507">
        <v>12</v>
      </c>
      <c r="B16" s="864" t="s">
        <v>1296</v>
      </c>
      <c r="C16" s="507"/>
      <c r="D16" s="511" t="s">
        <v>1480</v>
      </c>
      <c r="E16" s="859"/>
      <c r="F16" s="491">
        <f>'SS INPUT'!J140</f>
        <v>971000</v>
      </c>
      <c r="G16" s="494">
        <v>-185882</v>
      </c>
      <c r="H16" s="864"/>
      <c r="I16" s="860">
        <f t="shared" si="0"/>
        <v>785118</v>
      </c>
      <c r="J16" s="860">
        <f t="shared" si="1"/>
        <v>785118</v>
      </c>
      <c r="K16" s="865">
        <f>J16*(1+K4)</f>
        <v>788270.58327820129</v>
      </c>
      <c r="L16" s="785"/>
      <c r="M16" s="863"/>
      <c r="O16" s="379">
        <v>286526.99459120003</v>
      </c>
      <c r="P16" s="379">
        <f t="shared" si="3"/>
        <v>2.7511215283671953</v>
      </c>
      <c r="R16" s="379">
        <f t="shared" si="4"/>
        <v>0.76076426186885726</v>
      </c>
      <c r="S16" s="379">
        <v>1036156.16924719</v>
      </c>
      <c r="T16" s="379">
        <f t="shared" si="5"/>
        <v>0.76076426186885726</v>
      </c>
      <c r="U16" s="765">
        <f t="shared" si="6"/>
        <v>-788269.82251393946</v>
      </c>
      <c r="V16" s="765">
        <f>G16+U16</f>
        <v>-974151.82251393946</v>
      </c>
    </row>
    <row r="17" spans="1:24" ht="18.75">
      <c r="A17" s="867"/>
      <c r="B17" s="867"/>
      <c r="C17" s="867"/>
      <c r="D17" s="868" t="s">
        <v>2158</v>
      </c>
      <c r="E17" s="869"/>
      <c r="F17" s="870">
        <f t="shared" ref="F17:K17" si="7">SUM(F5:F16)</f>
        <v>5719467.9519999512</v>
      </c>
      <c r="G17" s="871">
        <f t="shared" si="7"/>
        <v>-443257</v>
      </c>
      <c r="H17" s="870">
        <f t="shared" si="7"/>
        <v>68204</v>
      </c>
      <c r="I17" s="870">
        <f t="shared" si="7"/>
        <v>5208006.9519999512</v>
      </c>
      <c r="J17" s="870">
        <f t="shared" si="7"/>
        <v>5206983.8919999516</v>
      </c>
      <c r="K17" s="870">
        <f t="shared" si="7"/>
        <v>5227892.1508193677</v>
      </c>
      <c r="L17" s="785">
        <v>2989929.76891687</v>
      </c>
      <c r="M17" s="863">
        <f t="shared" ref="M17:M23" si="8">K17/L17</f>
        <v>1.7484999832331247</v>
      </c>
      <c r="O17" s="379">
        <v>3202034.7042322899</v>
      </c>
      <c r="P17" s="379">
        <f t="shared" si="3"/>
        <v>1.6326781667635895</v>
      </c>
      <c r="R17" s="379">
        <f t="shared" si="4"/>
        <v>0.72560375409942091</v>
      </c>
      <c r="S17" s="379">
        <v>7204885.7538064104</v>
      </c>
      <c r="T17" s="379">
        <f t="shared" si="5"/>
        <v>0.72560375409942091</v>
      </c>
      <c r="U17" s="765">
        <f>K17-J17</f>
        <v>20908.258819416165</v>
      </c>
      <c r="W17" s="379">
        <v>30000</v>
      </c>
      <c r="X17" s="765">
        <f>W17+G17</f>
        <v>-413257</v>
      </c>
    </row>
    <row r="18" spans="1:24" ht="18.75">
      <c r="A18" s="507"/>
      <c r="B18" s="507"/>
      <c r="C18" s="507"/>
      <c r="D18" s="868" t="s">
        <v>2159</v>
      </c>
      <c r="E18" s="869"/>
      <c r="F18" s="507"/>
      <c r="G18" s="494"/>
      <c r="H18" s="507"/>
      <c r="I18" s="507"/>
      <c r="J18" s="507"/>
      <c r="K18" s="862"/>
      <c r="L18" s="785"/>
      <c r="M18" s="863" t="e">
        <f t="shared" si="8"/>
        <v>#DIV/0!</v>
      </c>
      <c r="R18" s="379" t="e">
        <f t="shared" si="4"/>
        <v>#DIV/0!</v>
      </c>
      <c r="S18" s="765"/>
      <c r="T18" s="379" t="e">
        <f t="shared" si="5"/>
        <v>#DIV/0!</v>
      </c>
    </row>
    <row r="19" spans="1:24" ht="15" customHeight="1">
      <c r="A19" s="507">
        <v>13</v>
      </c>
      <c r="B19" s="1347" t="s">
        <v>2160</v>
      </c>
      <c r="C19" s="507" t="s">
        <v>2161</v>
      </c>
      <c r="D19" s="511" t="s">
        <v>1171</v>
      </c>
      <c r="E19" s="859" t="s">
        <v>2157</v>
      </c>
      <c r="F19" s="861">
        <f>'SS INPUT'!J172</f>
        <v>905639.83290005859</v>
      </c>
      <c r="G19" s="492">
        <v>250000</v>
      </c>
      <c r="H19" s="507">
        <f>'11 KV HT'!L90</f>
        <v>11307</v>
      </c>
      <c r="I19" s="860">
        <f t="shared" ref="I19:I24" si="9">F19+G19-H19</f>
        <v>1144332.8329000585</v>
      </c>
      <c r="J19" s="860">
        <f t="shared" ref="J19:J24" si="10">(F19+G19)-(H19*1.015)</f>
        <v>1144163.2279000585</v>
      </c>
      <c r="K19" s="865">
        <f>J19*(1+K4)</f>
        <v>1148757.5307434662</v>
      </c>
      <c r="L19" s="785">
        <v>837325.85340181098</v>
      </c>
      <c r="M19" s="863">
        <f t="shared" si="8"/>
        <v>1.3719360581981306</v>
      </c>
      <c r="O19" s="379">
        <v>935730.03193944599</v>
      </c>
      <c r="P19" s="379">
        <f>J19/O19</f>
        <v>1.2227492854200717</v>
      </c>
      <c r="R19" s="379">
        <f t="shared" si="4"/>
        <v>0.73029501778406702</v>
      </c>
      <c r="S19" s="379">
        <v>1573004.7484496599</v>
      </c>
      <c r="T19" s="379">
        <f t="shared" si="5"/>
        <v>0.73029501778406702</v>
      </c>
      <c r="U19" s="379">
        <v>-610666</v>
      </c>
    </row>
    <row r="20" spans="1:24">
      <c r="A20" s="507">
        <v>14</v>
      </c>
      <c r="B20" s="1347"/>
      <c r="C20" s="507" t="s">
        <v>2162</v>
      </c>
      <c r="D20" s="511" t="s">
        <v>1504</v>
      </c>
      <c r="E20" s="859" t="s">
        <v>2163</v>
      </c>
      <c r="F20" s="861">
        <f>'SS INPUT'!J168</f>
        <v>516799.99999998836</v>
      </c>
      <c r="G20" s="492"/>
      <c r="H20" s="507"/>
      <c r="I20" s="860">
        <f t="shared" si="9"/>
        <v>516799.99999998836</v>
      </c>
      <c r="J20" s="860">
        <f t="shared" si="10"/>
        <v>516799.99999998836</v>
      </c>
      <c r="K20" s="865">
        <f>J20*(1+K4)</f>
        <v>518875.17218834016</v>
      </c>
      <c r="L20" s="785">
        <v>469266.43972991098</v>
      </c>
      <c r="M20" s="863">
        <f t="shared" si="8"/>
        <v>1.1057154917939194</v>
      </c>
      <c r="O20" s="379">
        <v>408623.08008081798</v>
      </c>
      <c r="P20" s="379">
        <f>J20/O20</f>
        <v>1.2647352173493847</v>
      </c>
      <c r="R20" s="379">
        <f t="shared" si="4"/>
        <v>0.72245057465558715</v>
      </c>
      <c r="S20" s="379">
        <v>718215.46053265</v>
      </c>
      <c r="T20" s="379">
        <f t="shared" si="5"/>
        <v>0.72245057465558715</v>
      </c>
    </row>
    <row r="21" spans="1:24" ht="15" customHeight="1">
      <c r="A21" s="507">
        <v>15</v>
      </c>
      <c r="B21" s="1347" t="s">
        <v>1175</v>
      </c>
      <c r="C21" s="507" t="s">
        <v>2164</v>
      </c>
      <c r="D21" s="511" t="s">
        <v>2165</v>
      </c>
      <c r="E21" s="859"/>
      <c r="F21" s="860">
        <f>'SS INPUT'!J47</f>
        <v>888650.0000000014</v>
      </c>
      <c r="G21" s="494"/>
      <c r="H21" s="507">
        <f>'11 KV HT'!L93</f>
        <v>0</v>
      </c>
      <c r="I21" s="860">
        <f t="shared" si="9"/>
        <v>888650.0000000014</v>
      </c>
      <c r="J21" s="860">
        <f t="shared" si="10"/>
        <v>888650.0000000014</v>
      </c>
      <c r="K21" s="862">
        <f>J21*(1+K4)</f>
        <v>892218.30836915551</v>
      </c>
      <c r="L21" s="785">
        <v>193783.479599388</v>
      </c>
      <c r="M21" s="863">
        <f t="shared" si="8"/>
        <v>4.6042021240079603</v>
      </c>
      <c r="O21" s="379">
        <v>413950.723342126</v>
      </c>
      <c r="P21" s="379">
        <f>J21/O21</f>
        <v>2.1467531034256493</v>
      </c>
      <c r="R21" s="379">
        <f t="shared" si="4"/>
        <v>0.81975474992778585</v>
      </c>
      <c r="S21" s="379">
        <v>1088396.6313678001</v>
      </c>
      <c r="T21" s="379">
        <f t="shared" si="5"/>
        <v>0.81975474992778585</v>
      </c>
      <c r="U21" s="379">
        <v>14693.17</v>
      </c>
      <c r="V21" s="379">
        <v>14710.1</v>
      </c>
    </row>
    <row r="22" spans="1:24">
      <c r="A22" s="507">
        <v>16</v>
      </c>
      <c r="B22" s="1347"/>
      <c r="C22" s="507" t="s">
        <v>2166</v>
      </c>
      <c r="D22" s="511" t="s">
        <v>1394</v>
      </c>
      <c r="E22" s="859"/>
      <c r="F22" s="860">
        <f>'SS INPUT'!J45</f>
        <v>277680.00000000029</v>
      </c>
      <c r="G22" s="494"/>
      <c r="H22" s="507"/>
      <c r="I22" s="860">
        <f t="shared" si="9"/>
        <v>277680.00000000029</v>
      </c>
      <c r="J22" s="860">
        <f t="shared" si="10"/>
        <v>277680.00000000029</v>
      </c>
      <c r="K22" s="862">
        <f>J22*(1+K4)</f>
        <v>278795.00350863329</v>
      </c>
      <c r="L22" s="785">
        <v>436630.62977746298</v>
      </c>
      <c r="M22" s="863">
        <f t="shared" si="8"/>
        <v>0.63851453493019128</v>
      </c>
      <c r="O22" s="379">
        <v>164686.55417170899</v>
      </c>
      <c r="P22" s="379">
        <f>J22/O22</f>
        <v>1.6861121504217016</v>
      </c>
      <c r="R22" s="379">
        <f t="shared" si="4"/>
        <v>0.77673674646401514</v>
      </c>
      <c r="S22" s="379">
        <v>358931.13693643099</v>
      </c>
      <c r="T22" s="379">
        <f t="shared" si="5"/>
        <v>0.77673674646401514</v>
      </c>
      <c r="V22" s="379">
        <f>V21-U21</f>
        <v>16.930000000000291</v>
      </c>
    </row>
    <row r="23" spans="1:24">
      <c r="A23" s="507">
        <v>17</v>
      </c>
      <c r="B23" s="1347"/>
      <c r="C23" s="507" t="s">
        <v>2167</v>
      </c>
      <c r="D23" s="511" t="s">
        <v>1174</v>
      </c>
      <c r="E23" s="859"/>
      <c r="F23" s="860">
        <f>'SS INPUT'!J46</f>
        <v>1076460.0000000028</v>
      </c>
      <c r="G23" s="494">
        <v>-300000</v>
      </c>
      <c r="H23" s="530">
        <f>'11 KV HT'!K91+'11 KV HT'!K92</f>
        <v>20382</v>
      </c>
      <c r="I23" s="860">
        <f t="shared" si="9"/>
        <v>756078.00000000279</v>
      </c>
      <c r="J23" s="860">
        <f t="shared" si="10"/>
        <v>755772.27000000281</v>
      </c>
      <c r="K23" s="862">
        <f>J23*(1+K4)</f>
        <v>758807.01766918146</v>
      </c>
      <c r="L23" s="785">
        <v>1298565.6980036199</v>
      </c>
      <c r="M23" s="863">
        <f t="shared" si="8"/>
        <v>0.58434241627955441</v>
      </c>
      <c r="O23" s="379">
        <v>290583.50920905703</v>
      </c>
      <c r="P23" s="379">
        <f>J23/O23</f>
        <v>2.6008780472682331</v>
      </c>
      <c r="Q23" s="379">
        <v>771560</v>
      </c>
      <c r="R23" s="379">
        <f>Q23*P20</f>
        <v>975819.10429809126</v>
      </c>
      <c r="S23" s="379">
        <v>1128079.0120194601</v>
      </c>
      <c r="T23" s="379">
        <f t="shared" si="5"/>
        <v>0.67265413998863721</v>
      </c>
      <c r="V23" s="379">
        <f>V22*1000</f>
        <v>16930.000000000291</v>
      </c>
    </row>
    <row r="24" spans="1:24">
      <c r="A24" s="507">
        <v>18</v>
      </c>
      <c r="B24" s="864" t="s">
        <v>1296</v>
      </c>
      <c r="C24" s="1252" t="s">
        <v>3141</v>
      </c>
      <c r="D24" s="872" t="s">
        <v>1481</v>
      </c>
      <c r="E24" s="859"/>
      <c r="F24" s="860">
        <f>'SS INPUT'!J141</f>
        <v>73940.000000000058</v>
      </c>
      <c r="G24" s="494">
        <v>50000</v>
      </c>
      <c r="H24" s="530"/>
      <c r="I24" s="507">
        <f t="shared" si="9"/>
        <v>123940.00000000006</v>
      </c>
      <c r="J24" s="860">
        <f t="shared" si="10"/>
        <v>123940.00000000006</v>
      </c>
      <c r="K24" s="862">
        <f>J24*(1+K4)</f>
        <v>124437.67190600689</v>
      </c>
      <c r="L24" s="785"/>
      <c r="M24" s="863"/>
      <c r="O24" s="379">
        <v>273662.93466273003</v>
      </c>
      <c r="Q24" s="379">
        <f>Q23/O23</f>
        <v>2.6552091758411174</v>
      </c>
      <c r="R24" s="765">
        <f>R23-K23</f>
        <v>217012.0866289098</v>
      </c>
      <c r="S24" s="379">
        <v>176541.390681986</v>
      </c>
      <c r="T24" s="379">
        <f t="shared" si="5"/>
        <v>0.70486400625541412</v>
      </c>
      <c r="V24" s="379">
        <f>V23/24</f>
        <v>705.41666666667879</v>
      </c>
    </row>
    <row r="25" spans="1:24" ht="18.75">
      <c r="A25" s="873"/>
      <c r="B25" s="873"/>
      <c r="C25" s="873"/>
      <c r="D25" s="868" t="s">
        <v>2168</v>
      </c>
      <c r="E25" s="869"/>
      <c r="F25" s="870">
        <f t="shared" ref="F25:K25" si="11">SUM(F19:F24)</f>
        <v>3739169.8329000515</v>
      </c>
      <c r="G25" s="874">
        <f t="shared" si="11"/>
        <v>0</v>
      </c>
      <c r="H25" s="870">
        <f t="shared" si="11"/>
        <v>31689</v>
      </c>
      <c r="I25" s="870">
        <f t="shared" si="11"/>
        <v>3707480.8329000515</v>
      </c>
      <c r="J25" s="870">
        <f t="shared" si="11"/>
        <v>3707005.4979000515</v>
      </c>
      <c r="K25" s="870">
        <f t="shared" si="11"/>
        <v>3721890.7043847837</v>
      </c>
      <c r="L25" s="785">
        <v>308900.33942516003</v>
      </c>
      <c r="M25" s="863">
        <f t="shared" ref="M25:M33" si="12">K25/L25</f>
        <v>12.048839801571402</v>
      </c>
      <c r="O25" s="379">
        <v>2487236.83340589</v>
      </c>
      <c r="P25" s="379">
        <f>K25/O25</f>
        <v>1.4963957812124487</v>
      </c>
      <c r="S25" s="379">
        <v>5043168.3799879896</v>
      </c>
      <c r="T25" s="379">
        <f t="shared" si="5"/>
        <v>0.7380064324549972</v>
      </c>
      <c r="V25" s="379">
        <f>V24*5</f>
        <v>3527.083333333394</v>
      </c>
    </row>
    <row r="26" spans="1:24" ht="18.75">
      <c r="A26" s="507"/>
      <c r="B26" s="507"/>
      <c r="C26" s="507"/>
      <c r="D26" s="868" t="s">
        <v>2169</v>
      </c>
      <c r="E26" s="869"/>
      <c r="F26" s="507"/>
      <c r="G26" s="494"/>
      <c r="H26" s="507"/>
      <c r="I26" s="507"/>
      <c r="J26" s="860"/>
      <c r="K26" s="862"/>
      <c r="L26" s="785">
        <v>859566.67784039897</v>
      </c>
      <c r="M26" s="863">
        <f t="shared" si="12"/>
        <v>0</v>
      </c>
      <c r="T26" s="379" t="e">
        <f t="shared" si="5"/>
        <v>#DIV/0!</v>
      </c>
    </row>
    <row r="27" spans="1:24" ht="15" customHeight="1">
      <c r="A27" s="507">
        <v>19</v>
      </c>
      <c r="B27" s="1347" t="s">
        <v>973</v>
      </c>
      <c r="C27" s="507" t="s">
        <v>2170</v>
      </c>
      <c r="D27" s="511" t="s">
        <v>2171</v>
      </c>
      <c r="E27" s="875"/>
      <c r="F27" s="507">
        <f>'SS INPUT'!J93</f>
        <v>845399.99999999418</v>
      </c>
      <c r="G27" s="494"/>
      <c r="H27" s="507"/>
      <c r="I27" s="507">
        <f t="shared" ref="I27:I34" si="13">F27+G27-H27</f>
        <v>845399.99999999418</v>
      </c>
      <c r="J27" s="860">
        <f t="shared" ref="J27:J34" si="14">(F27+G27)-(H27*1.015)</f>
        <v>845399.99999999418</v>
      </c>
      <c r="K27" s="862">
        <f>J27*(1+K4)</f>
        <v>848794.64119200781</v>
      </c>
      <c r="L27" s="785">
        <v>982756.93780179403</v>
      </c>
      <c r="M27" s="863">
        <f t="shared" si="12"/>
        <v>0.86368725423660742</v>
      </c>
      <c r="O27" s="379">
        <v>550761.73906788696</v>
      </c>
      <c r="S27" s="379">
        <v>1156582.43239377</v>
      </c>
      <c r="T27" s="379">
        <f t="shared" si="5"/>
        <v>0.73388166499750818</v>
      </c>
    </row>
    <row r="28" spans="1:24">
      <c r="A28" s="507">
        <v>20</v>
      </c>
      <c r="B28" s="1347"/>
      <c r="C28" s="507" t="s">
        <v>2172</v>
      </c>
      <c r="D28" s="511" t="s">
        <v>1167</v>
      </c>
      <c r="E28" s="866"/>
      <c r="F28" s="507">
        <f>'SS INPUT'!J92</f>
        <v>458000</v>
      </c>
      <c r="G28" s="494"/>
      <c r="H28" s="530">
        <f>'11 KV HT'!L88</f>
        <v>15308</v>
      </c>
      <c r="I28" s="507">
        <f t="shared" si="13"/>
        <v>442692</v>
      </c>
      <c r="J28" s="860">
        <f t="shared" si="14"/>
        <v>442462.38</v>
      </c>
      <c r="K28" s="862">
        <f>J28*(1+K4)</f>
        <v>444239.05497168726</v>
      </c>
      <c r="L28" s="785">
        <v>558921.452131144</v>
      </c>
      <c r="M28" s="863">
        <f t="shared" si="12"/>
        <v>0.79481482286611549</v>
      </c>
      <c r="O28" s="379">
        <v>283640.37828193302</v>
      </c>
      <c r="S28" s="379">
        <v>592622.15446211398</v>
      </c>
      <c r="T28" s="379">
        <f t="shared" si="5"/>
        <v>0.74961601017919288</v>
      </c>
    </row>
    <row r="29" spans="1:24" ht="14.25" customHeight="1">
      <c r="A29" s="507">
        <v>21</v>
      </c>
      <c r="B29" s="1347" t="s">
        <v>198</v>
      </c>
      <c r="C29" s="507" t="s">
        <v>2173</v>
      </c>
      <c r="D29" s="511" t="s">
        <v>1412</v>
      </c>
      <c r="E29" s="876"/>
      <c r="F29" s="507">
        <f>'SS INPUT'!J64</f>
        <v>180800.00000000291</v>
      </c>
      <c r="G29" s="494"/>
      <c r="H29" s="507"/>
      <c r="I29" s="507">
        <f t="shared" si="13"/>
        <v>180800.00000000291</v>
      </c>
      <c r="J29" s="860">
        <f t="shared" si="14"/>
        <v>180800.00000000291</v>
      </c>
      <c r="K29" s="862">
        <f>J29*(1+K4)</f>
        <v>181525.98903184119</v>
      </c>
      <c r="L29" s="785">
        <v>223561.620523196</v>
      </c>
      <c r="M29" s="863">
        <f t="shared" si="12"/>
        <v>0.81197295227606681</v>
      </c>
      <c r="O29" s="379">
        <v>113506.411133559</v>
      </c>
      <c r="S29" s="379">
        <v>260734.857670953</v>
      </c>
      <c r="T29" s="379">
        <f t="shared" si="5"/>
        <v>0.69620913234749271</v>
      </c>
    </row>
    <row r="30" spans="1:24">
      <c r="A30" s="507">
        <v>22</v>
      </c>
      <c r="B30" s="1347"/>
      <c r="C30" s="507" t="s">
        <v>2174</v>
      </c>
      <c r="D30" s="511" t="s">
        <v>1414</v>
      </c>
      <c r="E30" s="522"/>
      <c r="F30" s="860">
        <f>'SS INPUT'!J65</f>
        <v>409410</v>
      </c>
      <c r="G30" s="861"/>
      <c r="H30" s="860"/>
      <c r="I30" s="860">
        <f t="shared" si="13"/>
        <v>409410</v>
      </c>
      <c r="J30" s="860">
        <f t="shared" si="14"/>
        <v>409410</v>
      </c>
      <c r="K30" s="862">
        <f>J30*(1+K4)</f>
        <v>411053.95558365545</v>
      </c>
      <c r="L30" s="785">
        <v>487119.16293368</v>
      </c>
      <c r="M30" s="863">
        <f t="shared" si="12"/>
        <v>0.84384681790812521</v>
      </c>
      <c r="O30" s="379">
        <v>267476.323965811</v>
      </c>
      <c r="S30" s="379">
        <v>561816.09730182495</v>
      </c>
      <c r="T30" s="379">
        <f t="shared" si="5"/>
        <v>0.73165215015693041</v>
      </c>
    </row>
    <row r="31" spans="1:24">
      <c r="A31" s="507">
        <v>23</v>
      </c>
      <c r="B31" s="1347"/>
      <c r="C31" s="507" t="s">
        <v>2175</v>
      </c>
      <c r="D31" s="511" t="s">
        <v>1169</v>
      </c>
      <c r="E31" s="522"/>
      <c r="F31" s="507">
        <f>'SS INPUT'!J63</f>
        <v>1219199.9999999825</v>
      </c>
      <c r="G31" s="494"/>
      <c r="H31" s="530">
        <f>'11 KV HT'!L89</f>
        <v>7564</v>
      </c>
      <c r="I31" s="507">
        <f t="shared" si="13"/>
        <v>1211635.9999999825</v>
      </c>
      <c r="J31" s="860">
        <f t="shared" si="14"/>
        <v>1211522.5399999826</v>
      </c>
      <c r="K31" s="862">
        <f>J31*(1+K4)</f>
        <v>1216387.3191806509</v>
      </c>
      <c r="L31" s="785">
        <v>1558615.19806652</v>
      </c>
      <c r="M31" s="863">
        <f t="shared" si="12"/>
        <v>0.78042824212775108</v>
      </c>
      <c r="O31" s="379">
        <v>787418.45971829596</v>
      </c>
      <c r="R31" s="379">
        <v>890195</v>
      </c>
      <c r="S31" s="379">
        <v>1692377.17531826</v>
      </c>
      <c r="T31" s="379">
        <f t="shared" si="5"/>
        <v>0.7187448146432861</v>
      </c>
    </row>
    <row r="32" spans="1:24">
      <c r="A32" s="507">
        <v>24</v>
      </c>
      <c r="B32" s="877" t="s">
        <v>220</v>
      </c>
      <c r="C32" s="507" t="s">
        <v>2176</v>
      </c>
      <c r="D32" s="586" t="s">
        <v>1957</v>
      </c>
      <c r="E32" s="878" t="s">
        <v>2177</v>
      </c>
      <c r="F32" s="860">
        <f>'SS INPUT'!J698</f>
        <v>311760.00000000023</v>
      </c>
      <c r="G32" s="494"/>
      <c r="H32" s="507"/>
      <c r="I32" s="860">
        <f t="shared" si="13"/>
        <v>311760.00000000023</v>
      </c>
      <c r="J32" s="860">
        <f t="shared" si="14"/>
        <v>311760.00000000023</v>
      </c>
      <c r="K32" s="862">
        <f>J32*(1+K4)</f>
        <v>313011.84922879393</v>
      </c>
      <c r="L32" s="785">
        <v>296073.707477285</v>
      </c>
      <c r="M32" s="863">
        <f t="shared" si="12"/>
        <v>1.0572092060988172</v>
      </c>
      <c r="O32" s="379">
        <v>214447.35578054999</v>
      </c>
      <c r="S32" s="379">
        <v>403630.02508615801</v>
      </c>
      <c r="T32" s="379">
        <f t="shared" si="5"/>
        <v>0.77549198467576608</v>
      </c>
    </row>
    <row r="33" spans="1:22">
      <c r="A33" s="507">
        <v>25</v>
      </c>
      <c r="B33" s="507" t="s">
        <v>2178</v>
      </c>
      <c r="C33" s="507" t="s">
        <v>2179</v>
      </c>
      <c r="D33" s="511" t="s">
        <v>1404</v>
      </c>
      <c r="E33" s="876"/>
      <c r="F33" s="507">
        <f>'SS INPUT'!J55</f>
        <v>869600.00000000582</v>
      </c>
      <c r="G33" s="494"/>
      <c r="H33" s="507"/>
      <c r="I33" s="507">
        <f t="shared" si="13"/>
        <v>869600.00000000582</v>
      </c>
      <c r="J33" s="860">
        <f t="shared" si="14"/>
        <v>869600.00000000582</v>
      </c>
      <c r="K33" s="862">
        <f>J33*(1+K4)</f>
        <v>873091.81450269697</v>
      </c>
      <c r="L33" s="785">
        <v>976108.26507245598</v>
      </c>
      <c r="M33" s="863">
        <f t="shared" si="12"/>
        <v>0.89446206506394843</v>
      </c>
      <c r="O33" s="379">
        <v>651383.638667361</v>
      </c>
      <c r="S33" s="379">
        <v>1176942.60454657</v>
      </c>
      <c r="T33" s="379">
        <f t="shared" si="5"/>
        <v>0.74183040968175773</v>
      </c>
    </row>
    <row r="34" spans="1:22">
      <c r="A34" s="507"/>
      <c r="B34" s="507" t="s">
        <v>1296</v>
      </c>
      <c r="C34" s="507"/>
      <c r="D34" s="511" t="s">
        <v>1482</v>
      </c>
      <c r="E34" s="876"/>
      <c r="F34" s="507">
        <f>'SS INPUT'!J142</f>
        <v>0</v>
      </c>
      <c r="G34" s="494"/>
      <c r="H34" s="507"/>
      <c r="I34" s="507">
        <f t="shared" si="13"/>
        <v>0</v>
      </c>
      <c r="J34" s="860">
        <f t="shared" si="14"/>
        <v>0</v>
      </c>
      <c r="K34" s="862">
        <f>J34*(1+K4)</f>
        <v>0</v>
      </c>
      <c r="L34" s="785"/>
      <c r="M34" s="863"/>
      <c r="T34" s="379" t="e">
        <f t="shared" si="5"/>
        <v>#DIV/0!</v>
      </c>
      <c r="U34" s="379">
        <v>262960</v>
      </c>
      <c r="V34" s="379">
        <f>U34+U35</f>
        <v>244535</v>
      </c>
    </row>
    <row r="35" spans="1:22" ht="18.75">
      <c r="A35" s="864"/>
      <c r="B35" s="864"/>
      <c r="C35" s="864"/>
      <c r="D35" s="868" t="s">
        <v>2180</v>
      </c>
      <c r="E35" s="869"/>
      <c r="F35" s="870">
        <f t="shared" ref="F35:K35" si="15">SUM(F27:F34)</f>
        <v>4294169.9999999851</v>
      </c>
      <c r="G35" s="870">
        <f t="shared" si="15"/>
        <v>0</v>
      </c>
      <c r="H35" s="870">
        <f t="shared" si="15"/>
        <v>22872</v>
      </c>
      <c r="I35" s="870">
        <f t="shared" si="15"/>
        <v>4271297.9999999851</v>
      </c>
      <c r="J35" s="870">
        <f t="shared" si="15"/>
        <v>4270954.919999985</v>
      </c>
      <c r="K35" s="870">
        <f t="shared" si="15"/>
        <v>4288104.6236913335</v>
      </c>
      <c r="L35" s="785">
        <v>5083156.3440060699</v>
      </c>
      <c r="M35" s="863">
        <f t="shared" ref="M35:M47" si="16">K35/L35</f>
        <v>0.84359093710500532</v>
      </c>
      <c r="O35" s="379">
        <v>2868634.3066154001</v>
      </c>
      <c r="S35" s="379">
        <v>5844705.3467796501</v>
      </c>
      <c r="T35" s="379">
        <f t="shared" si="5"/>
        <v>0.73367336234563452</v>
      </c>
      <c r="U35" s="379">
        <v>-18425</v>
      </c>
    </row>
    <row r="36" spans="1:22" ht="15.75">
      <c r="A36" s="507"/>
      <c r="B36" s="507"/>
      <c r="C36" s="507"/>
      <c r="D36" s="879" t="s">
        <v>2181</v>
      </c>
      <c r="E36" s="869"/>
      <c r="F36" s="507"/>
      <c r="G36" s="494"/>
      <c r="H36" s="507"/>
      <c r="I36" s="507"/>
      <c r="J36" s="860"/>
      <c r="K36" s="862"/>
      <c r="L36" s="785"/>
      <c r="M36" s="863" t="e">
        <f t="shared" si="16"/>
        <v>#DIV/0!</v>
      </c>
      <c r="T36" s="379" t="e">
        <f t="shared" si="5"/>
        <v>#DIV/0!</v>
      </c>
    </row>
    <row r="37" spans="1:22" ht="15" customHeight="1">
      <c r="A37" s="507">
        <v>26</v>
      </c>
      <c r="B37" s="1347" t="s">
        <v>1159</v>
      </c>
      <c r="C37" s="507" t="s">
        <v>2182</v>
      </c>
      <c r="D37" s="766" t="s">
        <v>1162</v>
      </c>
      <c r="E37" s="880"/>
      <c r="F37" s="507">
        <f>'SS INPUT'!J26</f>
        <v>322520.00000000047</v>
      </c>
      <c r="G37" s="494"/>
      <c r="H37" s="530">
        <f>'11 KV HT'!K85+'11 KV HT'!K86</f>
        <v>55161</v>
      </c>
      <c r="I37" s="507">
        <f t="shared" ref="I37:I54" si="17">F37+G37-H37</f>
        <v>267359.00000000047</v>
      </c>
      <c r="J37" s="860">
        <f t="shared" ref="J37:J54" si="18">(F37+G37)-(H37*1.015)</f>
        <v>266531.58500000049</v>
      </c>
      <c r="K37" s="862">
        <f>J37*(1+K4)</f>
        <v>267601.82287250308</v>
      </c>
      <c r="L37" s="785">
        <v>452026.77581073903</v>
      </c>
      <c r="M37" s="863">
        <f t="shared" si="16"/>
        <v>0.59200436167203152</v>
      </c>
      <c r="O37" s="379">
        <v>217905.34393443601</v>
      </c>
      <c r="P37" s="379">
        <f t="shared" ref="P37:P47" si="19">K37/O37</f>
        <v>1.2280645258200731</v>
      </c>
      <c r="R37" s="379">
        <v>443257</v>
      </c>
      <c r="S37" s="379">
        <v>574777.93344996602</v>
      </c>
      <c r="T37" s="379">
        <f t="shared" ref="T37:T64" si="20">K37/S37</f>
        <v>0.46557428060309769</v>
      </c>
      <c r="U37" s="379" t="s">
        <v>1162</v>
      </c>
    </row>
    <row r="38" spans="1:22">
      <c r="A38" s="507">
        <v>27</v>
      </c>
      <c r="B38" s="1347"/>
      <c r="C38" s="507" t="s">
        <v>2183</v>
      </c>
      <c r="D38" s="766" t="s">
        <v>1165</v>
      </c>
      <c r="E38" s="875"/>
      <c r="F38" s="860">
        <f>'SS INPUT'!J27</f>
        <v>1248800.0000000028</v>
      </c>
      <c r="G38" s="494"/>
      <c r="H38" s="507">
        <f>'11 KV HT'!L87</f>
        <v>35467</v>
      </c>
      <c r="I38" s="860">
        <f t="shared" si="17"/>
        <v>1213333.0000000028</v>
      </c>
      <c r="J38" s="860">
        <f t="shared" si="18"/>
        <v>1212800.9950000029</v>
      </c>
      <c r="K38" s="862">
        <f>J38*(1+K4)</f>
        <v>1217670.9077221961</v>
      </c>
      <c r="L38" s="785">
        <v>1496717.92152748</v>
      </c>
      <c r="M38" s="863">
        <f t="shared" si="16"/>
        <v>0.81356071856178369</v>
      </c>
      <c r="O38" s="379">
        <v>719326.50053393596</v>
      </c>
      <c r="P38" s="379">
        <f t="shared" si="19"/>
        <v>1.6927930596444771</v>
      </c>
      <c r="R38" s="1253">
        <v>-21545</v>
      </c>
      <c r="S38" s="379">
        <v>1450538.14155116</v>
      </c>
      <c r="T38" s="379">
        <f t="shared" si="20"/>
        <v>0.83946148869967463</v>
      </c>
      <c r="U38" s="379" t="s">
        <v>1165</v>
      </c>
    </row>
    <row r="39" spans="1:22" ht="14.25" customHeight="1">
      <c r="A39" s="507">
        <v>28</v>
      </c>
      <c r="B39" s="1347"/>
      <c r="C39" s="507" t="s">
        <v>2184</v>
      </c>
      <c r="D39" s="766" t="s">
        <v>1158</v>
      </c>
      <c r="E39" s="875"/>
      <c r="F39" s="507">
        <f>'SS INPUT'!J28</f>
        <v>167800.00000000291</v>
      </c>
      <c r="G39" s="494">
        <f>443257+280000</f>
        <v>723257</v>
      </c>
      <c r="H39" s="530">
        <f>'11 KV HT'!L83</f>
        <v>118572</v>
      </c>
      <c r="I39" s="507">
        <f t="shared" si="17"/>
        <v>772485.00000000291</v>
      </c>
      <c r="J39" s="860">
        <f t="shared" si="18"/>
        <v>770706.42000000295</v>
      </c>
      <c r="K39" s="862">
        <f>J39*(1+K4)</f>
        <v>773801.13464429125</v>
      </c>
      <c r="L39" s="785">
        <v>808905.84402391897</v>
      </c>
      <c r="M39" s="863">
        <f t="shared" si="16"/>
        <v>0.95660223048334203</v>
      </c>
      <c r="O39" s="379">
        <v>537869.60419780796</v>
      </c>
      <c r="P39" s="379">
        <f t="shared" si="19"/>
        <v>1.4386407571745152</v>
      </c>
      <c r="R39" s="379">
        <f>481273-G39</f>
        <v>-241984</v>
      </c>
      <c r="S39" s="379">
        <v>986725.88353053003</v>
      </c>
      <c r="T39" s="379">
        <f t="shared" si="20"/>
        <v>0.78421084068009983</v>
      </c>
      <c r="U39" s="379" t="s">
        <v>1158</v>
      </c>
    </row>
    <row r="40" spans="1:22" ht="15" customHeight="1">
      <c r="A40" s="507">
        <v>29</v>
      </c>
      <c r="B40" s="1347" t="s">
        <v>928</v>
      </c>
      <c r="C40" s="507" t="s">
        <v>2185</v>
      </c>
      <c r="D40" s="439" t="s">
        <v>1387</v>
      </c>
      <c r="E40" s="875"/>
      <c r="F40" s="507">
        <f>'SS INPUT'!J37</f>
        <v>364884</v>
      </c>
      <c r="G40" s="861">
        <f>-'CIRCLE INPUT'!H10</f>
        <v>-21545</v>
      </c>
      <c r="H40" s="507">
        <f>'11 KV HT'!L80</f>
        <v>39411</v>
      </c>
      <c r="I40" s="507">
        <f t="shared" si="17"/>
        <v>303928</v>
      </c>
      <c r="J40" s="860">
        <f t="shared" si="18"/>
        <v>303336.83500000002</v>
      </c>
      <c r="K40" s="862">
        <f>J40*(1+K4)</f>
        <v>304554.86163253617</v>
      </c>
      <c r="L40" s="785">
        <v>208508.46413578599</v>
      </c>
      <c r="M40" s="863">
        <f t="shared" si="16"/>
        <v>1.4606354849662233</v>
      </c>
      <c r="O40" s="379">
        <v>109278.96199601601</v>
      </c>
      <c r="P40" s="379">
        <f t="shared" si="19"/>
        <v>2.7869487051280681</v>
      </c>
      <c r="S40" s="379">
        <v>354653.96857751202</v>
      </c>
      <c r="T40" s="379">
        <f t="shared" si="20"/>
        <v>0.85873806193141089</v>
      </c>
      <c r="U40" s="379" t="s">
        <v>1387</v>
      </c>
    </row>
    <row r="41" spans="1:22">
      <c r="A41" s="507">
        <v>30</v>
      </c>
      <c r="B41" s="1347"/>
      <c r="C41" s="507" t="s">
        <v>2186</v>
      </c>
      <c r="D41" s="511" t="s">
        <v>1183</v>
      </c>
      <c r="E41" s="859"/>
      <c r="F41" s="507">
        <f>'SS INPUT'!J34</f>
        <v>545000</v>
      </c>
      <c r="G41" s="489">
        <v>-425000</v>
      </c>
      <c r="H41" s="507"/>
      <c r="I41" s="507">
        <f t="shared" si="17"/>
        <v>120000</v>
      </c>
      <c r="J41" s="860">
        <f t="shared" si="18"/>
        <v>120000</v>
      </c>
      <c r="K41" s="862">
        <f>J41*(1+K4)</f>
        <v>120481.85112732628</v>
      </c>
      <c r="L41" s="785">
        <v>100699.396351434</v>
      </c>
      <c r="M41" s="863">
        <f t="shared" si="16"/>
        <v>1.1964505795730183</v>
      </c>
      <c r="O41" s="379">
        <v>288163.12303995999</v>
      </c>
      <c r="P41" s="379">
        <f t="shared" si="19"/>
        <v>0.4181029475815991</v>
      </c>
      <c r="R41" s="379">
        <v>-22753.5</v>
      </c>
      <c r="S41" s="379">
        <v>179917.43963588899</v>
      </c>
      <c r="T41" s="379">
        <f t="shared" si="20"/>
        <v>0.66965076521294153</v>
      </c>
      <c r="U41" s="379" t="s">
        <v>1183</v>
      </c>
    </row>
    <row r="42" spans="1:22">
      <c r="A42" s="507">
        <v>31</v>
      </c>
      <c r="B42" s="1347"/>
      <c r="C42" s="507" t="s">
        <v>2187</v>
      </c>
      <c r="D42" s="522" t="s">
        <v>2188</v>
      </c>
      <c r="E42" s="859"/>
      <c r="F42" s="507">
        <f>'SS INPUT'!J36</f>
        <v>590200.00000001164</v>
      </c>
      <c r="G42" s="494">
        <v>-100000</v>
      </c>
      <c r="H42" s="507">
        <f>'11 KV HT'!K69+'11 KV HT'!K70+'11 KV HT'!K71+'11 KV HT'!K72+'11 KV HT'!K73+'11 KV HT'!K74+'11 KV HT'!K75+'11 KV HT'!K76+'11 KV HT'!K77+'11 KV HT'!K78</f>
        <v>348873</v>
      </c>
      <c r="I42" s="507">
        <f t="shared" si="17"/>
        <v>141327.00000001164</v>
      </c>
      <c r="J42" s="860">
        <f t="shared" si="18"/>
        <v>136093.90500001167</v>
      </c>
      <c r="K42" s="862">
        <f>J42*(1+K4)</f>
        <v>136640.38001289908</v>
      </c>
      <c r="L42" s="785">
        <v>263310.391119276</v>
      </c>
      <c r="M42" s="863">
        <f t="shared" si="16"/>
        <v>0.51893272966581427</v>
      </c>
      <c r="O42" s="379">
        <v>246154.400279433</v>
      </c>
      <c r="P42" s="379">
        <f t="shared" si="19"/>
        <v>0.55510029419659268</v>
      </c>
      <c r="S42" s="379">
        <v>230417.59526604999</v>
      </c>
      <c r="T42" s="379">
        <f t="shared" si="20"/>
        <v>0.59301191758002803</v>
      </c>
      <c r="U42" s="379" t="s">
        <v>2188</v>
      </c>
    </row>
    <row r="43" spans="1:22" ht="15" customHeight="1">
      <c r="A43" s="507">
        <v>32</v>
      </c>
      <c r="B43" s="1347" t="s">
        <v>925</v>
      </c>
      <c r="C43" s="507" t="s">
        <v>2189</v>
      </c>
      <c r="D43" s="616" t="s">
        <v>2190</v>
      </c>
      <c r="E43" s="875"/>
      <c r="F43" s="860">
        <f>'SS INPUT'!J83</f>
        <v>771199.98072000197</v>
      </c>
      <c r="G43" s="494">
        <v>-180000</v>
      </c>
      <c r="H43" s="507">
        <f>'11 KV HT'!L94</f>
        <v>53270</v>
      </c>
      <c r="I43" s="860">
        <f t="shared" si="17"/>
        <v>537929.98072000197</v>
      </c>
      <c r="J43" s="860">
        <f t="shared" si="18"/>
        <v>537130.93072000192</v>
      </c>
      <c r="K43" s="862">
        <f>J43*(1+K4)</f>
        <v>539287.74025741231</v>
      </c>
      <c r="L43" s="785">
        <v>538117.501286985</v>
      </c>
      <c r="M43" s="863">
        <f t="shared" si="16"/>
        <v>1.0021746904117197</v>
      </c>
      <c r="O43" s="379">
        <v>268154.24356276199</v>
      </c>
      <c r="P43" s="379">
        <f t="shared" si="19"/>
        <v>2.0111102218346621</v>
      </c>
      <c r="S43" s="379">
        <v>737630.83525755</v>
      </c>
      <c r="T43" s="379">
        <f t="shared" si="20"/>
        <v>0.73110791263100527</v>
      </c>
      <c r="U43" s="379" t="s">
        <v>2190</v>
      </c>
    </row>
    <row r="44" spans="1:22">
      <c r="A44" s="507">
        <v>33</v>
      </c>
      <c r="B44" s="1347"/>
      <c r="C44" s="507" t="s">
        <v>2191</v>
      </c>
      <c r="D44" s="616" t="s">
        <v>2192</v>
      </c>
      <c r="E44" s="859"/>
      <c r="F44" s="860">
        <f>'SS INPUT'!J84</f>
        <v>694522.4571</v>
      </c>
      <c r="G44" s="494"/>
      <c r="H44" s="507"/>
      <c r="I44" s="507">
        <f t="shared" si="17"/>
        <v>694522.4571</v>
      </c>
      <c r="J44" s="860">
        <f t="shared" si="18"/>
        <v>694522.4571</v>
      </c>
      <c r="K44" s="862">
        <f>J44*(1+K4)</f>
        <v>697311.2606742254</v>
      </c>
      <c r="L44" s="785">
        <v>829738.26378924598</v>
      </c>
      <c r="M44" s="863">
        <f t="shared" si="16"/>
        <v>0.84039906450709723</v>
      </c>
      <c r="O44" s="379">
        <v>488179.82590234902</v>
      </c>
      <c r="P44" s="379">
        <f t="shared" si="19"/>
        <v>1.4283901621401887</v>
      </c>
      <c r="R44" s="379">
        <f>306339-15806</f>
        <v>290533</v>
      </c>
      <c r="S44" s="379">
        <v>982482.18480154104</v>
      </c>
      <c r="T44" s="379">
        <f t="shared" si="20"/>
        <v>0.70974443248055485</v>
      </c>
      <c r="U44" s="379" t="s">
        <v>2192</v>
      </c>
    </row>
    <row r="45" spans="1:22">
      <c r="A45" s="507">
        <v>34</v>
      </c>
      <c r="B45" s="1347"/>
      <c r="C45" s="507" t="s">
        <v>2193</v>
      </c>
      <c r="D45" s="616" t="s">
        <v>2194</v>
      </c>
      <c r="E45" s="880"/>
      <c r="F45" s="860">
        <f>'SS INPUT'!J85</f>
        <v>125733.50809999999</v>
      </c>
      <c r="G45" s="494"/>
      <c r="H45" s="507"/>
      <c r="I45" s="860">
        <f t="shared" si="17"/>
        <v>125733.50809999999</v>
      </c>
      <c r="J45" s="860">
        <f t="shared" si="18"/>
        <v>125733.50809999999</v>
      </c>
      <c r="K45" s="862">
        <f>J45*(1+K4)</f>
        <v>126238.38170517226</v>
      </c>
      <c r="L45" s="785">
        <v>49386.602339425997</v>
      </c>
      <c r="M45" s="863">
        <f t="shared" si="16"/>
        <v>2.5561260691220791</v>
      </c>
      <c r="O45" s="379">
        <v>49083.730753526899</v>
      </c>
      <c r="P45" s="379">
        <f t="shared" si="19"/>
        <v>2.571898667179072</v>
      </c>
      <c r="R45" s="379">
        <f>R44-G55</f>
        <v>-131179.01949999999</v>
      </c>
      <c r="S45" s="379">
        <v>114127.508363794</v>
      </c>
      <c r="T45" s="379">
        <f t="shared" si="20"/>
        <v>1.1061170397479767</v>
      </c>
      <c r="U45" s="379" t="s">
        <v>2194</v>
      </c>
    </row>
    <row r="46" spans="1:22">
      <c r="A46" s="507">
        <v>35</v>
      </c>
      <c r="B46" s="1347"/>
      <c r="C46" s="507" t="s">
        <v>2195</v>
      </c>
      <c r="D46" s="616" t="s">
        <v>1437</v>
      </c>
      <c r="E46" s="880"/>
      <c r="F46" s="860">
        <f>'SS INPUT'!J86</f>
        <v>0</v>
      </c>
      <c r="G46" s="494">
        <v>425000</v>
      </c>
      <c r="H46" s="507">
        <f>'11 KV HT'!K95</f>
        <v>19172</v>
      </c>
      <c r="I46" s="860">
        <f t="shared" si="17"/>
        <v>405828</v>
      </c>
      <c r="J46" s="860">
        <f t="shared" si="18"/>
        <v>405540.42</v>
      </c>
      <c r="K46" s="862">
        <f>J46*(1+K4)</f>
        <v>407168.8375712781</v>
      </c>
      <c r="L46" s="785">
        <v>563648.36297943804</v>
      </c>
      <c r="M46" s="863">
        <f t="shared" si="16"/>
        <v>0.72238094584181678</v>
      </c>
      <c r="O46" s="379">
        <v>308934.89853544103</v>
      </c>
      <c r="P46" s="379">
        <f t="shared" si="19"/>
        <v>1.3179761804235519</v>
      </c>
      <c r="R46" s="379">
        <v>381590</v>
      </c>
      <c r="S46" s="379">
        <v>562038.52179475105</v>
      </c>
      <c r="T46" s="379">
        <f t="shared" si="20"/>
        <v>0.72445005419036157</v>
      </c>
      <c r="U46" s="379" t="s">
        <v>1437</v>
      </c>
    </row>
    <row r="47" spans="1:22" ht="13.5" customHeight="1">
      <c r="A47" s="507">
        <v>36</v>
      </c>
      <c r="B47" s="1347" t="s">
        <v>2196</v>
      </c>
      <c r="C47" s="507" t="s">
        <v>2197</v>
      </c>
      <c r="D47" s="766" t="s">
        <v>1447</v>
      </c>
      <c r="E47" s="881"/>
      <c r="F47" s="860">
        <f>'SS INPUT'!J100</f>
        <v>173281.12620000032</v>
      </c>
      <c r="G47" s="491"/>
      <c r="H47" s="530"/>
      <c r="I47" s="860">
        <f t="shared" si="17"/>
        <v>173281.12620000032</v>
      </c>
      <c r="J47" s="860">
        <f t="shared" si="18"/>
        <v>173281.12620000032</v>
      </c>
      <c r="K47" s="862">
        <f>J47*(1+K4)</f>
        <v>173976.92375003229</v>
      </c>
      <c r="L47" s="785">
        <v>89281.072195786095</v>
      </c>
      <c r="M47" s="863">
        <f t="shared" si="16"/>
        <v>1.9486428586847067</v>
      </c>
      <c r="O47" s="379">
        <v>51129.014024125601</v>
      </c>
      <c r="P47" s="379">
        <f t="shared" si="19"/>
        <v>3.4027044540295655</v>
      </c>
      <c r="S47" s="379">
        <v>112320.027744347</v>
      </c>
      <c r="T47" s="379">
        <f t="shared" si="20"/>
        <v>1.5489394655957824</v>
      </c>
      <c r="U47" s="379" t="s">
        <v>1447</v>
      </c>
    </row>
    <row r="48" spans="1:22" ht="13.5" customHeight="1">
      <c r="A48" s="507">
        <v>37</v>
      </c>
      <c r="B48" s="1347"/>
      <c r="C48" s="507"/>
      <c r="D48" s="766" t="s">
        <v>2198</v>
      </c>
      <c r="E48" s="881"/>
      <c r="F48" s="860">
        <f>'SS INPUT'!J101</f>
        <v>0</v>
      </c>
      <c r="G48" s="489"/>
      <c r="H48" s="530"/>
      <c r="I48" s="860">
        <f t="shared" si="17"/>
        <v>0</v>
      </c>
      <c r="J48" s="860">
        <f t="shared" si="18"/>
        <v>0</v>
      </c>
      <c r="K48" s="862">
        <f>J48*(1+K4)</f>
        <v>0</v>
      </c>
      <c r="L48" s="785"/>
      <c r="M48" s="863"/>
      <c r="S48" s="379">
        <v>0</v>
      </c>
      <c r="T48" s="379" t="e">
        <f t="shared" si="20"/>
        <v>#DIV/0!</v>
      </c>
    </row>
    <row r="49" spans="1:22" ht="15" customHeight="1">
      <c r="A49" s="507">
        <v>38</v>
      </c>
      <c r="B49" s="1354" t="s">
        <v>2199</v>
      </c>
      <c r="C49" s="507" t="s">
        <v>2200</v>
      </c>
      <c r="D49" s="511" t="s">
        <v>1451</v>
      </c>
      <c r="E49" s="876"/>
      <c r="F49" s="860">
        <f>'SS INPUT'!J107+'SS INPUT'!J108</f>
        <v>64480</v>
      </c>
      <c r="G49" s="492"/>
      <c r="H49" s="202"/>
      <c r="I49" s="860">
        <f t="shared" si="17"/>
        <v>64480</v>
      </c>
      <c r="J49" s="860">
        <f t="shared" si="18"/>
        <v>64480</v>
      </c>
      <c r="K49" s="862">
        <f>J49*(1+K4)</f>
        <v>64738.914672416657</v>
      </c>
      <c r="L49" s="785">
        <v>12711.235277149301</v>
      </c>
      <c r="M49" s="863">
        <f>K49/L49</f>
        <v>5.0930466835742028</v>
      </c>
      <c r="O49" s="379">
        <v>39149.486038272997</v>
      </c>
      <c r="P49" s="379">
        <f t="shared" ref="P49:P54" si="21">K49/O49</f>
        <v>1.6536338333823115</v>
      </c>
      <c r="S49" s="379">
        <v>43301.723274954798</v>
      </c>
      <c r="T49" s="379">
        <f t="shared" si="20"/>
        <v>1.4950655488083282</v>
      </c>
      <c r="U49" s="379" t="s">
        <v>1451</v>
      </c>
      <c r="V49" s="201">
        <v>470848</v>
      </c>
    </row>
    <row r="50" spans="1:22">
      <c r="A50" s="507">
        <v>39</v>
      </c>
      <c r="B50" s="1354"/>
      <c r="C50" s="507" t="s">
        <v>2201</v>
      </c>
      <c r="D50" s="511" t="s">
        <v>1452</v>
      </c>
      <c r="E50" s="876"/>
      <c r="F50" s="507">
        <v>0</v>
      </c>
      <c r="G50" s="492"/>
      <c r="H50" s="202"/>
      <c r="I50" s="507">
        <f t="shared" si="17"/>
        <v>0</v>
      </c>
      <c r="J50" s="860">
        <f t="shared" si="18"/>
        <v>0</v>
      </c>
      <c r="K50" s="862">
        <f>J50*(1+K4)</f>
        <v>0</v>
      </c>
      <c r="L50" s="785">
        <v>7444.1203347915998</v>
      </c>
      <c r="M50" s="863">
        <f>K50/L50</f>
        <v>0</v>
      </c>
      <c r="O50" s="379">
        <v>0</v>
      </c>
      <c r="P50" s="379" t="e">
        <f t="shared" si="21"/>
        <v>#DIV/0!</v>
      </c>
      <c r="S50" s="379">
        <v>0</v>
      </c>
      <c r="T50" s="379" t="e">
        <f t="shared" si="20"/>
        <v>#DIV/0!</v>
      </c>
      <c r="U50" s="379" t="s">
        <v>1452</v>
      </c>
    </row>
    <row r="51" spans="1:22" ht="14.45" customHeight="1">
      <c r="A51" s="507">
        <v>40</v>
      </c>
      <c r="B51" s="1354" t="s">
        <v>1292</v>
      </c>
      <c r="C51" s="507" t="s">
        <v>2202</v>
      </c>
      <c r="D51" s="511" t="s">
        <v>2203</v>
      </c>
      <c r="E51" s="876"/>
      <c r="F51" s="860">
        <f>'SS INPUT'!J126</f>
        <v>54100.000000000007</v>
      </c>
      <c r="G51" s="492"/>
      <c r="H51" s="289">
        <f>'11 KV HT'!L96</f>
        <v>8290</v>
      </c>
      <c r="I51" s="860">
        <f t="shared" si="17"/>
        <v>45810.000000000007</v>
      </c>
      <c r="J51" s="860">
        <f t="shared" si="18"/>
        <v>45685.650000000009</v>
      </c>
      <c r="K51" s="862">
        <f>J51*(1+K4)</f>
        <v>45869.097349626121</v>
      </c>
      <c r="L51" s="785">
        <v>12071.5464888513</v>
      </c>
      <c r="M51" s="863">
        <f>K51/L51</f>
        <v>3.7997697637157439</v>
      </c>
      <c r="O51" s="379">
        <v>27088.151629981701</v>
      </c>
      <c r="P51" s="379">
        <f t="shared" si="21"/>
        <v>1.6933269562348912</v>
      </c>
      <c r="S51" s="379">
        <v>52491.847919635598</v>
      </c>
      <c r="T51" s="379">
        <f t="shared" si="20"/>
        <v>0.87383277913650836</v>
      </c>
      <c r="U51" s="379" t="s">
        <v>2203</v>
      </c>
      <c r="V51" s="379">
        <f>G55-V49</f>
        <v>-49135.980500000005</v>
      </c>
    </row>
    <row r="52" spans="1:22">
      <c r="A52" s="507">
        <v>41</v>
      </c>
      <c r="B52" s="1354"/>
      <c r="C52" s="507" t="s">
        <v>2204</v>
      </c>
      <c r="D52" s="511" t="s">
        <v>2205</v>
      </c>
      <c r="E52" s="876"/>
      <c r="F52" s="507"/>
      <c r="G52" s="492"/>
      <c r="H52" s="202"/>
      <c r="I52" s="507">
        <f t="shared" si="17"/>
        <v>0</v>
      </c>
      <c r="J52" s="860">
        <f t="shared" si="18"/>
        <v>0</v>
      </c>
      <c r="K52" s="862">
        <f>J52*(1+K4)</f>
        <v>0</v>
      </c>
      <c r="L52" s="785">
        <v>10688.993301239199</v>
      </c>
      <c r="M52" s="863">
        <f>K52/L52</f>
        <v>0</v>
      </c>
      <c r="O52" s="379">
        <v>0</v>
      </c>
      <c r="P52" s="379" t="e">
        <f t="shared" si="21"/>
        <v>#DIV/0!</v>
      </c>
      <c r="S52" s="379">
        <v>0</v>
      </c>
      <c r="T52" s="379" t="e">
        <f t="shared" si="20"/>
        <v>#DIV/0!</v>
      </c>
      <c r="U52" s="379" t="s">
        <v>2205</v>
      </c>
    </row>
    <row r="53" spans="1:22" ht="15" customHeight="1">
      <c r="A53" s="507">
        <v>42</v>
      </c>
      <c r="B53" s="1354" t="s">
        <v>1295</v>
      </c>
      <c r="C53" s="507"/>
      <c r="D53" s="238" t="s">
        <v>3130</v>
      </c>
      <c r="E53" s="876"/>
      <c r="F53" s="860">
        <f>'SS INPUT'!J133</f>
        <v>8840</v>
      </c>
      <c r="G53" s="921">
        <v>13800</v>
      </c>
      <c r="H53" s="202"/>
      <c r="I53" s="507">
        <f t="shared" si="17"/>
        <v>22640</v>
      </c>
      <c r="J53" s="860">
        <f t="shared" si="18"/>
        <v>22640</v>
      </c>
      <c r="K53" s="862">
        <f>J53*(1+K4)</f>
        <v>22730.909246022224</v>
      </c>
      <c r="L53" s="785"/>
      <c r="M53" s="863"/>
      <c r="O53" s="379">
        <v>11023.4154236015</v>
      </c>
      <c r="P53" s="379">
        <f t="shared" si="21"/>
        <v>2.0620568464973741</v>
      </c>
      <c r="R53" s="379">
        <v>314690</v>
      </c>
      <c r="S53" s="379">
        <v>23746.608949633399</v>
      </c>
      <c r="T53" s="379">
        <f t="shared" si="20"/>
        <v>0.95722758959961496</v>
      </c>
      <c r="U53" s="379" t="s">
        <v>1476</v>
      </c>
    </row>
    <row r="54" spans="1:22">
      <c r="A54" s="507">
        <v>43</v>
      </c>
      <c r="B54" s="1354"/>
      <c r="C54" s="507"/>
      <c r="D54" s="238" t="s">
        <v>1474</v>
      </c>
      <c r="E54" s="876"/>
      <c r="F54" s="860">
        <f>'SS INPUT'!J134</f>
        <v>13799.9805</v>
      </c>
      <c r="G54" s="921">
        <v>-13799.9805</v>
      </c>
      <c r="H54" s="202"/>
      <c r="I54" s="507">
        <f t="shared" si="17"/>
        <v>0</v>
      </c>
      <c r="J54" s="860">
        <f t="shared" si="18"/>
        <v>0</v>
      </c>
      <c r="K54" s="862">
        <f>J54*(1+K4)</f>
        <v>0</v>
      </c>
      <c r="L54" s="785"/>
      <c r="M54" s="863"/>
      <c r="O54" s="379">
        <v>1942.90253291677</v>
      </c>
      <c r="P54" s="379">
        <f t="shared" si="21"/>
        <v>0</v>
      </c>
      <c r="R54" s="379">
        <v>15310</v>
      </c>
      <c r="S54" s="379">
        <v>0</v>
      </c>
      <c r="T54" s="379" t="e">
        <f t="shared" si="20"/>
        <v>#DIV/0!</v>
      </c>
      <c r="U54" s="379" t="s">
        <v>1474</v>
      </c>
    </row>
    <row r="55" spans="1:22" ht="18.75">
      <c r="A55" s="864"/>
      <c r="B55" s="864"/>
      <c r="C55" s="864"/>
      <c r="D55" s="879" t="s">
        <v>2206</v>
      </c>
      <c r="E55" s="869"/>
      <c r="F55" s="870">
        <f t="shared" ref="F55:K55" si="22">SUM(F37:F54)</f>
        <v>5145161.0526200207</v>
      </c>
      <c r="G55" s="874">
        <f t="shared" si="22"/>
        <v>421712.01949999999</v>
      </c>
      <c r="H55" s="870">
        <f t="shared" si="22"/>
        <v>678216</v>
      </c>
      <c r="I55" s="870">
        <f t="shared" si="22"/>
        <v>4888657.0721200211</v>
      </c>
      <c r="J55" s="870">
        <f t="shared" si="22"/>
        <v>4878483.8321200209</v>
      </c>
      <c r="K55" s="870">
        <f t="shared" si="22"/>
        <v>4898073.0232379381</v>
      </c>
      <c r="L55" s="785">
        <v>5443256.4909615498</v>
      </c>
      <c r="M55" s="863">
        <f t="shared" ref="M55:M61" si="23">K55/L55</f>
        <v>0.89984240709051999</v>
      </c>
      <c r="O55" s="379">
        <v>3363383.6023845701</v>
      </c>
      <c r="R55" s="379">
        <f>R53-G55</f>
        <v>-107022.01949999999</v>
      </c>
      <c r="S55" s="379">
        <v>6405170.2201173101</v>
      </c>
      <c r="T55" s="379">
        <f t="shared" si="20"/>
        <v>0.76470614439786588</v>
      </c>
      <c r="U55" s="765">
        <f>G39+U56</f>
        <v>278906.98050000001</v>
      </c>
    </row>
    <row r="56" spans="1:22" ht="18.75">
      <c r="A56" s="507"/>
      <c r="B56" s="507"/>
      <c r="C56" s="507"/>
      <c r="D56" s="868" t="s">
        <v>2207</v>
      </c>
      <c r="E56" s="869"/>
      <c r="F56" s="507"/>
      <c r="G56" s="494"/>
      <c r="H56" s="507"/>
      <c r="I56" s="507"/>
      <c r="J56" s="860"/>
      <c r="K56" s="862"/>
      <c r="L56" s="785"/>
      <c r="M56" s="863" t="e">
        <f t="shared" si="23"/>
        <v>#DIV/0!</v>
      </c>
      <c r="T56" s="379" t="e">
        <f t="shared" si="20"/>
        <v>#DIV/0!</v>
      </c>
      <c r="U56" s="379">
        <f>U57-G55</f>
        <v>-444350.01949999999</v>
      </c>
      <c r="V56" s="201">
        <v>384832</v>
      </c>
    </row>
    <row r="57" spans="1:22" ht="15" customHeight="1">
      <c r="A57" s="507">
        <v>44</v>
      </c>
      <c r="B57" s="1347" t="s">
        <v>202</v>
      </c>
      <c r="C57" s="507" t="s">
        <v>2208</v>
      </c>
      <c r="D57" s="511" t="s">
        <v>2209</v>
      </c>
      <c r="E57" s="859"/>
      <c r="F57" s="860">
        <f>'SS INPUT'!J75</f>
        <v>719800.00000000477</v>
      </c>
      <c r="G57" s="494"/>
      <c r="H57" s="507"/>
      <c r="I57" s="507">
        <f t="shared" ref="I57:I62" si="24">F57+G57-H57</f>
        <v>719800.00000000477</v>
      </c>
      <c r="J57" s="860">
        <f t="shared" ref="J57:J62" si="25">(F57+G57)-(H57*1.015)</f>
        <v>719800.00000000477</v>
      </c>
      <c r="K57" s="862">
        <f>J57*(1+K4)</f>
        <v>722690.30367875029</v>
      </c>
      <c r="L57" s="785">
        <v>173335.02650658099</v>
      </c>
      <c r="M57" s="863">
        <f t="shared" si="23"/>
        <v>4.1693264093469997</v>
      </c>
      <c r="O57" s="379">
        <v>553829.479909327</v>
      </c>
      <c r="R57" s="379">
        <v>234338</v>
      </c>
      <c r="S57" s="379">
        <v>1015100.01161775</v>
      </c>
      <c r="T57" s="379">
        <f t="shared" si="20"/>
        <v>0.71194000138667057</v>
      </c>
      <c r="U57" s="379">
        <v>-22638</v>
      </c>
    </row>
    <row r="58" spans="1:22" ht="15.75" customHeight="1">
      <c r="A58" s="507">
        <v>45</v>
      </c>
      <c r="B58" s="1347"/>
      <c r="C58" s="507" t="s">
        <v>2210</v>
      </c>
      <c r="D58" s="522" t="s">
        <v>2211</v>
      </c>
      <c r="E58" s="859"/>
      <c r="F58" s="860">
        <f>'SS INPUT'!J73</f>
        <v>859302.11009999202</v>
      </c>
      <c r="G58" s="494"/>
      <c r="H58" s="507"/>
      <c r="I58" s="507">
        <f t="shared" si="24"/>
        <v>859302.11009999202</v>
      </c>
      <c r="J58" s="860">
        <f t="shared" si="25"/>
        <v>859302.11009999202</v>
      </c>
      <c r="K58" s="862">
        <f>J58*(1+K4)</f>
        <v>862752.57418720482</v>
      </c>
      <c r="L58" s="785">
        <v>1636406.46095535</v>
      </c>
      <c r="M58" s="863">
        <f t="shared" si="23"/>
        <v>0.52722388646859875</v>
      </c>
      <c r="O58" s="379">
        <v>622383.26191289094</v>
      </c>
      <c r="R58" s="765">
        <f>R57-G55</f>
        <v>-187374.01949999999</v>
      </c>
      <c r="S58" s="379">
        <v>1138715.3425454199</v>
      </c>
      <c r="T58" s="379">
        <f t="shared" si="20"/>
        <v>0.75765429862274136</v>
      </c>
    </row>
    <row r="59" spans="1:22">
      <c r="A59" s="507">
        <v>46</v>
      </c>
      <c r="B59" s="1347"/>
      <c r="C59" s="507" t="s">
        <v>2212</v>
      </c>
      <c r="D59" s="511" t="s">
        <v>2213</v>
      </c>
      <c r="E59" s="875"/>
      <c r="F59" s="860">
        <f>'SS INPUT'!J72</f>
        <v>535680.0000000149</v>
      </c>
      <c r="G59" s="494"/>
      <c r="H59" s="507"/>
      <c r="I59" s="507">
        <f t="shared" si="24"/>
        <v>535680.0000000149</v>
      </c>
      <c r="J59" s="860">
        <f t="shared" si="25"/>
        <v>535680.0000000149</v>
      </c>
      <c r="K59" s="862">
        <f>J59*(1+K4)</f>
        <v>537830.98343239946</v>
      </c>
      <c r="L59" s="785">
        <v>700644.93928625004</v>
      </c>
      <c r="M59" s="863">
        <f t="shared" si="23"/>
        <v>0.76762273339230869</v>
      </c>
      <c r="O59" s="379">
        <v>320272.14384712698</v>
      </c>
      <c r="S59" s="379">
        <v>708533.99091714702</v>
      </c>
      <c r="T59" s="379">
        <f t="shared" si="20"/>
        <v>0.75907576817340183</v>
      </c>
    </row>
    <row r="60" spans="1:22">
      <c r="A60" s="507">
        <v>47</v>
      </c>
      <c r="B60" s="1347"/>
      <c r="C60" s="507" t="s">
        <v>2214</v>
      </c>
      <c r="D60" s="511" t="s">
        <v>2215</v>
      </c>
      <c r="E60" s="880"/>
      <c r="F60" s="860">
        <f>'SS INPUT'!J76</f>
        <v>594240</v>
      </c>
      <c r="G60" s="860"/>
      <c r="H60" s="860"/>
      <c r="I60" s="507">
        <f t="shared" si="24"/>
        <v>594240</v>
      </c>
      <c r="J60" s="860">
        <f t="shared" si="25"/>
        <v>594240</v>
      </c>
      <c r="K60" s="862">
        <f>J60*(1+K4)</f>
        <v>596626.12678251974</v>
      </c>
      <c r="L60" s="785">
        <v>371586.96307348501</v>
      </c>
      <c r="M60" s="863">
        <f t="shared" si="23"/>
        <v>1.6056164130401178</v>
      </c>
      <c r="O60" s="379">
        <v>415862.94846662797</v>
      </c>
      <c r="S60" s="379">
        <v>850702.00932689197</v>
      </c>
      <c r="T60" s="379">
        <f t="shared" si="20"/>
        <v>0.7013338633754882</v>
      </c>
    </row>
    <row r="61" spans="1:22">
      <c r="A61" s="507">
        <v>48</v>
      </c>
      <c r="B61" s="507" t="s">
        <v>2216</v>
      </c>
      <c r="C61" s="507" t="s">
        <v>2217</v>
      </c>
      <c r="D61" s="511" t="s">
        <v>1402</v>
      </c>
      <c r="E61" s="881"/>
      <c r="F61" s="860">
        <f>'SS INPUT'!J54</f>
        <v>739464.81800000777</v>
      </c>
      <c r="G61" s="494"/>
      <c r="H61" s="507"/>
      <c r="I61" s="860">
        <f t="shared" si="24"/>
        <v>739464.81800000777</v>
      </c>
      <c r="J61" s="860">
        <f t="shared" si="25"/>
        <v>739464.81800000777</v>
      </c>
      <c r="K61" s="862">
        <f>J61*(1+K4)</f>
        <v>742434.08430143632</v>
      </c>
      <c r="L61" s="785">
        <v>893773.691919912</v>
      </c>
      <c r="M61" s="863">
        <f t="shared" si="23"/>
        <v>0.83067345907957568</v>
      </c>
      <c r="O61" s="379">
        <v>539239.31980610895</v>
      </c>
      <c r="S61" s="379">
        <v>1017036.53303462</v>
      </c>
      <c r="T61" s="379">
        <f t="shared" si="20"/>
        <v>0.72999745848477182</v>
      </c>
      <c r="U61" s="883">
        <v>1164527.6519796201</v>
      </c>
    </row>
    <row r="62" spans="1:22">
      <c r="A62" s="507">
        <v>49</v>
      </c>
      <c r="B62" s="503" t="s">
        <v>202</v>
      </c>
      <c r="C62" s="884" t="s">
        <v>2218</v>
      </c>
      <c r="D62" s="586" t="s">
        <v>1423</v>
      </c>
      <c r="E62" s="885"/>
      <c r="F62" s="860">
        <f>'SS INPUT'!J74</f>
        <v>491820.00000000151</v>
      </c>
      <c r="G62" s="494"/>
      <c r="H62" s="507"/>
      <c r="I62" s="860">
        <f t="shared" si="24"/>
        <v>491820.00000000151</v>
      </c>
      <c r="J62" s="860">
        <f t="shared" si="25"/>
        <v>491820.00000000151</v>
      </c>
      <c r="K62" s="862">
        <f>J62*(1+K4)</f>
        <v>493794.86684534827</v>
      </c>
      <c r="L62" s="785"/>
      <c r="M62" s="863"/>
      <c r="O62" s="379">
        <v>364324.90233031003</v>
      </c>
      <c r="S62" s="379">
        <v>747737.71015420195</v>
      </c>
      <c r="T62" s="379">
        <f t="shared" si="20"/>
        <v>0.66038513256676001</v>
      </c>
    </row>
    <row r="63" spans="1:22" ht="15.75">
      <c r="A63" s="864"/>
      <c r="B63" s="864"/>
      <c r="C63" s="864"/>
      <c r="D63" s="879" t="s">
        <v>2219</v>
      </c>
      <c r="E63" s="869"/>
      <c r="F63" s="886">
        <f>SUM(F57:F62)</f>
        <v>3940306.9281000211</v>
      </c>
      <c r="G63" s="887"/>
      <c r="H63" s="886">
        <f>SUM(H57:H62)</f>
        <v>0</v>
      </c>
      <c r="I63" s="886">
        <f>SUM(I57:I62)</f>
        <v>3940306.9281000211</v>
      </c>
      <c r="J63" s="886">
        <f>SUM(J57:J62)</f>
        <v>3940306.9281000211</v>
      </c>
      <c r="K63" s="886">
        <f>SUM(K57:K62)</f>
        <v>3956128.9392276593</v>
      </c>
      <c r="L63" s="785">
        <v>3775747.0817415798</v>
      </c>
      <c r="M63" s="863">
        <f>K63/L63</f>
        <v>1.0477738189505208</v>
      </c>
      <c r="O63" s="379">
        <v>2815912.0562723898</v>
      </c>
      <c r="P63" s="765"/>
      <c r="S63" s="379">
        <v>5477825.5975960204</v>
      </c>
      <c r="T63" s="379">
        <f t="shared" si="20"/>
        <v>0.72220790325340634</v>
      </c>
      <c r="U63" s="765">
        <f>K61-U61</f>
        <v>-422093.56767818378</v>
      </c>
    </row>
    <row r="64" spans="1:22" ht="18.75">
      <c r="A64" s="864"/>
      <c r="B64" s="864"/>
      <c r="C64" s="864"/>
      <c r="D64" s="879" t="s">
        <v>2220</v>
      </c>
      <c r="E64" s="869"/>
      <c r="F64" s="870">
        <f>SUM(F17+F25+F35+F55+F63)</f>
        <v>22838275.765620027</v>
      </c>
      <c r="G64" s="871">
        <f>SUM(G17+G25+G35+G55+G63)</f>
        <v>-21544.980500000005</v>
      </c>
      <c r="H64" s="870">
        <f>SUM(H17+H25+H35+H55+H63)</f>
        <v>800981</v>
      </c>
      <c r="I64" s="870">
        <f>SUM(I17+I25+I35+I55+I63)</f>
        <v>22015749.785120029</v>
      </c>
      <c r="J64" s="870">
        <f>SUM(J17+J25+J35+J55+J63)</f>
        <v>22003735.070120029</v>
      </c>
      <c r="K64" s="870">
        <f>K17+K25+K35+K55+K63</f>
        <v>22092089.441361081</v>
      </c>
      <c r="L64" s="785">
        <v>26128853.019154102</v>
      </c>
      <c r="M64" s="863">
        <f>K64-J64</f>
        <v>88354.371241051704</v>
      </c>
      <c r="N64" s="765">
        <f>K64-O64</f>
        <v>7354887.9384505805</v>
      </c>
      <c r="O64" s="379">
        <v>14737201.5029105</v>
      </c>
      <c r="R64" s="736" t="e">
        <f>K64/P64</f>
        <v>#DIV/0!</v>
      </c>
      <c r="S64" s="379">
        <v>29975755.298287399</v>
      </c>
      <c r="T64" s="379">
        <f t="shared" si="20"/>
        <v>0.73699859174601901</v>
      </c>
    </row>
    <row r="65" spans="1:22" ht="18.75">
      <c r="A65" s="864"/>
      <c r="B65" s="864"/>
      <c r="C65" s="864"/>
      <c r="D65" s="879"/>
      <c r="E65" s="869"/>
      <c r="F65" s="870"/>
      <c r="G65" s="871"/>
      <c r="H65" s="870"/>
      <c r="I65" s="870"/>
      <c r="J65" s="870"/>
      <c r="K65" s="870"/>
      <c r="M65" s="863" t="e">
        <f t="shared" ref="M65:M78" si="26">K65/L65</f>
        <v>#DIV/0!</v>
      </c>
      <c r="R65" s="736"/>
    </row>
    <row r="66" spans="1:22" ht="23.25" customHeight="1">
      <c r="A66" s="1349" t="s">
        <v>2221</v>
      </c>
      <c r="B66" s="1349"/>
      <c r="C66" s="1349"/>
      <c r="D66" s="1349"/>
      <c r="E66" s="1349"/>
      <c r="F66" s="1349"/>
      <c r="G66" s="1349"/>
      <c r="H66" s="1349"/>
      <c r="I66" s="1349"/>
      <c r="J66" s="1349"/>
      <c r="K66" s="1349"/>
      <c r="M66" s="863" t="e">
        <f t="shared" si="26"/>
        <v>#DIV/0!</v>
      </c>
      <c r="R66" s="736"/>
    </row>
    <row r="67" spans="1:22" ht="33.75" customHeight="1">
      <c r="A67" s="1352" t="s">
        <v>2132</v>
      </c>
      <c r="B67" s="1352"/>
      <c r="C67" s="1352"/>
      <c r="D67" s="1352"/>
      <c r="E67" s="1352"/>
      <c r="F67" s="1352"/>
      <c r="G67" s="1352"/>
      <c r="H67" s="1352"/>
      <c r="I67" s="1352"/>
      <c r="J67" s="888" t="str">
        <f>J2</f>
        <v>OCT.2024</v>
      </c>
      <c r="K67" s="889"/>
      <c r="M67" s="863" t="e">
        <f t="shared" si="26"/>
        <v>#DIV/0!</v>
      </c>
      <c r="R67" s="736"/>
    </row>
    <row r="68" spans="1:22" ht="45">
      <c r="A68" s="851" t="s">
        <v>345</v>
      </c>
      <c r="B68" s="852" t="s">
        <v>2133</v>
      </c>
      <c r="C68" s="852"/>
      <c r="D68" s="853" t="s">
        <v>2134</v>
      </c>
      <c r="E68" s="854"/>
      <c r="F68" s="851" t="s">
        <v>2135</v>
      </c>
      <c r="G68" s="489" t="s">
        <v>2136</v>
      </c>
      <c r="H68" s="851" t="s">
        <v>2137</v>
      </c>
      <c r="I68" s="851" t="s">
        <v>2138</v>
      </c>
      <c r="J68" s="851" t="s">
        <v>2139</v>
      </c>
      <c r="K68" s="851" t="s">
        <v>2140</v>
      </c>
      <c r="M68" s="863" t="e">
        <f t="shared" si="26"/>
        <v>#VALUE!</v>
      </c>
      <c r="O68" s="379" t="s">
        <v>2140</v>
      </c>
      <c r="R68" s="736"/>
      <c r="U68" s="379">
        <f>1400/2540</f>
        <v>0.55118110236220474</v>
      </c>
      <c r="V68" s="765">
        <f>J86*U68</f>
        <v>408094.48818897316</v>
      </c>
    </row>
    <row r="69" spans="1:22" ht="21">
      <c r="A69" s="503"/>
      <c r="B69" s="503"/>
      <c r="C69" s="503"/>
      <c r="D69" s="890" t="s">
        <v>1200</v>
      </c>
      <c r="E69" s="891"/>
      <c r="F69" s="503"/>
      <c r="G69" s="508"/>
      <c r="H69" s="503"/>
      <c r="I69" s="503"/>
      <c r="J69" s="503"/>
      <c r="K69" s="186"/>
      <c r="M69" s="863" t="e">
        <f t="shared" si="26"/>
        <v>#DIV/0!</v>
      </c>
      <c r="R69" s="736"/>
      <c r="S69" s="379">
        <v>5340</v>
      </c>
      <c r="T69" s="379">
        <v>1800</v>
      </c>
      <c r="U69" s="379">
        <f>S69-T69</f>
        <v>3540</v>
      </c>
    </row>
    <row r="70" spans="1:22" ht="26.25" customHeight="1">
      <c r="A70" s="503">
        <v>1</v>
      </c>
      <c r="B70" s="1347" t="s">
        <v>1200</v>
      </c>
      <c r="C70" s="507" t="s">
        <v>2222</v>
      </c>
      <c r="D70" s="439" t="s">
        <v>1175</v>
      </c>
      <c r="E70" s="878"/>
      <c r="F70" s="507">
        <f>'SS INPUT'!J204</f>
        <v>1003979.9999999995</v>
      </c>
      <c r="G70" s="861">
        <v>-258081.04011887099</v>
      </c>
      <c r="H70" s="507"/>
      <c r="I70" s="507">
        <f t="shared" ref="I70:I79" si="27">F70+G70-H70</f>
        <v>745898.95988112851</v>
      </c>
      <c r="J70" s="860">
        <f t="shared" ref="J70:J79" si="28">F70+G70-(H70*1.015)</f>
        <v>745898.95988112851</v>
      </c>
      <c r="K70" s="892">
        <f>J70*(1+K4)</f>
        <v>748894.06200354698</v>
      </c>
      <c r="L70" s="785">
        <v>832616.90102516697</v>
      </c>
      <c r="M70" s="863">
        <f t="shared" si="26"/>
        <v>0.8994461451376552</v>
      </c>
      <c r="O70" s="379">
        <v>437214.42472310399</v>
      </c>
      <c r="P70" s="736">
        <f t="shared" ref="P70:P78" si="29">K70/O70</f>
        <v>1.7128759246171612</v>
      </c>
      <c r="R70" s="736">
        <f t="shared" ref="R70:R99" si="30">K70/S70</f>
        <v>1.0171410690657638</v>
      </c>
      <c r="S70" s="765">
        <v>736273.54629520595</v>
      </c>
      <c r="T70" s="379">
        <f t="shared" ref="T70:T78" si="31">K70/S70</f>
        <v>1.0171410690657638</v>
      </c>
      <c r="U70" s="379">
        <f>1730/6730</f>
        <v>0.25705794947994054</v>
      </c>
      <c r="V70" s="379">
        <v>980800.00000000303</v>
      </c>
    </row>
    <row r="71" spans="1:22">
      <c r="A71" s="503">
        <v>2</v>
      </c>
      <c r="B71" s="1347"/>
      <c r="C71" s="507" t="s">
        <v>2223</v>
      </c>
      <c r="D71" s="439" t="s">
        <v>1199</v>
      </c>
      <c r="E71" s="878"/>
      <c r="F71" s="507">
        <f>'SS INPUT'!J205</f>
        <v>1082899.9999999977</v>
      </c>
      <c r="G71" s="494"/>
      <c r="H71" s="507">
        <f>'11 KV HT'!L107</f>
        <v>18052</v>
      </c>
      <c r="I71" s="507">
        <f t="shared" si="27"/>
        <v>1064847.9999999977</v>
      </c>
      <c r="J71" s="860">
        <f t="shared" si="28"/>
        <v>1064577.2199999976</v>
      </c>
      <c r="K71" s="892">
        <f>J71*(1+K4)</f>
        <v>1068851.9511131882</v>
      </c>
      <c r="L71" s="785">
        <v>1291774.7696618601</v>
      </c>
      <c r="M71" s="863">
        <f t="shared" si="26"/>
        <v>0.82742903501124654</v>
      </c>
      <c r="O71" s="379">
        <v>756663.606186294</v>
      </c>
      <c r="P71" s="736">
        <f t="shared" si="29"/>
        <v>1.4125853845414524</v>
      </c>
      <c r="R71" s="736">
        <f t="shared" si="30"/>
        <v>0.85687384732900951</v>
      </c>
      <c r="S71" s="765">
        <v>1247385.42837425</v>
      </c>
      <c r="T71" s="379">
        <f t="shared" si="31"/>
        <v>0.85687384732900951</v>
      </c>
      <c r="U71" s="379">
        <f>U70*F70</f>
        <v>258081.04011887059</v>
      </c>
    </row>
    <row r="72" spans="1:22">
      <c r="A72" s="503">
        <v>3</v>
      </c>
      <c r="B72" s="1347"/>
      <c r="C72" s="507" t="s">
        <v>2224</v>
      </c>
      <c r="D72" s="439" t="s">
        <v>1552</v>
      </c>
      <c r="E72" s="746"/>
      <c r="F72" s="507">
        <f>'SS INPUT'!J206</f>
        <v>545399.99999999418</v>
      </c>
      <c r="G72" s="494"/>
      <c r="H72" s="186"/>
      <c r="I72" s="507">
        <f t="shared" si="27"/>
        <v>545399.99999999418</v>
      </c>
      <c r="J72" s="860">
        <f t="shared" si="28"/>
        <v>545399.99999999418</v>
      </c>
      <c r="K72" s="892">
        <f>J72*(1+K4)</f>
        <v>547590.01337369205</v>
      </c>
      <c r="L72" s="785">
        <v>705142.48809535499</v>
      </c>
      <c r="M72" s="863">
        <f t="shared" si="26"/>
        <v>0.77656647077497132</v>
      </c>
      <c r="O72" s="379">
        <v>374059.86660052103</v>
      </c>
      <c r="P72" s="736">
        <f t="shared" si="29"/>
        <v>1.4639100910509957</v>
      </c>
      <c r="R72" s="736">
        <f t="shared" si="30"/>
        <v>0.82543096140695149</v>
      </c>
      <c r="S72" s="765">
        <v>663398.926108032</v>
      </c>
      <c r="T72" s="379">
        <f t="shared" si="31"/>
        <v>0.82543096140695149</v>
      </c>
      <c r="V72" s="379">
        <f>K75*U68</f>
        <v>117414.19513814521</v>
      </c>
    </row>
    <row r="73" spans="1:22" ht="15" customHeight="1">
      <c r="A73" s="503">
        <v>4</v>
      </c>
      <c r="B73" s="1347" t="s">
        <v>1302</v>
      </c>
      <c r="C73" s="507" t="s">
        <v>2225</v>
      </c>
      <c r="D73" s="586" t="s">
        <v>1523</v>
      </c>
      <c r="E73" s="878"/>
      <c r="F73" s="507">
        <f>'SS INPUT'!J182</f>
        <v>924000</v>
      </c>
      <c r="G73" s="494"/>
      <c r="H73" s="507"/>
      <c r="I73" s="507">
        <f t="shared" si="27"/>
        <v>924000</v>
      </c>
      <c r="J73" s="860">
        <f t="shared" si="28"/>
        <v>924000</v>
      </c>
      <c r="K73" s="892">
        <f>J73*(1+K4)</f>
        <v>927710.25368041231</v>
      </c>
      <c r="L73" s="785">
        <v>976224.18188039004</v>
      </c>
      <c r="M73" s="863">
        <f t="shared" si="26"/>
        <v>0.95030452113311636</v>
      </c>
      <c r="O73" s="379">
        <v>880237.10543936503</v>
      </c>
      <c r="P73" s="736">
        <f t="shared" si="29"/>
        <v>1.0539322279732246</v>
      </c>
      <c r="R73" s="736">
        <f t="shared" si="30"/>
        <v>0.86155771251868929</v>
      </c>
      <c r="S73" s="765">
        <v>1076782.48386673</v>
      </c>
      <c r="T73" s="379">
        <f t="shared" si="31"/>
        <v>0.86155771251868929</v>
      </c>
    </row>
    <row r="74" spans="1:22">
      <c r="A74" s="503">
        <v>5</v>
      </c>
      <c r="B74" s="1347"/>
      <c r="C74" s="507" t="s">
        <v>2226</v>
      </c>
      <c r="D74" s="586" t="s">
        <v>1530</v>
      </c>
      <c r="E74" s="878"/>
      <c r="F74" s="860">
        <f>'SS INPUT'!J186</f>
        <v>306932.56599999609</v>
      </c>
      <c r="G74" s="494"/>
      <c r="H74" s="507">
        <f>'11 KV HT'!K109</f>
        <v>30635</v>
      </c>
      <c r="I74" s="860">
        <f t="shared" si="27"/>
        <v>276297.56599999609</v>
      </c>
      <c r="J74" s="860">
        <f t="shared" si="28"/>
        <v>275838.04099999607</v>
      </c>
      <c r="K74" s="892">
        <f>J74*(1+K4)</f>
        <v>276945.64825845708</v>
      </c>
      <c r="L74" s="785">
        <v>515480.28831601801</v>
      </c>
      <c r="M74" s="863">
        <f t="shared" si="26"/>
        <v>0.53725749468168615</v>
      </c>
      <c r="O74" s="379">
        <v>217771.09141458501</v>
      </c>
      <c r="P74" s="736">
        <f t="shared" si="29"/>
        <v>1.2717282466625361</v>
      </c>
      <c r="R74" s="736">
        <f t="shared" si="30"/>
        <v>1.0073522477467842</v>
      </c>
      <c r="S74" s="765">
        <v>274924.33642543701</v>
      </c>
      <c r="T74" s="379">
        <f t="shared" si="31"/>
        <v>1.0073522477467842</v>
      </c>
      <c r="V74" s="379">
        <f>V72/31</f>
        <v>3787.554681875652</v>
      </c>
    </row>
    <row r="75" spans="1:22">
      <c r="A75" s="503">
        <v>6</v>
      </c>
      <c r="B75" s="1347"/>
      <c r="C75" s="507" t="s">
        <v>2227</v>
      </c>
      <c r="D75" s="586" t="s">
        <v>1525</v>
      </c>
      <c r="E75" s="878"/>
      <c r="F75" s="507">
        <f>'SS INPUT'!J183</f>
        <v>620599.99999997672</v>
      </c>
      <c r="G75" s="861">
        <v>-408429.05982904503</v>
      </c>
      <c r="H75" s="507"/>
      <c r="I75" s="507">
        <f t="shared" si="27"/>
        <v>212170.94017093169</v>
      </c>
      <c r="J75" s="860">
        <f t="shared" si="28"/>
        <v>212170.94017093169</v>
      </c>
      <c r="K75" s="892">
        <f>J75*(1+K4)</f>
        <v>213022.89689349203</v>
      </c>
      <c r="L75" s="785">
        <v>1033163.7157348</v>
      </c>
      <c r="M75" s="863">
        <f t="shared" si="26"/>
        <v>0.20618503500385441</v>
      </c>
      <c r="O75" s="379">
        <v>879828.07332717802</v>
      </c>
      <c r="P75" s="736">
        <f t="shared" si="29"/>
        <v>0.24211877678319554</v>
      </c>
      <c r="R75" s="736">
        <f t="shared" si="30"/>
        <v>0.19261694178823027</v>
      </c>
      <c r="S75" s="765">
        <v>1105940.60374864</v>
      </c>
      <c r="T75" s="379">
        <f t="shared" si="31"/>
        <v>0.19261694178823027</v>
      </c>
      <c r="U75" s="379">
        <f>1540/2340</f>
        <v>0.65811965811965811</v>
      </c>
      <c r="V75" s="379">
        <f>V74*12</f>
        <v>45450.656182507824</v>
      </c>
    </row>
    <row r="76" spans="1:22">
      <c r="A76" s="503">
        <v>7</v>
      </c>
      <c r="B76" s="1347"/>
      <c r="C76" s="507" t="s">
        <v>2228</v>
      </c>
      <c r="D76" s="586" t="s">
        <v>1528</v>
      </c>
      <c r="E76" s="878"/>
      <c r="F76" s="507">
        <f>'SS INPUT'!J185</f>
        <v>448600.00000000582</v>
      </c>
      <c r="G76" s="494"/>
      <c r="H76" s="507"/>
      <c r="I76" s="507">
        <f t="shared" si="27"/>
        <v>448600.00000000582</v>
      </c>
      <c r="J76" s="860">
        <f t="shared" si="28"/>
        <v>448600.00000000582</v>
      </c>
      <c r="K76" s="892">
        <f>J76*(1+K4)</f>
        <v>450401.3201309939</v>
      </c>
      <c r="L76" s="785">
        <v>615813.43679479696</v>
      </c>
      <c r="M76" s="863">
        <f t="shared" si="26"/>
        <v>0.73139248548270608</v>
      </c>
      <c r="O76" s="379">
        <v>328248.27003488701</v>
      </c>
      <c r="P76" s="736">
        <f t="shared" si="29"/>
        <v>1.3721361580462379</v>
      </c>
      <c r="R76" s="736">
        <f t="shared" si="30"/>
        <v>0.81542751578827499</v>
      </c>
      <c r="S76" s="765">
        <v>552349.91634491296</v>
      </c>
      <c r="T76" s="379">
        <f t="shared" si="31"/>
        <v>0.81542751578827499</v>
      </c>
      <c r="U76" s="379">
        <f>U75*F75</f>
        <v>408429.05982904451</v>
      </c>
    </row>
    <row r="77" spans="1:22">
      <c r="A77" s="503">
        <v>8</v>
      </c>
      <c r="B77" s="1347"/>
      <c r="C77" s="507" t="s">
        <v>2229</v>
      </c>
      <c r="D77" s="586" t="s">
        <v>2230</v>
      </c>
      <c r="E77" s="878"/>
      <c r="F77" s="507">
        <f>'SS INPUT'!J187</f>
        <v>177360</v>
      </c>
      <c r="G77" s="494"/>
      <c r="H77" s="186"/>
      <c r="I77" s="507">
        <f t="shared" si="27"/>
        <v>177360</v>
      </c>
      <c r="J77" s="860">
        <f t="shared" si="28"/>
        <v>177360</v>
      </c>
      <c r="K77" s="892">
        <f>J77*(1+K4)</f>
        <v>178072.17596618825</v>
      </c>
      <c r="L77" s="785">
        <v>257878.323615912</v>
      </c>
      <c r="M77" s="863">
        <f t="shared" si="26"/>
        <v>0.69052789497504152</v>
      </c>
      <c r="O77" s="379">
        <v>184545.06321867899</v>
      </c>
      <c r="P77" s="736">
        <f t="shared" si="29"/>
        <v>0.96492516711313703</v>
      </c>
      <c r="R77" s="736">
        <f t="shared" si="30"/>
        <v>0.50439556465415536</v>
      </c>
      <c r="S77" s="765">
        <v>353040.72526546801</v>
      </c>
      <c r="T77" s="379">
        <f t="shared" si="31"/>
        <v>0.50439556465415536</v>
      </c>
    </row>
    <row r="78" spans="1:22">
      <c r="A78" s="503">
        <v>9</v>
      </c>
      <c r="B78" s="1347"/>
      <c r="C78" s="507" t="s">
        <v>2231</v>
      </c>
      <c r="D78" s="586" t="s">
        <v>1534</v>
      </c>
      <c r="E78" s="878"/>
      <c r="F78" s="507">
        <f>'SS INPUT'!J188</f>
        <v>280739.99999999977</v>
      </c>
      <c r="G78" s="494"/>
      <c r="H78" s="186"/>
      <c r="I78" s="507">
        <f t="shared" si="27"/>
        <v>280739.99999999977</v>
      </c>
      <c r="J78" s="860">
        <f t="shared" si="28"/>
        <v>280739.99999999977</v>
      </c>
      <c r="K78" s="892">
        <f>J78*(1+K4)</f>
        <v>281867.29071237962</v>
      </c>
      <c r="L78" s="785">
        <v>170014.02119349799</v>
      </c>
      <c r="M78" s="863">
        <f t="shared" si="26"/>
        <v>1.6579061464088194</v>
      </c>
      <c r="O78" s="379">
        <v>208729.08685209</v>
      </c>
      <c r="P78" s="736">
        <f t="shared" si="29"/>
        <v>1.350397757031903</v>
      </c>
      <c r="R78" s="736">
        <f t="shared" si="30"/>
        <v>0.80272463369845837</v>
      </c>
      <c r="S78" s="765">
        <v>351138.20964196598</v>
      </c>
      <c r="T78" s="379">
        <f t="shared" si="31"/>
        <v>0.80272463369845837</v>
      </c>
    </row>
    <row r="79" spans="1:22" ht="30">
      <c r="A79" s="503"/>
      <c r="B79" s="507" t="s">
        <v>1195</v>
      </c>
      <c r="C79" s="507" t="s">
        <v>2232</v>
      </c>
      <c r="D79" s="511" t="s">
        <v>1562</v>
      </c>
      <c r="E79" s="878"/>
      <c r="F79" s="860">
        <f>'SS INPUT'!J216</f>
        <v>778460.42839999998</v>
      </c>
      <c r="G79" s="492"/>
      <c r="H79" s="507"/>
      <c r="I79" s="507">
        <f t="shared" si="27"/>
        <v>778460.42839999998</v>
      </c>
      <c r="J79" s="860">
        <f t="shared" si="28"/>
        <v>778460.42839999998</v>
      </c>
      <c r="K79" s="892">
        <f>J79*(1+K4)</f>
        <v>781586.2786916953</v>
      </c>
      <c r="L79" s="785"/>
      <c r="M79" s="863"/>
      <c r="P79" s="736"/>
      <c r="R79" s="736">
        <f t="shared" si="30"/>
        <v>1.1171265244634569</v>
      </c>
      <c r="S79" s="765">
        <v>699639.89</v>
      </c>
    </row>
    <row r="80" spans="1:22" ht="18.75">
      <c r="A80" s="503"/>
      <c r="B80" s="503"/>
      <c r="C80" s="503"/>
      <c r="D80" s="893" t="s">
        <v>2233</v>
      </c>
      <c r="E80" s="891"/>
      <c r="F80" s="870">
        <f t="shared" ref="F80:K80" si="32">SUM(F70:F79)</f>
        <v>6168972.9943999695</v>
      </c>
      <c r="G80" s="870">
        <f t="shared" si="32"/>
        <v>-666510.09994791599</v>
      </c>
      <c r="H80" s="870">
        <f t="shared" si="32"/>
        <v>48687</v>
      </c>
      <c r="I80" s="870">
        <f t="shared" si="32"/>
        <v>5453775.8944520531</v>
      </c>
      <c r="J80" s="870">
        <f t="shared" si="32"/>
        <v>5453045.5894520534</v>
      </c>
      <c r="K80" s="870">
        <f t="shared" si="32"/>
        <v>5474941.8908240451</v>
      </c>
      <c r="L80" s="785">
        <v>8258339.06570323</v>
      </c>
      <c r="M80" s="863">
        <f t="shared" ref="M80:M86" si="33">K80/L80</f>
        <v>0.66295920369283512</v>
      </c>
      <c r="O80" s="765">
        <v>5857340.6241739504</v>
      </c>
      <c r="P80" s="736">
        <f t="shared" ref="P80:P86" si="34">K80/O80</f>
        <v>0.93471461574699966</v>
      </c>
      <c r="R80" s="736">
        <f t="shared" si="30"/>
        <v>0.95425488824068427</v>
      </c>
      <c r="S80" s="765">
        <v>5737399.8899999801</v>
      </c>
      <c r="T80" s="379">
        <f t="shared" ref="T80:T86" si="35">K80/S80</f>
        <v>0.95425488824068427</v>
      </c>
    </row>
    <row r="81" spans="1:21" ht="21">
      <c r="A81" s="503"/>
      <c r="B81" s="503"/>
      <c r="C81" s="503"/>
      <c r="D81" s="890" t="s">
        <v>2234</v>
      </c>
      <c r="E81" s="891"/>
      <c r="F81" s="507"/>
      <c r="G81" s="494"/>
      <c r="H81" s="507"/>
      <c r="I81" s="507"/>
      <c r="J81" s="507"/>
      <c r="K81" s="892"/>
      <c r="L81" s="785"/>
      <c r="M81" s="863" t="e">
        <f t="shared" si="33"/>
        <v>#DIV/0!</v>
      </c>
      <c r="P81" s="736" t="e">
        <f t="shared" si="34"/>
        <v>#DIV/0!</v>
      </c>
      <c r="R81" s="736" t="e">
        <f t="shared" si="30"/>
        <v>#DIV/0!</v>
      </c>
      <c r="T81" s="379" t="e">
        <f t="shared" si="35"/>
        <v>#DIV/0!</v>
      </c>
    </row>
    <row r="82" spans="1:21" ht="15.75" customHeight="1">
      <c r="A82" s="503">
        <v>10</v>
      </c>
      <c r="B82" s="1347" t="s">
        <v>1203</v>
      </c>
      <c r="C82" s="507" t="s">
        <v>2235</v>
      </c>
      <c r="D82" s="586" t="s">
        <v>1203</v>
      </c>
      <c r="E82" s="878"/>
      <c r="F82" s="860">
        <f>'SS INPUT'!J196</f>
        <v>947614.69010001956</v>
      </c>
      <c r="G82" s="494"/>
      <c r="H82" s="507"/>
      <c r="I82" s="860">
        <f t="shared" ref="I82:I90" si="36">F82+G82-H82</f>
        <v>947614.69010001956</v>
      </c>
      <c r="J82" s="860">
        <f t="shared" ref="J82:J90" si="37">F82+G82-(H82*1.015)</f>
        <v>947614.69010001956</v>
      </c>
      <c r="K82" s="892">
        <f>J82*(1+K4)</f>
        <v>951419.76682248316</v>
      </c>
      <c r="L82" s="785">
        <v>986745.61748393101</v>
      </c>
      <c r="M82" s="863">
        <f t="shared" si="33"/>
        <v>0.96419963764164063</v>
      </c>
      <c r="O82" s="379">
        <v>842740.38829873805</v>
      </c>
      <c r="P82" s="736">
        <f t="shared" si="34"/>
        <v>1.1289594993105041</v>
      </c>
      <c r="R82" s="736">
        <f t="shared" si="30"/>
        <v>0.92327782478253395</v>
      </c>
      <c r="S82" s="765">
        <v>1030480.47</v>
      </c>
      <c r="T82" s="379">
        <f t="shared" si="35"/>
        <v>0.92327782478253395</v>
      </c>
      <c r="U82" s="379">
        <f>F83/U69</f>
        <v>71.36440677966101</v>
      </c>
    </row>
    <row r="83" spans="1:21">
      <c r="A83" s="503">
        <v>11</v>
      </c>
      <c r="B83" s="1347"/>
      <c r="C83" s="507" t="s">
        <v>2236</v>
      </c>
      <c r="D83" s="586" t="s">
        <v>1541</v>
      </c>
      <c r="E83" s="878" t="s">
        <v>2237</v>
      </c>
      <c r="F83" s="507">
        <f>'SS INPUT'!J195</f>
        <v>252630</v>
      </c>
      <c r="G83" s="494"/>
      <c r="H83" s="507"/>
      <c r="I83" s="507">
        <f t="shared" si="36"/>
        <v>252630</v>
      </c>
      <c r="J83" s="860">
        <f t="shared" si="37"/>
        <v>252630</v>
      </c>
      <c r="K83" s="892">
        <f>J83*(1+K4)</f>
        <v>253644.41708580364</v>
      </c>
      <c r="L83" s="785">
        <v>1088287.7861909301</v>
      </c>
      <c r="M83" s="863">
        <f t="shared" si="33"/>
        <v>0.23306741130815564</v>
      </c>
      <c r="O83" s="379">
        <v>601614.65641627705</v>
      </c>
      <c r="P83" s="736">
        <f t="shared" si="34"/>
        <v>0.42160611344930182</v>
      </c>
      <c r="R83" s="736">
        <f t="shared" si="30"/>
        <v>0.95019261663970789</v>
      </c>
      <c r="S83" s="765">
        <v>266940</v>
      </c>
      <c r="T83" s="379">
        <f t="shared" si="35"/>
        <v>0.95019261663970789</v>
      </c>
      <c r="U83" s="379">
        <f>U82*T69</f>
        <v>128455.93220338982</v>
      </c>
    </row>
    <row r="84" spans="1:21">
      <c r="A84" s="503">
        <v>12</v>
      </c>
      <c r="B84" s="1347"/>
      <c r="C84" s="507" t="s">
        <v>2238</v>
      </c>
      <c r="D84" s="586" t="s">
        <v>2239</v>
      </c>
      <c r="E84" s="878"/>
      <c r="F84" s="507">
        <f>'SS INPUT'!J194</f>
        <v>828399.99999999418</v>
      </c>
      <c r="G84" s="494"/>
      <c r="H84" s="507"/>
      <c r="I84" s="507">
        <f t="shared" si="36"/>
        <v>828399.99999999418</v>
      </c>
      <c r="J84" s="860">
        <f t="shared" si="37"/>
        <v>828399.99999999418</v>
      </c>
      <c r="K84" s="892">
        <f>J84*(1+K4)</f>
        <v>831726.37894896988</v>
      </c>
      <c r="L84" s="785">
        <v>1024292.7014024</v>
      </c>
      <c r="M84" s="863">
        <f t="shared" si="33"/>
        <v>0.81200068868031583</v>
      </c>
      <c r="O84" s="379">
        <v>598618.49619448697</v>
      </c>
      <c r="P84" s="736">
        <f t="shared" si="34"/>
        <v>1.3894097563579924</v>
      </c>
      <c r="R84" s="736">
        <f t="shared" si="30"/>
        <v>0.93895504509932393</v>
      </c>
      <c r="S84" s="765">
        <v>885799.99999998801</v>
      </c>
      <c r="T84" s="379">
        <f t="shared" si="35"/>
        <v>0.93895504509932393</v>
      </c>
      <c r="U84" s="379">
        <f>G83/31</f>
        <v>0</v>
      </c>
    </row>
    <row r="85" spans="1:21">
      <c r="A85" s="503">
        <v>13</v>
      </c>
      <c r="B85" s="1347"/>
      <c r="C85" s="507" t="s">
        <v>2240</v>
      </c>
      <c r="D85" s="586" t="s">
        <v>1544</v>
      </c>
      <c r="E85" s="878"/>
      <c r="F85" s="507">
        <f>'SS INPUT'!J197</f>
        <v>236859.99999999985</v>
      </c>
      <c r="G85" s="494"/>
      <c r="H85" s="507"/>
      <c r="I85" s="507">
        <f t="shared" si="36"/>
        <v>236859.99999999985</v>
      </c>
      <c r="J85" s="860">
        <f t="shared" si="37"/>
        <v>236859.99999999985</v>
      </c>
      <c r="K85" s="892">
        <f>J85*(1+K4)</f>
        <v>237811.09381682071</v>
      </c>
      <c r="L85" s="785">
        <v>931043.89958287904</v>
      </c>
      <c r="M85" s="863">
        <f t="shared" si="33"/>
        <v>0.25542414694233373</v>
      </c>
      <c r="O85" s="379">
        <v>706807.48986952496</v>
      </c>
      <c r="P85" s="736">
        <f t="shared" si="34"/>
        <v>0.33645808402613292</v>
      </c>
      <c r="R85" s="736">
        <f t="shared" si="30"/>
        <v>0.93259252477184595</v>
      </c>
      <c r="S85" s="765">
        <v>255000</v>
      </c>
      <c r="T85" s="379">
        <f t="shared" si="35"/>
        <v>0.93259252477184595</v>
      </c>
      <c r="U85" s="379">
        <f>U84*18</f>
        <v>0</v>
      </c>
    </row>
    <row r="86" spans="1:21" ht="15" customHeight="1">
      <c r="A86" s="503">
        <v>14</v>
      </c>
      <c r="B86" s="1347" t="s">
        <v>1191</v>
      </c>
      <c r="C86" s="507" t="s">
        <v>2241</v>
      </c>
      <c r="D86" s="586" t="s">
        <v>1579</v>
      </c>
      <c r="E86" s="878"/>
      <c r="F86" s="507">
        <f>'SS INPUT'!J232</f>
        <v>740399.99999999418</v>
      </c>
      <c r="G86" s="494"/>
      <c r="H86" s="507"/>
      <c r="I86" s="507">
        <f t="shared" si="36"/>
        <v>740399.99999999418</v>
      </c>
      <c r="J86" s="894">
        <f t="shared" si="37"/>
        <v>740399.99999999418</v>
      </c>
      <c r="K86" s="892">
        <f>J86*(1+K4)</f>
        <v>743373.02145559725</v>
      </c>
      <c r="L86" s="785">
        <v>849966.95463804505</v>
      </c>
      <c r="M86" s="863">
        <f t="shared" si="33"/>
        <v>0.87459049719428161</v>
      </c>
      <c r="O86" s="379">
        <v>601072.68886762403</v>
      </c>
      <c r="P86" s="736">
        <f t="shared" si="34"/>
        <v>1.2367439666175091</v>
      </c>
      <c r="R86" s="736">
        <f t="shared" si="30"/>
        <v>0.92528382058202174</v>
      </c>
      <c r="S86" s="765">
        <v>803400.00000000105</v>
      </c>
      <c r="T86" s="379">
        <f t="shared" si="35"/>
        <v>0.92528382058202174</v>
      </c>
    </row>
    <row r="87" spans="1:21">
      <c r="A87" s="503">
        <v>15</v>
      </c>
      <c r="B87" s="1347"/>
      <c r="C87" s="884" t="s">
        <v>2242</v>
      </c>
      <c r="D87" s="586" t="s">
        <v>1191</v>
      </c>
      <c r="E87" s="878"/>
      <c r="F87" s="507">
        <f>'SS INPUT'!J234</f>
        <v>840199.99999999709</v>
      </c>
      <c r="G87" s="494"/>
      <c r="H87" s="507">
        <f>'11 KV HT'!K108</f>
        <v>0</v>
      </c>
      <c r="I87" s="507">
        <f t="shared" si="36"/>
        <v>840199.99999999709</v>
      </c>
      <c r="J87" s="894">
        <f t="shared" si="37"/>
        <v>840199.99999999709</v>
      </c>
      <c r="K87" s="892">
        <f>J87*(1+K4)</f>
        <v>843573.76097649324</v>
      </c>
      <c r="L87" s="785"/>
      <c r="M87" s="863"/>
      <c r="P87" s="736"/>
      <c r="R87" s="736">
        <f t="shared" si="30"/>
        <v>0.92294722207493796</v>
      </c>
      <c r="S87" s="765">
        <v>914000</v>
      </c>
    </row>
    <row r="88" spans="1:21">
      <c r="A88" s="503">
        <v>16</v>
      </c>
      <c r="B88" s="1347"/>
      <c r="C88" s="884" t="s">
        <v>2243</v>
      </c>
      <c r="D88" s="586" t="s">
        <v>1190</v>
      </c>
      <c r="E88" s="878"/>
      <c r="F88" s="507">
        <f>'SS INPUT'!J233</f>
        <v>910000</v>
      </c>
      <c r="G88" s="494"/>
      <c r="H88" s="507">
        <f>'11 KV HT'!K102+'11 KV HT'!K103+'11 KV HT'!K104</f>
        <v>223256</v>
      </c>
      <c r="I88" s="507">
        <f t="shared" si="36"/>
        <v>686744</v>
      </c>
      <c r="J88" s="894">
        <f t="shared" si="37"/>
        <v>683395.16</v>
      </c>
      <c r="K88" s="892">
        <f>J88*(1+K4)</f>
        <v>686139.28273546102</v>
      </c>
      <c r="L88" s="785"/>
      <c r="M88" s="863"/>
      <c r="P88" s="736"/>
      <c r="R88" s="736">
        <f t="shared" si="30"/>
        <v>1.2849050238491779</v>
      </c>
      <c r="S88" s="765">
        <v>534000</v>
      </c>
    </row>
    <row r="89" spans="1:21">
      <c r="A89" s="503">
        <v>17</v>
      </c>
      <c r="B89" s="1347"/>
      <c r="C89" s="884" t="s">
        <v>2244</v>
      </c>
      <c r="D89" s="439" t="s">
        <v>1202</v>
      </c>
      <c r="E89" s="895"/>
      <c r="F89" s="860">
        <f>'SS INPUT'!J235</f>
        <v>820220.0000000021</v>
      </c>
      <c r="G89" s="494"/>
      <c r="H89" s="507">
        <f>'11 KV HT'!L110</f>
        <v>13877</v>
      </c>
      <c r="I89" s="860">
        <f t="shared" si="36"/>
        <v>806343.0000000021</v>
      </c>
      <c r="J89" s="894">
        <f t="shared" si="37"/>
        <v>806134.84500000207</v>
      </c>
      <c r="K89" s="892">
        <f>J89*(1+K4)</f>
        <v>809371.81986533746</v>
      </c>
      <c r="L89" s="785"/>
      <c r="M89" s="863"/>
      <c r="P89" s="736"/>
      <c r="R89" s="736">
        <f t="shared" si="30"/>
        <v>0.9517732831739798</v>
      </c>
      <c r="S89" s="765">
        <v>850382.99999999895</v>
      </c>
    </row>
    <row r="90" spans="1:21" ht="30">
      <c r="A90" s="503">
        <v>33</v>
      </c>
      <c r="B90" s="507" t="s">
        <v>1195</v>
      </c>
      <c r="C90" s="507"/>
      <c r="D90" s="586" t="s">
        <v>1564</v>
      </c>
      <c r="E90" s="878"/>
      <c r="F90" s="860">
        <f>'SS INPUT'!J217</f>
        <v>331700.00169999967</v>
      </c>
      <c r="G90" s="861">
        <v>178081.04011887099</v>
      </c>
      <c r="H90" s="507"/>
      <c r="I90" s="860">
        <f t="shared" si="36"/>
        <v>509781.0418188707</v>
      </c>
      <c r="J90" s="860">
        <f t="shared" si="37"/>
        <v>509781.0418188707</v>
      </c>
      <c r="K90" s="892">
        <f>J90*(1+K4)</f>
        <v>511828.02989962057</v>
      </c>
      <c r="L90" s="785"/>
      <c r="M90" s="863"/>
      <c r="P90" s="736"/>
      <c r="R90" s="736">
        <f t="shared" si="30"/>
        <v>0.74828658248063562</v>
      </c>
      <c r="S90" s="765">
        <v>684000.01</v>
      </c>
      <c r="U90" s="379">
        <f>K90/900</f>
        <v>568.69781099957845</v>
      </c>
    </row>
    <row r="91" spans="1:21" ht="18.75">
      <c r="A91" s="896"/>
      <c r="B91" s="896"/>
      <c r="C91" s="896"/>
      <c r="D91" s="893" t="s">
        <v>2245</v>
      </c>
      <c r="E91" s="891"/>
      <c r="F91" s="870">
        <f t="shared" ref="F91:K91" si="38">SUM(F82:F90)</f>
        <v>5908024.6918000067</v>
      </c>
      <c r="G91" s="870">
        <f t="shared" si="38"/>
        <v>178081.04011887099</v>
      </c>
      <c r="H91" s="870">
        <f t="shared" si="38"/>
        <v>237133</v>
      </c>
      <c r="I91" s="870">
        <f t="shared" si="38"/>
        <v>5848972.731918877</v>
      </c>
      <c r="J91" s="870">
        <f t="shared" si="38"/>
        <v>5845415.7369188778</v>
      </c>
      <c r="K91" s="870">
        <f t="shared" si="38"/>
        <v>5868887.5716065867</v>
      </c>
      <c r="L91" s="785">
        <v>6562707.3226548396</v>
      </c>
      <c r="M91" s="863">
        <f t="shared" ref="M91:M99" si="39">K91/L91</f>
        <v>0.89427842551302761</v>
      </c>
      <c r="O91" s="379">
        <v>4394636.0572618302</v>
      </c>
      <c r="P91" s="736">
        <f>K91/O91</f>
        <v>1.3354661216845609</v>
      </c>
      <c r="R91" s="736">
        <f t="shared" si="30"/>
        <v>0.94294413402329846</v>
      </c>
      <c r="S91" s="765">
        <v>6224003.4799999902</v>
      </c>
      <c r="T91" s="379">
        <f t="shared" ref="T91:T99" si="40">K91/S91</f>
        <v>0.94294413402329846</v>
      </c>
    </row>
    <row r="92" spans="1:21" ht="21" customHeight="1">
      <c r="A92" s="503"/>
      <c r="B92" s="503"/>
      <c r="C92" s="503"/>
      <c r="D92" s="893" t="s">
        <v>2160</v>
      </c>
      <c r="E92" s="891"/>
      <c r="F92" s="507"/>
      <c r="G92" s="494"/>
      <c r="H92" s="507"/>
      <c r="I92" s="507"/>
      <c r="J92" s="894"/>
      <c r="K92" s="892"/>
      <c r="L92" s="785"/>
      <c r="M92" s="863" t="e">
        <f t="shared" si="39"/>
        <v>#DIV/0!</v>
      </c>
      <c r="R92" s="736" t="e">
        <f t="shared" si="30"/>
        <v>#DIV/0!</v>
      </c>
      <c r="T92" s="379" t="e">
        <f t="shared" si="40"/>
        <v>#DIV/0!</v>
      </c>
      <c r="U92" s="379">
        <f>U90*200</f>
        <v>113739.56219991569</v>
      </c>
    </row>
    <row r="93" spans="1:21" ht="15" customHeight="1">
      <c r="A93" s="503">
        <v>18</v>
      </c>
      <c r="B93" s="1347" t="s">
        <v>2160</v>
      </c>
      <c r="C93" s="884" t="s">
        <v>2246</v>
      </c>
      <c r="D93" s="586" t="s">
        <v>1503</v>
      </c>
      <c r="E93" s="878"/>
      <c r="F93" s="860">
        <f>'SS INPUT'!J167</f>
        <v>1039462.2499999986</v>
      </c>
      <c r="G93" s="494"/>
      <c r="H93" s="507"/>
      <c r="I93" s="860">
        <f t="shared" ref="I93:I98" si="41">F93+G93-H93</f>
        <v>1039462.2499999986</v>
      </c>
      <c r="J93" s="894">
        <f t="shared" ref="J93:J98" si="42">F93+G93-(H93*1.015)</f>
        <v>1039462.2499999986</v>
      </c>
      <c r="K93" s="892">
        <f>J93*(1+K4)</f>
        <v>1043636.1338081287</v>
      </c>
      <c r="L93" s="785">
        <v>1180670.1168430999</v>
      </c>
      <c r="M93" s="863">
        <f t="shared" si="39"/>
        <v>0.88393541847118517</v>
      </c>
      <c r="O93" s="379">
        <v>1083526.0651992799</v>
      </c>
      <c r="R93" s="736">
        <f t="shared" si="30"/>
        <v>0.87679853658699303</v>
      </c>
      <c r="S93" s="379">
        <v>1190280.42390509</v>
      </c>
      <c r="T93" s="379">
        <f t="shared" si="40"/>
        <v>0.87679853658699303</v>
      </c>
    </row>
    <row r="94" spans="1:21">
      <c r="A94" s="503">
        <v>19</v>
      </c>
      <c r="B94" s="1347"/>
      <c r="C94" s="884" t="s">
        <v>2247</v>
      </c>
      <c r="D94" s="586" t="s">
        <v>1501</v>
      </c>
      <c r="E94" s="885"/>
      <c r="F94" s="507">
        <f>'SS INPUT'!J166</f>
        <v>570200.00000001164</v>
      </c>
      <c r="G94" s="494"/>
      <c r="H94" s="507"/>
      <c r="I94" s="860">
        <f t="shared" si="41"/>
        <v>570200.00000001164</v>
      </c>
      <c r="J94" s="894">
        <f t="shared" si="42"/>
        <v>570200.00000001164</v>
      </c>
      <c r="K94" s="892">
        <f>J94*(1+K4)</f>
        <v>572489.59594002378</v>
      </c>
      <c r="L94" s="785">
        <v>691526.51260842301</v>
      </c>
      <c r="M94" s="863">
        <f t="shared" si="39"/>
        <v>0.82786355331570072</v>
      </c>
      <c r="O94" s="379">
        <v>479181.11943411099</v>
      </c>
      <c r="R94" s="736">
        <f t="shared" si="30"/>
        <v>0.93146466117823146</v>
      </c>
      <c r="S94" s="379">
        <v>614612.25508638006</v>
      </c>
      <c r="T94" s="379">
        <f t="shared" si="40"/>
        <v>0.93146466117823146</v>
      </c>
    </row>
    <row r="95" spans="1:21">
      <c r="A95" s="503">
        <v>20</v>
      </c>
      <c r="B95" s="1347"/>
      <c r="C95" s="884" t="s">
        <v>2248</v>
      </c>
      <c r="D95" s="586" t="s">
        <v>1505</v>
      </c>
      <c r="E95" s="897"/>
      <c r="F95" s="860">
        <f>'SS INPUT'!J169</f>
        <v>954619.99999999825</v>
      </c>
      <c r="G95" s="494"/>
      <c r="H95" s="507"/>
      <c r="I95" s="860">
        <f t="shared" si="41"/>
        <v>954619.99999999825</v>
      </c>
      <c r="J95" s="894">
        <f t="shared" si="42"/>
        <v>954619.99999999825</v>
      </c>
      <c r="K95" s="892">
        <f>J95*(1+K4)</f>
        <v>958453.20602639997</v>
      </c>
      <c r="L95" s="785">
        <v>1193667.18435334</v>
      </c>
      <c r="M95" s="863">
        <f t="shared" si="39"/>
        <v>0.80294844206983429</v>
      </c>
      <c r="O95" s="379">
        <v>1003415.98584926</v>
      </c>
      <c r="R95" s="736">
        <f t="shared" si="30"/>
        <v>0.7711449071470915</v>
      </c>
      <c r="S95" s="379">
        <v>1242896.37024547</v>
      </c>
      <c r="T95" s="379">
        <f t="shared" si="40"/>
        <v>0.7711449071470915</v>
      </c>
    </row>
    <row r="96" spans="1:21">
      <c r="A96" s="503">
        <v>21</v>
      </c>
      <c r="B96" s="1347"/>
      <c r="C96" s="884" t="s">
        <v>2249</v>
      </c>
      <c r="D96" s="586" t="s">
        <v>1507</v>
      </c>
      <c r="E96" s="897"/>
      <c r="F96" s="860">
        <f>'SS INPUT'!J170</f>
        <v>1006580</v>
      </c>
      <c r="G96" s="494"/>
      <c r="H96" s="507"/>
      <c r="I96" s="860">
        <f t="shared" si="41"/>
        <v>1006580</v>
      </c>
      <c r="J96" s="894">
        <f t="shared" si="42"/>
        <v>1006580</v>
      </c>
      <c r="K96" s="892">
        <f>J96*(1+K4)</f>
        <v>1010621.8475645341</v>
      </c>
      <c r="L96" s="785">
        <v>1820208.35941057</v>
      </c>
      <c r="M96" s="863">
        <f t="shared" si="39"/>
        <v>0.55522316571043506</v>
      </c>
      <c r="O96" s="379">
        <v>994561.58079728298</v>
      </c>
      <c r="R96" s="736">
        <f t="shared" si="30"/>
        <v>0.65039061863999992</v>
      </c>
      <c r="S96" s="379">
        <v>1553869.0420808899</v>
      </c>
      <c r="T96" s="379">
        <f t="shared" si="40"/>
        <v>0.65039061863999992</v>
      </c>
    </row>
    <row r="97" spans="1:20">
      <c r="A97" s="503">
        <v>22</v>
      </c>
      <c r="B97" s="1347"/>
      <c r="C97" s="884" t="s">
        <v>2250</v>
      </c>
      <c r="D97" s="586" t="s">
        <v>1509</v>
      </c>
      <c r="E97" s="878"/>
      <c r="F97" s="860">
        <f>'SS INPUT'!J171</f>
        <v>775600.00000000582</v>
      </c>
      <c r="G97" s="494"/>
      <c r="H97" s="507">
        <f>'11 KV HT'!K99+'11 KV HT'!K100+'11 KV HT'!K101</f>
        <v>182954</v>
      </c>
      <c r="I97" s="507">
        <f t="shared" si="41"/>
        <v>592646.00000000582</v>
      </c>
      <c r="J97" s="894">
        <f t="shared" si="42"/>
        <v>589901.69000000588</v>
      </c>
      <c r="K97" s="892">
        <f>J97*(1+K4)</f>
        <v>592270.3966194907</v>
      </c>
      <c r="L97" s="785">
        <v>281235.50320800702</v>
      </c>
      <c r="M97" s="863">
        <f t="shared" si="39"/>
        <v>2.1059588489488701</v>
      </c>
      <c r="O97" s="379">
        <v>466967.79891872598</v>
      </c>
      <c r="R97" s="736">
        <f t="shared" si="30"/>
        <v>1.0926990439660786</v>
      </c>
      <c r="S97" s="379">
        <v>542025.18057467695</v>
      </c>
      <c r="T97" s="379">
        <f t="shared" si="40"/>
        <v>1.0926990439660786</v>
      </c>
    </row>
    <row r="98" spans="1:20">
      <c r="A98" s="503">
        <v>23</v>
      </c>
      <c r="B98" s="1347"/>
      <c r="C98" s="884" t="s">
        <v>2251</v>
      </c>
      <c r="D98" s="586" t="s">
        <v>1511</v>
      </c>
      <c r="E98" s="878"/>
      <c r="F98" s="860">
        <f>'SS INPUT'!J173</f>
        <v>1519199.9999999825</v>
      </c>
      <c r="G98" s="494"/>
      <c r="H98" s="631"/>
      <c r="I98" s="860">
        <f t="shared" si="41"/>
        <v>1519199.9999999825</v>
      </c>
      <c r="J98" s="894">
        <f t="shared" si="42"/>
        <v>1519199.9999999825</v>
      </c>
      <c r="K98" s="892">
        <f>J98*(1+K4)</f>
        <v>1525300.2352719333</v>
      </c>
      <c r="L98" s="785">
        <v>1469493.83929292</v>
      </c>
      <c r="M98" s="863">
        <f t="shared" si="39"/>
        <v>1.0379766110525961</v>
      </c>
      <c r="O98" s="379">
        <v>797746.96844133898</v>
      </c>
      <c r="R98" s="736">
        <f t="shared" si="30"/>
        <v>1.4855355178429901</v>
      </c>
      <c r="S98" s="379">
        <v>1026767.9344932</v>
      </c>
      <c r="T98" s="379">
        <f t="shared" si="40"/>
        <v>1.4855355178429901</v>
      </c>
    </row>
    <row r="99" spans="1:20" ht="18.75">
      <c r="A99" s="896"/>
      <c r="B99" s="896"/>
      <c r="C99" s="896"/>
      <c r="D99" s="893" t="s">
        <v>2252</v>
      </c>
      <c r="E99" s="891"/>
      <c r="F99" s="870">
        <f t="shared" ref="F99:K99" si="43">SUM(F93:F98)</f>
        <v>5865662.2499999963</v>
      </c>
      <c r="G99" s="874">
        <f t="shared" si="43"/>
        <v>0</v>
      </c>
      <c r="H99" s="873">
        <f t="shared" si="43"/>
        <v>182954</v>
      </c>
      <c r="I99" s="870">
        <f t="shared" si="43"/>
        <v>5682708.2499999963</v>
      </c>
      <c r="J99" s="898">
        <f t="shared" si="43"/>
        <v>5679963.9399999967</v>
      </c>
      <c r="K99" s="870">
        <f t="shared" si="43"/>
        <v>5702771.4152305108</v>
      </c>
      <c r="L99" s="785">
        <v>800309.90464256494</v>
      </c>
      <c r="M99" s="863">
        <f t="shared" si="39"/>
        <v>7.1257039081347955</v>
      </c>
      <c r="O99" s="379">
        <v>6667227.81357022</v>
      </c>
      <c r="R99" s="736">
        <f t="shared" si="30"/>
        <v>0.68044929545787114</v>
      </c>
      <c r="S99" s="379">
        <v>8380891.0572728897</v>
      </c>
      <c r="T99" s="379">
        <f t="shared" si="40"/>
        <v>0.68044929545787114</v>
      </c>
    </row>
    <row r="100" spans="1:20" ht="18.75">
      <c r="A100" s="896"/>
      <c r="B100" s="896"/>
      <c r="C100" s="896"/>
      <c r="D100" s="893" t="s">
        <v>1587</v>
      </c>
      <c r="E100" s="891"/>
      <c r="F100" s="870"/>
      <c r="G100" s="874"/>
      <c r="H100" s="873"/>
      <c r="I100" s="870"/>
      <c r="J100" s="898"/>
      <c r="K100" s="870"/>
      <c r="L100" s="785"/>
      <c r="M100" s="863"/>
      <c r="R100" s="736"/>
    </row>
    <row r="101" spans="1:20" ht="15" customHeight="1">
      <c r="A101" s="503">
        <v>24</v>
      </c>
      <c r="B101" s="1347" t="s">
        <v>1525</v>
      </c>
      <c r="C101" s="507" t="s">
        <v>2253</v>
      </c>
      <c r="D101" s="766" t="s">
        <v>1572</v>
      </c>
      <c r="E101" s="746"/>
      <c r="F101" s="507">
        <f>'SS INPUT'!J225</f>
        <v>436003</v>
      </c>
      <c r="G101" s="921">
        <v>408429.05982904503</v>
      </c>
      <c r="H101" s="186"/>
      <c r="I101" s="507">
        <f t="shared" ref="I101:I108" si="44">F101+G101-H101</f>
        <v>844432.05982904509</v>
      </c>
      <c r="J101" s="860">
        <f t="shared" ref="J101:J108" si="45">F101+G101-(H101*1.015)</f>
        <v>844432.05982904509</v>
      </c>
      <c r="K101" s="892">
        <f>J101*(1+K4)</f>
        <v>847822.81432887074</v>
      </c>
      <c r="L101" s="785"/>
      <c r="M101" s="863"/>
      <c r="R101" s="736"/>
    </row>
    <row r="102" spans="1:20">
      <c r="A102" s="503">
        <v>25</v>
      </c>
      <c r="B102" s="1347"/>
      <c r="C102" s="507" t="s">
        <v>2254</v>
      </c>
      <c r="D102" s="586" t="s">
        <v>1568</v>
      </c>
      <c r="E102" s="878"/>
      <c r="F102" s="507">
        <f>'SS INPUT'!J223</f>
        <v>427599.99999999854</v>
      </c>
      <c r="G102" s="492"/>
      <c r="H102" s="507"/>
      <c r="I102" s="507">
        <f t="shared" si="44"/>
        <v>427599.99999999854</v>
      </c>
      <c r="J102" s="860">
        <f t="shared" si="45"/>
        <v>427599.99999999854</v>
      </c>
      <c r="K102" s="892">
        <f>J102*(1+K4)</f>
        <v>429316.99618370453</v>
      </c>
      <c r="L102" s="785"/>
      <c r="M102" s="863"/>
      <c r="R102" s="736"/>
    </row>
    <row r="103" spans="1:20">
      <c r="A103" s="503">
        <v>26</v>
      </c>
      <c r="B103" s="1347"/>
      <c r="C103" s="507" t="s">
        <v>2255</v>
      </c>
      <c r="D103" s="586" t="s">
        <v>1570</v>
      </c>
      <c r="E103" s="878"/>
      <c r="F103" s="860">
        <f>'SS INPUT'!J224</f>
        <v>591599.85209999618</v>
      </c>
      <c r="G103" s="492"/>
      <c r="H103" s="507"/>
      <c r="I103" s="860">
        <f t="shared" si="44"/>
        <v>591599.85209999618</v>
      </c>
      <c r="J103" s="860">
        <f t="shared" si="45"/>
        <v>591599.85209999618</v>
      </c>
      <c r="K103" s="892">
        <f>J103*(1+K4)</f>
        <v>593975.37756383314</v>
      </c>
      <c r="L103" s="785"/>
      <c r="M103" s="863"/>
      <c r="R103" s="736"/>
    </row>
    <row r="104" spans="1:20" ht="15" customHeight="1">
      <c r="A104" s="503">
        <v>27</v>
      </c>
      <c r="B104" s="1347" t="s">
        <v>1587</v>
      </c>
      <c r="C104" s="507"/>
      <c r="D104" s="586" t="s">
        <v>1585</v>
      </c>
      <c r="E104" s="878"/>
      <c r="F104" s="507">
        <f>'SS INPUT'!J241</f>
        <v>711720</v>
      </c>
      <c r="G104" s="492"/>
      <c r="H104" s="507"/>
      <c r="I104" s="507">
        <f t="shared" si="44"/>
        <v>711720</v>
      </c>
      <c r="J104" s="894">
        <f t="shared" si="45"/>
        <v>711720</v>
      </c>
      <c r="K104" s="892">
        <f>J104*(1+K4)</f>
        <v>714577.85903617216</v>
      </c>
      <c r="L104" s="785"/>
      <c r="M104" s="863"/>
      <c r="R104" s="736"/>
    </row>
    <row r="105" spans="1:20">
      <c r="A105" s="503">
        <v>28</v>
      </c>
      <c r="B105" s="1347"/>
      <c r="C105" s="507"/>
      <c r="D105" s="586" t="s">
        <v>1587</v>
      </c>
      <c r="E105" s="878"/>
      <c r="F105" s="860">
        <f>'SS INPUT'!J242</f>
        <v>127320</v>
      </c>
      <c r="G105" s="492"/>
      <c r="H105" s="507"/>
      <c r="I105" s="507">
        <f t="shared" si="44"/>
        <v>127320</v>
      </c>
      <c r="J105" s="894">
        <f t="shared" si="45"/>
        <v>127320</v>
      </c>
      <c r="K105" s="892">
        <f>J105*(1+K4)</f>
        <v>127831.24404609318</v>
      </c>
      <c r="L105" s="785"/>
      <c r="M105" s="863"/>
      <c r="R105" s="736"/>
    </row>
    <row r="106" spans="1:20" ht="30" customHeight="1">
      <c r="A106" s="503">
        <v>29</v>
      </c>
      <c r="B106" s="1351" t="s">
        <v>1195</v>
      </c>
      <c r="C106" s="507" t="s">
        <v>2256</v>
      </c>
      <c r="D106" s="586" t="s">
        <v>1560</v>
      </c>
      <c r="E106" s="878"/>
      <c r="F106" s="507">
        <f>'SS INPUT'!J215</f>
        <v>168000</v>
      </c>
      <c r="G106" s="492">
        <v>80000</v>
      </c>
      <c r="H106" s="507"/>
      <c r="I106" s="507">
        <f t="shared" si="44"/>
        <v>248000</v>
      </c>
      <c r="J106" s="860">
        <f t="shared" si="45"/>
        <v>248000</v>
      </c>
      <c r="K106" s="892">
        <f>J106*(1+K4)</f>
        <v>248995.82566314097</v>
      </c>
      <c r="L106" s="785"/>
      <c r="M106" s="863"/>
      <c r="R106" s="736"/>
    </row>
    <row r="107" spans="1:20">
      <c r="A107" s="503">
        <v>30</v>
      </c>
      <c r="B107" s="1351"/>
      <c r="C107" s="507" t="s">
        <v>2257</v>
      </c>
      <c r="D107" s="586" t="s">
        <v>1557</v>
      </c>
      <c r="E107" s="878"/>
      <c r="F107" s="507">
        <f>'SS INPUT'!J213</f>
        <v>585399.99999999418</v>
      </c>
      <c r="G107" s="492"/>
      <c r="H107" s="507"/>
      <c r="I107" s="507">
        <f t="shared" si="44"/>
        <v>585399.99999999418</v>
      </c>
      <c r="J107" s="860">
        <f t="shared" si="45"/>
        <v>585399.99999999418</v>
      </c>
      <c r="K107" s="892">
        <f>J107*(1+K4)</f>
        <v>587750.63041613414</v>
      </c>
      <c r="L107" s="785"/>
      <c r="M107" s="863"/>
      <c r="R107" s="736"/>
    </row>
    <row r="108" spans="1:20" ht="30">
      <c r="A108" s="503">
        <v>32</v>
      </c>
      <c r="B108" s="507" t="s">
        <v>1195</v>
      </c>
      <c r="C108" s="507" t="s">
        <v>2258</v>
      </c>
      <c r="D108" s="586" t="s">
        <v>1195</v>
      </c>
      <c r="E108" s="878"/>
      <c r="F108" s="860">
        <f>'SS INPUT'!J214</f>
        <v>546933.19660000096</v>
      </c>
      <c r="G108" s="492"/>
      <c r="H108" s="507">
        <f>'11 KV HT'!K105+'11 KV HT'!K106</f>
        <v>10339</v>
      </c>
      <c r="I108" s="860">
        <f t="shared" si="44"/>
        <v>536594.19660000096</v>
      </c>
      <c r="J108" s="860">
        <f t="shared" si="45"/>
        <v>536439.11160000099</v>
      </c>
      <c r="K108" s="892">
        <f>J108*(1+K4)</f>
        <v>538593.14318888739</v>
      </c>
      <c r="L108" s="785"/>
      <c r="M108" s="863"/>
      <c r="R108" s="736"/>
    </row>
    <row r="109" spans="1:20" ht="18.75">
      <c r="A109" s="896"/>
      <c r="B109" s="896"/>
      <c r="C109" s="507"/>
      <c r="D109" s="586"/>
      <c r="E109" s="878"/>
      <c r="F109" s="870">
        <f t="shared" ref="F109:K109" si="46">SUM(F101:F108)</f>
        <v>3594576.0486999894</v>
      </c>
      <c r="G109" s="870">
        <f t="shared" si="46"/>
        <v>488429.05982904503</v>
      </c>
      <c r="H109" s="870">
        <f t="shared" si="46"/>
        <v>10339</v>
      </c>
      <c r="I109" s="870">
        <f t="shared" si="46"/>
        <v>4072666.1085290345</v>
      </c>
      <c r="J109" s="870">
        <f t="shared" si="46"/>
        <v>4072511.0235290346</v>
      </c>
      <c r="K109" s="870">
        <f t="shared" si="46"/>
        <v>4088863.890426836</v>
      </c>
      <c r="L109" s="785"/>
      <c r="M109" s="863"/>
      <c r="R109" s="736"/>
      <c r="S109" s="736"/>
    </row>
    <row r="110" spans="1:20" ht="23.25" customHeight="1">
      <c r="A110" s="896"/>
      <c r="B110" s="896"/>
      <c r="C110" s="896"/>
      <c r="D110" s="899" t="s">
        <v>2259</v>
      </c>
      <c r="E110" s="891"/>
      <c r="F110" s="870">
        <f t="shared" ref="F110:K110" si="47">SUM(F80+F91+F99+F109)</f>
        <v>21537235.98489996</v>
      </c>
      <c r="G110" s="870">
        <f>SUM(G80+G91+G99+G109)</f>
        <v>5.8207660913467407E-11</v>
      </c>
      <c r="H110" s="870">
        <f t="shared" si="47"/>
        <v>479113</v>
      </c>
      <c r="I110" s="870">
        <f t="shared" si="47"/>
        <v>21058122.98489996</v>
      </c>
      <c r="J110" s="870">
        <f t="shared" si="47"/>
        <v>21050936.289899964</v>
      </c>
      <c r="K110" s="870">
        <f t="shared" si="47"/>
        <v>21135464.768087979</v>
      </c>
      <c r="L110" s="785">
        <v>9381366.6390639208</v>
      </c>
      <c r="M110" s="863">
        <f t="shared" ref="M110:M122" si="48">K110/L110</f>
        <v>2.2529195991637407</v>
      </c>
      <c r="O110" s="379">
        <v>16919204.495005999</v>
      </c>
      <c r="P110" s="379">
        <v>27298176.3835552</v>
      </c>
      <c r="R110" s="736">
        <v>32544915.163447998</v>
      </c>
      <c r="S110" s="379">
        <v>23337456.411581598</v>
      </c>
      <c r="T110" s="379">
        <f t="shared" ref="T110:T114" si="49">K110/S110</f>
        <v>0.90564560230304947</v>
      </c>
    </row>
    <row r="111" spans="1:20" ht="33" customHeight="1">
      <c r="A111" s="1349" t="s">
        <v>2260</v>
      </c>
      <c r="B111" s="1349"/>
      <c r="C111" s="1349"/>
      <c r="D111" s="1349"/>
      <c r="E111" s="1349"/>
      <c r="F111" s="1349"/>
      <c r="G111" s="1349"/>
      <c r="H111" s="1349"/>
      <c r="I111" s="1349"/>
      <c r="J111" s="1349"/>
      <c r="K111" s="1349"/>
      <c r="L111" s="785">
        <v>24202413.027422</v>
      </c>
      <c r="M111" s="863">
        <f t="shared" si="48"/>
        <v>0</v>
      </c>
      <c r="R111" s="736" t="e">
        <f t="shared" ref="R111:R112" si="50">K111/S111</f>
        <v>#DIV/0!</v>
      </c>
      <c r="T111" s="379" t="e">
        <f t="shared" si="49"/>
        <v>#DIV/0!</v>
      </c>
    </row>
    <row r="112" spans="1:20" ht="20.25" customHeight="1">
      <c r="A112" s="1352" t="s">
        <v>2132</v>
      </c>
      <c r="B112" s="1352"/>
      <c r="C112" s="1352"/>
      <c r="D112" s="1352"/>
      <c r="E112" s="1352"/>
      <c r="F112" s="1352"/>
      <c r="G112" s="1352"/>
      <c r="H112" s="1352"/>
      <c r="I112" s="1352"/>
      <c r="J112" s="900" t="str">
        <f>J2</f>
        <v>OCT.2024</v>
      </c>
      <c r="K112" s="901"/>
      <c r="L112" s="785"/>
      <c r="M112" s="863" t="e">
        <f t="shared" si="48"/>
        <v>#DIV/0!</v>
      </c>
      <c r="R112" s="736" t="e">
        <f t="shared" si="50"/>
        <v>#DIV/0!</v>
      </c>
      <c r="T112" s="379" t="e">
        <f t="shared" si="49"/>
        <v>#DIV/0!</v>
      </c>
    </row>
    <row r="113" spans="1:22" ht="45">
      <c r="A113" s="851" t="s">
        <v>1546</v>
      </c>
      <c r="B113" s="852" t="s">
        <v>2133</v>
      </c>
      <c r="C113" s="852"/>
      <c r="D113" s="853" t="s">
        <v>2134</v>
      </c>
      <c r="E113" s="854"/>
      <c r="F113" s="851" t="s">
        <v>2135</v>
      </c>
      <c r="G113" s="489" t="s">
        <v>2136</v>
      </c>
      <c r="H113" s="851" t="s">
        <v>2137</v>
      </c>
      <c r="I113" s="851" t="s">
        <v>2138</v>
      </c>
      <c r="J113" s="902" t="s">
        <v>2139</v>
      </c>
      <c r="K113" s="851" t="s">
        <v>2140</v>
      </c>
      <c r="L113" s="785"/>
      <c r="M113" s="863" t="e">
        <f t="shared" si="48"/>
        <v>#VALUE!</v>
      </c>
      <c r="O113" s="379" t="s">
        <v>2135</v>
      </c>
      <c r="R113" s="736" t="s">
        <v>2140</v>
      </c>
      <c r="T113" s="379" t="e">
        <f t="shared" si="49"/>
        <v>#VALUE!</v>
      </c>
    </row>
    <row r="114" spans="1:22" ht="30.75" customHeight="1">
      <c r="A114" s="903"/>
      <c r="B114" s="903"/>
      <c r="C114" s="903"/>
      <c r="D114" s="893" t="s">
        <v>2261</v>
      </c>
      <c r="E114" s="891"/>
      <c r="F114" s="867"/>
      <c r="G114" s="904"/>
      <c r="H114" s="867"/>
      <c r="I114" s="867"/>
      <c r="J114" s="905"/>
      <c r="K114" s="186"/>
      <c r="L114" s="785"/>
      <c r="M114" s="863" t="e">
        <f t="shared" si="48"/>
        <v>#DIV/0!</v>
      </c>
      <c r="R114" s="736"/>
      <c r="T114" s="379" t="e">
        <f t="shared" si="49"/>
        <v>#DIV/0!</v>
      </c>
    </row>
    <row r="115" spans="1:22" ht="15.75" customHeight="1">
      <c r="A115" s="903">
        <v>1</v>
      </c>
      <c r="B115" s="1353" t="s">
        <v>2262</v>
      </c>
      <c r="C115" s="903" t="s">
        <v>2263</v>
      </c>
      <c r="D115" s="586" t="s">
        <v>1950</v>
      </c>
      <c r="E115" s="906"/>
      <c r="F115" s="860">
        <f>'SS INPUT'!J581</f>
        <v>571200.00000001164</v>
      </c>
      <c r="G115" s="907"/>
      <c r="H115" s="867"/>
      <c r="I115" s="507">
        <f t="shared" ref="I115:I123" si="51">F115+G115-H115</f>
        <v>571200.00000001164</v>
      </c>
      <c r="J115" s="894">
        <f t="shared" ref="J115:J123" si="52">F115+G115-(H115*1.015)</f>
        <v>571200.00000001164</v>
      </c>
      <c r="K115" s="892">
        <f>J115*(1+K4)</f>
        <v>573493.61136608478</v>
      </c>
      <c r="L115" s="892">
        <v>963108.09080720297</v>
      </c>
      <c r="M115" s="863">
        <f t="shared" si="48"/>
        <v>0.59546131617005382</v>
      </c>
      <c r="N115" s="379">
        <f t="shared" ref="N115:N122" si="53">K115/O115</f>
        <v>0.86317521277256171</v>
      </c>
      <c r="O115" s="379">
        <v>664399.99999999395</v>
      </c>
      <c r="P115" s="379">
        <v>917758.41100078903</v>
      </c>
      <c r="Q115" s="379">
        <f t="shared" ref="Q115:Q122" si="54">K115/P115</f>
        <v>0.62488515985454884</v>
      </c>
      <c r="R115" s="736">
        <v>705530.62398506422</v>
      </c>
      <c r="S115" s="201">
        <v>844600.00000000605</v>
      </c>
      <c r="T115" s="379">
        <f>K115/R115</f>
        <v>0.81285431400101127</v>
      </c>
      <c r="U115" s="379">
        <f>K115/V115</f>
        <v>0.89421541351549461</v>
      </c>
      <c r="V115" s="379">
        <v>641337.20208586799</v>
      </c>
    </row>
    <row r="116" spans="1:22" ht="15.75" customHeight="1">
      <c r="A116" s="503">
        <v>2</v>
      </c>
      <c r="B116" s="1353"/>
      <c r="C116" s="903" t="s">
        <v>2264</v>
      </c>
      <c r="D116" s="766" t="s">
        <v>1230</v>
      </c>
      <c r="E116" s="878"/>
      <c r="F116" s="860">
        <f>'SS INPUT'!J582</f>
        <v>248000</v>
      </c>
      <c r="G116" s="508"/>
      <c r="H116" s="503">
        <f>'11 KV HT'!K132+'11 KV HT'!K133+'11 KV HT'!K134+'11 KV HT'!K135+'11 KV HT'!K136</f>
        <v>192747</v>
      </c>
      <c r="I116" s="507">
        <f t="shared" si="51"/>
        <v>55253</v>
      </c>
      <c r="J116" s="894">
        <f t="shared" si="52"/>
        <v>52361.795000000013</v>
      </c>
      <c r="K116" s="892">
        <f>J116*(1+K4)</f>
        <v>52572.049916246491</v>
      </c>
      <c r="L116" s="892">
        <v>64278.384178241002</v>
      </c>
      <c r="M116" s="863">
        <f t="shared" si="48"/>
        <v>0.81788070108400068</v>
      </c>
      <c r="N116" s="379">
        <f t="shared" si="53"/>
        <v>0.38262045062770095</v>
      </c>
      <c r="O116" s="379">
        <v>137400.00000000099</v>
      </c>
      <c r="P116" s="379">
        <v>60392.3502095199</v>
      </c>
      <c r="Q116" s="379">
        <f t="shared" si="54"/>
        <v>0.8705084291943872</v>
      </c>
      <c r="R116" s="736">
        <v>80463.645304105885</v>
      </c>
      <c r="S116" s="201">
        <v>288000</v>
      </c>
      <c r="T116" s="386">
        <f t="shared" ref="T116:T180" si="55">K116/R116</f>
        <v>0.65336400951702667</v>
      </c>
      <c r="U116" s="379">
        <f>K116/V116</f>
        <v>0.83871938981765459</v>
      </c>
      <c r="V116" s="379">
        <v>62681.333655200397</v>
      </c>
    </row>
    <row r="117" spans="1:22" ht="15.75" customHeight="1">
      <c r="A117" s="903">
        <v>3</v>
      </c>
      <c r="B117" s="1353"/>
      <c r="C117" s="903" t="s">
        <v>2265</v>
      </c>
      <c r="D117" s="766" t="s">
        <v>1953</v>
      </c>
      <c r="E117" s="878"/>
      <c r="F117" s="860">
        <f>'SS INPUT'!J583</f>
        <v>49879.9999999992</v>
      </c>
      <c r="G117" s="908">
        <v>393192</v>
      </c>
      <c r="H117" s="503"/>
      <c r="I117" s="860">
        <f t="shared" si="51"/>
        <v>443071.99999999919</v>
      </c>
      <c r="J117" s="894">
        <f t="shared" si="52"/>
        <v>443071.99999999919</v>
      </c>
      <c r="K117" s="892">
        <f>J117*(1+K4)</f>
        <v>444851.12285572174</v>
      </c>
      <c r="L117" s="892">
        <v>1152795.3208791299</v>
      </c>
      <c r="M117" s="863">
        <f t="shared" si="48"/>
        <v>0.3858890774439257</v>
      </c>
      <c r="N117" s="379">
        <f t="shared" si="53"/>
        <v>0.66969428063668102</v>
      </c>
      <c r="O117" s="379">
        <v>664260</v>
      </c>
      <c r="P117" s="379">
        <v>1157056.6645700501</v>
      </c>
      <c r="Q117" s="379">
        <f t="shared" si="54"/>
        <v>0.38446787999015042</v>
      </c>
      <c r="R117" s="736">
        <v>481568.04502125242</v>
      </c>
      <c r="S117" s="201">
        <v>583940.00000000105</v>
      </c>
      <c r="T117" s="386">
        <f t="shared" si="55"/>
        <v>0.92375548472301505</v>
      </c>
      <c r="U117" s="379">
        <f>K117/V117</f>
        <v>0.48411004532386481</v>
      </c>
      <c r="V117" s="379">
        <v>918904.96211067203</v>
      </c>
    </row>
    <row r="118" spans="1:22" ht="15.75">
      <c r="A118" s="903">
        <v>4</v>
      </c>
      <c r="B118" s="1353"/>
      <c r="C118" s="903" t="s">
        <v>2266</v>
      </c>
      <c r="D118" s="586" t="s">
        <v>1947</v>
      </c>
      <c r="E118" s="885"/>
      <c r="F118" s="860">
        <f>'SS INPUT'!J579</f>
        <v>1363779.999999986</v>
      </c>
      <c r="G118" s="908"/>
      <c r="H118" s="503"/>
      <c r="I118" s="507">
        <f t="shared" si="51"/>
        <v>1363779.999999986</v>
      </c>
      <c r="J118" s="894">
        <f t="shared" si="52"/>
        <v>1363779.999999986</v>
      </c>
      <c r="K118" s="892">
        <f>J118*(1+K4)</f>
        <v>1369256.1577535279</v>
      </c>
      <c r="L118" s="892">
        <v>1895824.30497305</v>
      </c>
      <c r="M118" s="863">
        <f t="shared" si="48"/>
        <v>0.72224844578780334</v>
      </c>
      <c r="N118" s="379">
        <f t="shared" si="53"/>
        <v>1.3170990359306987</v>
      </c>
      <c r="O118" s="379">
        <v>1039599.99999998</v>
      </c>
      <c r="P118" s="379">
        <v>1691525.86654228</v>
      </c>
      <c r="Q118" s="379">
        <f t="shared" si="54"/>
        <v>0.80947988135261728</v>
      </c>
      <c r="R118" s="736">
        <v>1683258.7977900356</v>
      </c>
      <c r="S118" s="201">
        <v>1878825.2</v>
      </c>
      <c r="T118" s="386">
        <f t="shared" si="55"/>
        <v>0.81345551827873142</v>
      </c>
      <c r="U118" s="379">
        <v>384559.74400202598</v>
      </c>
      <c r="V118" s="379">
        <v>1119959.4135844701</v>
      </c>
    </row>
    <row r="119" spans="1:22" ht="26.25" customHeight="1">
      <c r="A119" s="503">
        <v>5</v>
      </c>
      <c r="B119" s="1353"/>
      <c r="C119" s="903" t="s">
        <v>2267</v>
      </c>
      <c r="D119" s="586" t="s">
        <v>1945</v>
      </c>
      <c r="E119" s="885" t="s">
        <v>2268</v>
      </c>
      <c r="F119" s="860">
        <f>'SS INPUT'!J578</f>
        <v>656400.00000002328</v>
      </c>
      <c r="G119" s="861"/>
      <c r="H119" s="503"/>
      <c r="I119" s="507">
        <f t="shared" si="51"/>
        <v>656400.00000002328</v>
      </c>
      <c r="J119" s="894">
        <f t="shared" si="52"/>
        <v>656400.00000002328</v>
      </c>
      <c r="K119" s="892">
        <f>J119*(1+K4)</f>
        <v>659035.72566649807</v>
      </c>
      <c r="L119" s="892">
        <v>2505548.2301435298</v>
      </c>
      <c r="M119" s="863">
        <f t="shared" si="48"/>
        <v>0.26303054865910336</v>
      </c>
      <c r="N119" s="379">
        <f t="shared" si="53"/>
        <v>0.38213830782006425</v>
      </c>
      <c r="O119" s="379">
        <v>1724600.00000004</v>
      </c>
      <c r="P119" s="379">
        <v>2395505.00498517</v>
      </c>
      <c r="Q119" s="379">
        <f t="shared" si="54"/>
        <v>0.27511348308394706</v>
      </c>
      <c r="R119" s="736">
        <v>823599.8551601728</v>
      </c>
      <c r="S119" s="201">
        <v>643000</v>
      </c>
      <c r="T119" s="386">
        <f t="shared" si="55"/>
        <v>0.80018921996814762</v>
      </c>
      <c r="U119" s="765">
        <f>U118+K118</f>
        <v>1753815.9017555539</v>
      </c>
      <c r="V119" s="379">
        <f>U119/S118</f>
        <v>0.93346411457306089</v>
      </c>
    </row>
    <row r="120" spans="1:22" ht="15.75" customHeight="1">
      <c r="A120" s="903">
        <v>6</v>
      </c>
      <c r="B120" s="1353"/>
      <c r="C120" s="903" t="s">
        <v>2269</v>
      </c>
      <c r="D120" s="586" t="s">
        <v>1961</v>
      </c>
      <c r="E120" s="878"/>
      <c r="F120" s="860">
        <f>'SS INPUT'!J587</f>
        <v>841600.00000003492</v>
      </c>
      <c r="G120" s="508"/>
      <c r="H120" s="503"/>
      <c r="I120" s="507">
        <f t="shared" si="51"/>
        <v>841600.00000003492</v>
      </c>
      <c r="J120" s="894">
        <f t="shared" si="52"/>
        <v>841600.00000003492</v>
      </c>
      <c r="K120" s="892">
        <f>J120*(1+K4)</f>
        <v>844979.38257301669</v>
      </c>
      <c r="L120" s="892">
        <v>832905.09929262998</v>
      </c>
      <c r="M120" s="863">
        <f t="shared" si="48"/>
        <v>1.0144965894561591</v>
      </c>
      <c r="N120" s="379">
        <f t="shared" si="53"/>
        <v>1.8394709651972794</v>
      </c>
      <c r="O120" s="379">
        <v>459359.99999999697</v>
      </c>
      <c r="P120" s="379">
        <v>792181.48137830105</v>
      </c>
      <c r="Q120" s="379">
        <f t="shared" si="54"/>
        <v>1.0666487445564288</v>
      </c>
      <c r="R120" s="736">
        <v>1037278.3765014713</v>
      </c>
      <c r="S120" s="201">
        <v>933600.00000003504</v>
      </c>
      <c r="T120" s="386">
        <f t="shared" si="55"/>
        <v>0.81461197082210479</v>
      </c>
      <c r="U120" s="379">
        <f t="shared" ref="U120:U128" si="56">K120/V120</f>
        <v>1.4119621240835325</v>
      </c>
      <c r="V120" s="379">
        <v>598443.37759518204</v>
      </c>
    </row>
    <row r="121" spans="1:22" ht="15.75" customHeight="1">
      <c r="A121" s="903">
        <v>7</v>
      </c>
      <c r="B121" s="1353"/>
      <c r="C121" s="903" t="s">
        <v>2270</v>
      </c>
      <c r="D121" s="586" t="s">
        <v>1957</v>
      </c>
      <c r="E121" s="878" t="s">
        <v>2271</v>
      </c>
      <c r="F121" s="909">
        <f>'SS INPUT'!J585</f>
        <v>779400.00000000058</v>
      </c>
      <c r="G121" s="908">
        <f>-'SS INPUT'!J698</f>
        <v>-311760.00000000023</v>
      </c>
      <c r="H121" s="503"/>
      <c r="I121" s="860">
        <f t="shared" si="51"/>
        <v>467640.00000000035</v>
      </c>
      <c r="J121" s="894">
        <f t="shared" si="52"/>
        <v>467640.00000000035</v>
      </c>
      <c r="K121" s="892">
        <f>J121*(1+K4)</f>
        <v>469517.77384319087</v>
      </c>
      <c r="L121" s="892">
        <v>631228.79788355296</v>
      </c>
      <c r="M121" s="863">
        <f t="shared" si="48"/>
        <v>0.7438155157328642</v>
      </c>
      <c r="N121" s="379">
        <f t="shared" si="53"/>
        <v>0.78559343747814814</v>
      </c>
      <c r="O121" s="379">
        <v>597660.00000000105</v>
      </c>
      <c r="P121" s="379">
        <v>552147.50759867195</v>
      </c>
      <c r="Q121" s="379">
        <f t="shared" si="54"/>
        <v>0.85034844381559638</v>
      </c>
      <c r="R121" s="736">
        <v>548187.40422017919</v>
      </c>
      <c r="S121" s="201">
        <v>971400.00000000303</v>
      </c>
      <c r="T121" s="386">
        <f t="shared" si="55"/>
        <v>0.85649135720493363</v>
      </c>
      <c r="U121" s="379">
        <f t="shared" si="56"/>
        <v>1.104207792103215</v>
      </c>
      <c r="V121" s="379">
        <v>425207.80708211398</v>
      </c>
    </row>
    <row r="122" spans="1:22" ht="15.75" customHeight="1">
      <c r="A122" s="503">
        <v>8</v>
      </c>
      <c r="B122" s="1353"/>
      <c r="C122" s="903" t="s">
        <v>2272</v>
      </c>
      <c r="D122" s="586" t="s">
        <v>220</v>
      </c>
      <c r="E122" s="878"/>
      <c r="F122" s="860">
        <f>'SS INPUT'!J580</f>
        <v>644200.0000000007</v>
      </c>
      <c r="G122" s="908"/>
      <c r="H122" s="503"/>
      <c r="I122" s="860">
        <f t="shared" si="51"/>
        <v>644200.0000000007</v>
      </c>
      <c r="J122" s="894">
        <f t="shared" si="52"/>
        <v>644200.0000000007</v>
      </c>
      <c r="K122" s="892">
        <f>J122*(1+K4)</f>
        <v>646786.73746853066</v>
      </c>
      <c r="L122" s="892">
        <v>996015.15723957005</v>
      </c>
      <c r="M122" s="863">
        <f t="shared" si="48"/>
        <v>0.64937439231455385</v>
      </c>
      <c r="N122" s="379">
        <f t="shared" si="53"/>
        <v>1.3720550222073375</v>
      </c>
      <c r="O122" s="379">
        <v>471399.999999994</v>
      </c>
      <c r="P122" s="379">
        <v>895686.78965980501</v>
      </c>
      <c r="Q122" s="379">
        <f t="shared" si="54"/>
        <v>0.72211262344752203</v>
      </c>
      <c r="R122" s="736">
        <v>811648.69388937089</v>
      </c>
      <c r="S122" s="201">
        <v>907999.99999999302</v>
      </c>
      <c r="T122" s="386">
        <f t="shared" si="55"/>
        <v>0.79688015558697955</v>
      </c>
      <c r="U122" s="379">
        <f t="shared" si="56"/>
        <v>1.0777247865098745</v>
      </c>
      <c r="V122" s="379">
        <v>600140.91312040598</v>
      </c>
    </row>
    <row r="123" spans="1:22" ht="15.75" customHeight="1">
      <c r="A123" s="903">
        <v>9</v>
      </c>
      <c r="B123" s="1353"/>
      <c r="C123" s="903"/>
      <c r="D123" s="586" t="s">
        <v>1955</v>
      </c>
      <c r="E123" s="878"/>
      <c r="F123" s="860">
        <f>'SS INPUT'!J584</f>
        <v>890720.00000000023</v>
      </c>
      <c r="G123" s="908"/>
      <c r="H123" s="503"/>
      <c r="I123" s="860">
        <f t="shared" si="51"/>
        <v>890720.00000000023</v>
      </c>
      <c r="J123" s="894">
        <f t="shared" si="52"/>
        <v>890720.00000000023</v>
      </c>
      <c r="K123" s="892">
        <f>J123*(1+K4)</f>
        <v>894296.62030110077</v>
      </c>
      <c r="L123" s="892"/>
      <c r="M123" s="863"/>
      <c r="R123" s="736">
        <v>1079004.331893164</v>
      </c>
      <c r="S123" s="201">
        <v>1813080</v>
      </c>
      <c r="T123" s="386">
        <f t="shared" si="55"/>
        <v>0.82881652451942911</v>
      </c>
      <c r="U123" s="379" t="e">
        <f t="shared" si="56"/>
        <v>#DIV/0!</v>
      </c>
    </row>
    <row r="124" spans="1:22" ht="15.75" customHeight="1">
      <c r="A124" s="503">
        <v>10</v>
      </c>
      <c r="B124" s="1353"/>
      <c r="C124" s="903" t="s">
        <v>2273</v>
      </c>
      <c r="D124" s="586" t="s">
        <v>2274</v>
      </c>
      <c r="E124" s="878" t="s">
        <v>2275</v>
      </c>
      <c r="F124" s="860">
        <f>'SS INPUT'!J586</f>
        <v>501719.99999999977</v>
      </c>
      <c r="G124" s="908">
        <v>-393192</v>
      </c>
      <c r="H124" s="186">
        <f>'11 KV HT'!L137</f>
        <v>108528</v>
      </c>
      <c r="I124" s="860">
        <v>0</v>
      </c>
      <c r="J124" s="894">
        <v>0</v>
      </c>
      <c r="K124" s="892">
        <v>0</v>
      </c>
      <c r="L124" s="892">
        <v>0</v>
      </c>
      <c r="M124" s="863" t="e">
        <f t="shared" ref="M124:M134" si="57">K124/L124</f>
        <v>#DIV/0!</v>
      </c>
      <c r="N124" s="379">
        <f t="shared" ref="N124:N134" si="58">K124/O124</f>
        <v>0</v>
      </c>
      <c r="O124" s="379">
        <v>24119.999999999902</v>
      </c>
      <c r="P124" s="379">
        <v>0</v>
      </c>
      <c r="Q124" s="379" t="e">
        <f t="shared" ref="Q124:Q134" si="59">K124/P124</f>
        <v>#DIV/0!</v>
      </c>
      <c r="R124" s="736">
        <v>0</v>
      </c>
      <c r="S124" s="201">
        <v>124460</v>
      </c>
      <c r="T124" s="386" t="e">
        <f t="shared" si="55"/>
        <v>#DIV/0!</v>
      </c>
      <c r="U124" s="379" t="e">
        <f t="shared" si="56"/>
        <v>#DIV/0!</v>
      </c>
      <c r="V124" s="379">
        <v>0</v>
      </c>
    </row>
    <row r="125" spans="1:22" ht="15.75" customHeight="1">
      <c r="A125" s="903">
        <v>11</v>
      </c>
      <c r="B125" s="1347" t="s">
        <v>2276</v>
      </c>
      <c r="C125" s="903" t="s">
        <v>2277</v>
      </c>
      <c r="D125" s="586" t="s">
        <v>2278</v>
      </c>
      <c r="E125" s="878"/>
      <c r="F125" s="860">
        <f>'SS INPUT'!J657</f>
        <v>287600.00000000221</v>
      </c>
      <c r="G125" s="908"/>
      <c r="H125" s="503"/>
      <c r="I125" s="507">
        <f>F125+G125-H125</f>
        <v>287600.00000000221</v>
      </c>
      <c r="J125" s="894">
        <f>F125+G125-(H125*1.015)</f>
        <v>287600.00000000221</v>
      </c>
      <c r="K125" s="892">
        <f>J125*(1+K4)</f>
        <v>288754.8365351609</v>
      </c>
      <c r="L125" s="892">
        <v>335987.43624895299</v>
      </c>
      <c r="M125" s="863">
        <f t="shared" si="57"/>
        <v>0.85942153003960942</v>
      </c>
      <c r="N125" s="379">
        <f t="shared" si="58"/>
        <v>1.3962999832454654</v>
      </c>
      <c r="O125" s="379">
        <v>206799.99999999901</v>
      </c>
      <c r="P125" s="379">
        <v>311945.36919954099</v>
      </c>
      <c r="Q125" s="379">
        <f t="shared" si="59"/>
        <v>0.9256583525381783</v>
      </c>
      <c r="R125" s="736">
        <v>368013.34533801069</v>
      </c>
      <c r="S125" s="201">
        <v>355599.99999999901</v>
      </c>
      <c r="T125" s="386">
        <f t="shared" si="55"/>
        <v>0.78463142761833016</v>
      </c>
      <c r="U125" s="379">
        <f t="shared" si="56"/>
        <v>1.2465053916061049</v>
      </c>
      <c r="V125" s="379">
        <v>231651.49423309299</v>
      </c>
    </row>
    <row r="126" spans="1:22" ht="15.75">
      <c r="A126" s="903">
        <v>12</v>
      </c>
      <c r="B126" s="1347"/>
      <c r="C126" s="903" t="s">
        <v>2279</v>
      </c>
      <c r="D126" s="586" t="s">
        <v>2280</v>
      </c>
      <c r="E126" s="878"/>
      <c r="F126" s="860">
        <f>'SS INPUT'!J656</f>
        <v>685799.99999999558</v>
      </c>
      <c r="G126" s="908"/>
      <c r="H126" s="503">
        <f>'11 KV HT'!L138</f>
        <v>0</v>
      </c>
      <c r="I126" s="507">
        <f>F126+G126-H126</f>
        <v>685799.99999999558</v>
      </c>
      <c r="J126" s="894">
        <f>F126+G126-(H126*1.015)</f>
        <v>685799.99999999558</v>
      </c>
      <c r="K126" s="892">
        <f>J126*(1+K4)</f>
        <v>688553.77919266524</v>
      </c>
      <c r="L126" s="892">
        <v>331585.85411468998</v>
      </c>
      <c r="M126" s="863">
        <f t="shared" si="57"/>
        <v>2.0765475084305196</v>
      </c>
      <c r="N126" s="379">
        <f t="shared" si="58"/>
        <v>3.1071921443712469</v>
      </c>
      <c r="O126" s="379">
        <v>221599.99999999901</v>
      </c>
      <c r="P126" s="379">
        <v>302365.74027028499</v>
      </c>
      <c r="Q126" s="379">
        <f t="shared" si="59"/>
        <v>2.2772215482387868</v>
      </c>
      <c r="R126" s="736">
        <v>856156.46689777786</v>
      </c>
      <c r="S126" s="201">
        <v>924799.99999999895</v>
      </c>
      <c r="T126" s="386">
        <f t="shared" si="55"/>
        <v>0.80423825061742626</v>
      </c>
      <c r="U126" s="379">
        <f t="shared" si="56"/>
        <v>3.1586716008222973</v>
      </c>
      <c r="V126" s="379">
        <v>217988.40342041699</v>
      </c>
    </row>
    <row r="127" spans="1:22" ht="15.75">
      <c r="A127" s="503">
        <v>13</v>
      </c>
      <c r="B127" s="1347"/>
      <c r="C127" s="903" t="s">
        <v>2281</v>
      </c>
      <c r="D127" s="586" t="s">
        <v>2282</v>
      </c>
      <c r="E127" s="878"/>
      <c r="F127" s="860">
        <f>'SS INPUT'!J658</f>
        <v>323359.99999999331</v>
      </c>
      <c r="G127" s="908"/>
      <c r="H127" s="503"/>
      <c r="I127" s="507">
        <f>F127+G127-H127</f>
        <v>323359.99999999331</v>
      </c>
      <c r="J127" s="894">
        <f>F127+G127-(H127*1.015)</f>
        <v>323359.99999999331</v>
      </c>
      <c r="K127" s="892">
        <f>J127*(1+K4)</f>
        <v>324658.42817109515</v>
      </c>
      <c r="L127" s="892">
        <v>438397.58057287103</v>
      </c>
      <c r="M127" s="863">
        <f t="shared" si="57"/>
        <v>0.74055707092829171</v>
      </c>
      <c r="N127" s="379">
        <f t="shared" si="58"/>
        <v>1.136043208660845</v>
      </c>
      <c r="O127" s="379">
        <v>285779.99999999901</v>
      </c>
      <c r="P127" s="379">
        <v>426087.10469506198</v>
      </c>
      <c r="Q127" s="379">
        <f t="shared" si="59"/>
        <v>0.76195318889888408</v>
      </c>
      <c r="R127" s="736">
        <v>415653.14681737847</v>
      </c>
      <c r="S127" s="201">
        <v>447040.00000000099</v>
      </c>
      <c r="T127" s="386">
        <f t="shared" si="55"/>
        <v>0.78108016421138082</v>
      </c>
      <c r="U127" s="379">
        <f t="shared" si="56"/>
        <v>1.0664896214751958</v>
      </c>
      <c r="V127" s="379">
        <v>304417.80363696301</v>
      </c>
    </row>
    <row r="128" spans="1:22" ht="18.75">
      <c r="A128" s="910"/>
      <c r="B128" s="910"/>
      <c r="C128" s="910"/>
      <c r="D128" s="893" t="s">
        <v>2283</v>
      </c>
      <c r="E128" s="891"/>
      <c r="F128" s="911">
        <f t="shared" ref="F128:K128" si="60">SUM(F115:F127)</f>
        <v>7843660.0000000475</v>
      </c>
      <c r="G128" s="912">
        <f t="shared" si="60"/>
        <v>-311760.00000000023</v>
      </c>
      <c r="H128" s="911">
        <f t="shared" si="60"/>
        <v>301275</v>
      </c>
      <c r="I128" s="911">
        <f t="shared" si="60"/>
        <v>7230625.0000000466</v>
      </c>
      <c r="J128" s="913">
        <f t="shared" si="60"/>
        <v>7227733.7950000474</v>
      </c>
      <c r="K128" s="911">
        <f t="shared" si="60"/>
        <v>7256756.2256428385</v>
      </c>
      <c r="L128" s="911">
        <v>10147674.2563334</v>
      </c>
      <c r="M128" s="863">
        <f t="shared" si="57"/>
        <v>0.71511521185396032</v>
      </c>
      <c r="N128" s="379">
        <f t="shared" si="58"/>
        <v>1.1169429836082054</v>
      </c>
      <c r="O128" s="379">
        <v>6496980</v>
      </c>
      <c r="P128" s="379">
        <v>9502652.2901094798</v>
      </c>
      <c r="Q128" s="379">
        <f t="shared" si="59"/>
        <v>0.76365587249738609</v>
      </c>
      <c r="R128" s="736">
        <v>8890362.7328179833</v>
      </c>
      <c r="S128" s="201">
        <v>10716345.199999999</v>
      </c>
      <c r="T128" s="386">
        <f t="shared" si="55"/>
        <v>0.81624973510418963</v>
      </c>
      <c r="U128" s="379">
        <f t="shared" si="56"/>
        <v>1.0478622799252013</v>
      </c>
      <c r="V128" s="379">
        <v>6925295.7804348497</v>
      </c>
    </row>
    <row r="129" spans="1:20" ht="18.75">
      <c r="A129" s="503"/>
      <c r="B129" s="503"/>
      <c r="C129" s="503"/>
      <c r="D129" s="899" t="s">
        <v>2284</v>
      </c>
      <c r="E129" s="891"/>
      <c r="F129" s="503"/>
      <c r="G129" s="508"/>
      <c r="H129" s="503"/>
      <c r="I129" s="507"/>
      <c r="J129" s="914"/>
      <c r="K129" s="892"/>
      <c r="L129" s="785"/>
      <c r="M129" s="863" t="e">
        <f t="shared" si="57"/>
        <v>#DIV/0!</v>
      </c>
      <c r="N129" s="379" t="e">
        <f t="shared" si="58"/>
        <v>#DIV/0!</v>
      </c>
      <c r="Q129" s="379" t="e">
        <f t="shared" si="59"/>
        <v>#DIV/0!</v>
      </c>
      <c r="T129" s="386" t="e">
        <f t="shared" si="55"/>
        <v>#DIV/0!</v>
      </c>
    </row>
    <row r="130" spans="1:20" ht="15.75" customHeight="1">
      <c r="A130" s="903">
        <v>14</v>
      </c>
      <c r="B130" s="1347" t="s">
        <v>2284</v>
      </c>
      <c r="C130" s="507" t="s">
        <v>2285</v>
      </c>
      <c r="D130" s="586" t="s">
        <v>1918</v>
      </c>
      <c r="E130" s="881" t="s">
        <v>2286</v>
      </c>
      <c r="F130" s="860">
        <f>'SS INPUT'!J554</f>
        <v>679600.00000000582</v>
      </c>
      <c r="G130" s="908"/>
      <c r="H130" s="503"/>
      <c r="I130" s="507">
        <f t="shared" ref="I130:I135" si="61">F130+G130-H130</f>
        <v>679600.00000000582</v>
      </c>
      <c r="J130" s="894">
        <f t="shared" ref="J130:J135" si="62">F130+G130-(H130*1.015)</f>
        <v>679600.00000000582</v>
      </c>
      <c r="K130" s="892">
        <f>J130*(1+K4)</f>
        <v>682328.88355109701</v>
      </c>
      <c r="L130" s="785">
        <v>412435.869367418</v>
      </c>
      <c r="M130" s="863">
        <f t="shared" si="57"/>
        <v>1.6543878314891307</v>
      </c>
      <c r="N130" s="379">
        <f t="shared" si="58"/>
        <v>0.79064760550532676</v>
      </c>
      <c r="O130" s="379">
        <v>863000</v>
      </c>
      <c r="P130" s="379">
        <v>657733.86807637895</v>
      </c>
      <c r="Q130" s="379">
        <f t="shared" si="59"/>
        <v>1.0373935670161689</v>
      </c>
      <c r="R130" s="379">
        <v>834726.79841226188</v>
      </c>
      <c r="S130" s="379">
        <v>899792.86952976906</v>
      </c>
      <c r="T130" s="386">
        <f t="shared" si="55"/>
        <v>0.81742779176247637</v>
      </c>
    </row>
    <row r="131" spans="1:20">
      <c r="A131" s="503">
        <v>15</v>
      </c>
      <c r="B131" s="1347"/>
      <c r="C131" s="507" t="s">
        <v>2287</v>
      </c>
      <c r="D131" s="586" t="s">
        <v>1920</v>
      </c>
      <c r="E131" s="878"/>
      <c r="F131" s="860">
        <f>'SS INPUT'!J555</f>
        <v>1425399.9999999651</v>
      </c>
      <c r="G131" s="908"/>
      <c r="H131" s="503"/>
      <c r="I131" s="507">
        <f t="shared" si="61"/>
        <v>1425399.9999999651</v>
      </c>
      <c r="J131" s="894">
        <f t="shared" si="62"/>
        <v>1425399.9999999651</v>
      </c>
      <c r="K131" s="892">
        <f>J131*(1+K4)</f>
        <v>1431123.5883073888</v>
      </c>
      <c r="L131" s="785">
        <v>1077799.76940526</v>
      </c>
      <c r="M131" s="863">
        <f t="shared" si="57"/>
        <v>1.3278195346962232</v>
      </c>
      <c r="N131" s="379">
        <f t="shared" si="58"/>
        <v>0.92425961528506717</v>
      </c>
      <c r="O131" s="379">
        <v>1548399.99999999</v>
      </c>
      <c r="P131" s="379">
        <v>1730624.1405793701</v>
      </c>
      <c r="Q131" s="379">
        <f t="shared" si="59"/>
        <v>0.82694072892585679</v>
      </c>
      <c r="R131" s="379">
        <v>1720967.2229916584</v>
      </c>
      <c r="S131" s="379">
        <v>1671461.2441868</v>
      </c>
      <c r="T131" s="386">
        <f t="shared" si="55"/>
        <v>0.83158096748616905</v>
      </c>
    </row>
    <row r="132" spans="1:20" ht="15.75">
      <c r="A132" s="903">
        <v>16</v>
      </c>
      <c r="B132" s="1347"/>
      <c r="C132" s="507" t="s">
        <v>2288</v>
      </c>
      <c r="D132" s="586" t="s">
        <v>2289</v>
      </c>
      <c r="E132" s="878"/>
      <c r="F132" s="860">
        <f>'SS INPUT'!J558</f>
        <v>517020.00000000047</v>
      </c>
      <c r="G132" s="908"/>
      <c r="H132" s="503"/>
      <c r="I132" s="507">
        <f t="shared" si="61"/>
        <v>517020.00000000047</v>
      </c>
      <c r="J132" s="894">
        <f t="shared" si="62"/>
        <v>517020.00000000047</v>
      </c>
      <c r="K132" s="892">
        <f>J132*(1+K4)</f>
        <v>519096.05558208574</v>
      </c>
      <c r="L132" s="785">
        <v>404480.87485439301</v>
      </c>
      <c r="M132" s="863">
        <f t="shared" si="57"/>
        <v>1.2833636590826512</v>
      </c>
      <c r="N132" s="379">
        <f t="shared" si="58"/>
        <v>0.87038238695856096</v>
      </c>
      <c r="O132" s="379">
        <v>596400</v>
      </c>
      <c r="P132" s="379">
        <v>636292.879088277</v>
      </c>
      <c r="Q132" s="379">
        <f t="shared" si="59"/>
        <v>0.81581308331767177</v>
      </c>
      <c r="R132" s="379">
        <v>633246.70374735037</v>
      </c>
      <c r="S132" s="379">
        <v>645296.72303661401</v>
      </c>
      <c r="T132" s="386">
        <f t="shared" si="55"/>
        <v>0.81973747752691362</v>
      </c>
    </row>
    <row r="133" spans="1:20">
      <c r="A133" s="503">
        <v>17</v>
      </c>
      <c r="B133" s="1347"/>
      <c r="C133" s="507" t="s">
        <v>2290</v>
      </c>
      <c r="D133" s="586" t="s">
        <v>2291</v>
      </c>
      <c r="E133" s="878"/>
      <c r="F133" s="860">
        <f>'SS INPUT'!J557</f>
        <v>1288599.9999999986</v>
      </c>
      <c r="G133" s="508"/>
      <c r="H133" s="503"/>
      <c r="I133" s="507">
        <f t="shared" si="61"/>
        <v>1288599.9999999986</v>
      </c>
      <c r="J133" s="894">
        <f t="shared" si="62"/>
        <v>1288599.9999999986</v>
      </c>
      <c r="K133" s="892">
        <f>J133*(1+K4)</f>
        <v>1293774.2780222706</v>
      </c>
      <c r="L133" s="785">
        <v>1172851.7551249701</v>
      </c>
      <c r="M133" s="863">
        <f t="shared" si="57"/>
        <v>1.1031012848545518</v>
      </c>
      <c r="N133" s="379">
        <f t="shared" si="58"/>
        <v>0.78888675489162841</v>
      </c>
      <c r="O133" s="379">
        <v>1640000</v>
      </c>
      <c r="P133" s="379">
        <v>1818279.9485013699</v>
      </c>
      <c r="Q133" s="379">
        <f t="shared" si="59"/>
        <v>0.71153745004370861</v>
      </c>
      <c r="R133" s="379">
        <v>1503785.7750710007</v>
      </c>
      <c r="S133" s="379">
        <v>2274731.4635306299</v>
      </c>
      <c r="T133" s="386">
        <f t="shared" si="55"/>
        <v>0.86034480407369562</v>
      </c>
    </row>
    <row r="134" spans="1:20" ht="15" customHeight="1">
      <c r="A134" s="903">
        <v>18</v>
      </c>
      <c r="B134" s="1347"/>
      <c r="C134" s="507" t="s">
        <v>2292</v>
      </c>
      <c r="D134" s="586" t="s">
        <v>2293</v>
      </c>
      <c r="E134" s="878"/>
      <c r="F134" s="860">
        <f>'SS INPUT'!J598</f>
        <v>1335099.9861999999</v>
      </c>
      <c r="G134" s="908"/>
      <c r="H134" s="503"/>
      <c r="I134" s="860">
        <f t="shared" si="61"/>
        <v>1335099.9861999999</v>
      </c>
      <c r="J134" s="894">
        <f t="shared" si="62"/>
        <v>1335099.9861999999</v>
      </c>
      <c r="K134" s="892">
        <f>J134*(1+K4)</f>
        <v>1340460.9814786981</v>
      </c>
      <c r="L134" s="785">
        <v>738549.84955764899</v>
      </c>
      <c r="M134" s="863">
        <f t="shared" si="57"/>
        <v>1.8149905281025525</v>
      </c>
      <c r="N134" s="379">
        <f t="shared" si="58"/>
        <v>1.1928356423779971</v>
      </c>
      <c r="O134" s="379">
        <v>1123760</v>
      </c>
      <c r="P134" s="379">
        <v>1512031.1557878801</v>
      </c>
      <c r="Q134" s="379">
        <f t="shared" si="59"/>
        <v>0.8865300006204031</v>
      </c>
      <c r="R134" s="379">
        <v>1597272.792545575</v>
      </c>
      <c r="S134" s="379">
        <v>1664136.8634538499</v>
      </c>
      <c r="T134" s="386">
        <f t="shared" si="55"/>
        <v>0.8392185653788069</v>
      </c>
    </row>
    <row r="135" spans="1:20" ht="15" customHeight="1">
      <c r="A135" s="903"/>
      <c r="B135" s="1347"/>
      <c r="C135" s="507"/>
      <c r="D135" s="586" t="s">
        <v>1931</v>
      </c>
      <c r="E135" s="878"/>
      <c r="F135" s="860">
        <f>'SS INPUT'!J561</f>
        <v>788799</v>
      </c>
      <c r="G135" s="908">
        <v>-135000</v>
      </c>
      <c r="H135" s="503"/>
      <c r="I135" s="860">
        <f t="shared" si="61"/>
        <v>653799</v>
      </c>
      <c r="J135" s="894">
        <f t="shared" si="62"/>
        <v>653799</v>
      </c>
      <c r="K135" s="892">
        <f>J135*(1+K4)</f>
        <v>656424.28154328989</v>
      </c>
      <c r="L135" s="785"/>
      <c r="M135" s="863"/>
      <c r="R135" s="379">
        <v>565495.98838186357</v>
      </c>
      <c r="T135" s="386">
        <f t="shared" si="55"/>
        <v>1.1607938783467107</v>
      </c>
    </row>
    <row r="136" spans="1:20" ht="15" customHeight="1">
      <c r="A136" s="503"/>
      <c r="B136" s="507"/>
      <c r="C136" s="507"/>
      <c r="D136" s="893" t="s">
        <v>2294</v>
      </c>
      <c r="E136" s="897"/>
      <c r="F136" s="870">
        <f t="shared" ref="F136:K136" si="63">SUM(F130:F135)</f>
        <v>6034518.9861999704</v>
      </c>
      <c r="G136" s="871">
        <f t="shared" si="63"/>
        <v>-135000</v>
      </c>
      <c r="H136" s="870">
        <f t="shared" si="63"/>
        <v>0</v>
      </c>
      <c r="I136" s="870">
        <f t="shared" si="63"/>
        <v>5899518.9861999704</v>
      </c>
      <c r="J136" s="870">
        <f t="shared" si="63"/>
        <v>5899518.9861999704</v>
      </c>
      <c r="K136" s="870">
        <f t="shared" si="63"/>
        <v>5923208.0684848297</v>
      </c>
      <c r="L136" s="870">
        <v>3806118.1183096902</v>
      </c>
      <c r="M136" s="863">
        <f t="shared" ref="M136:M145" si="64">K136/L136</f>
        <v>1.5562333811950497</v>
      </c>
      <c r="N136" s="379">
        <f t="shared" ref="N136:N145" si="65">K136/O136</f>
        <v>1.0262750570876555</v>
      </c>
      <c r="O136" s="379">
        <v>5771560</v>
      </c>
      <c r="P136" s="379">
        <v>6354961.9920332804</v>
      </c>
      <c r="Q136" s="379">
        <f t="shared" ref="Q136:Q145" si="66">K136/P136</f>
        <v>0.9320603452719769</v>
      </c>
      <c r="R136" s="379">
        <v>6855495.2811497096</v>
      </c>
      <c r="S136" s="379">
        <v>7155419.1637376696</v>
      </c>
      <c r="T136" s="386">
        <f t="shared" si="55"/>
        <v>0.86400877333715709</v>
      </c>
    </row>
    <row r="137" spans="1:20" ht="15" customHeight="1">
      <c r="A137" s="503"/>
      <c r="B137" s="507"/>
      <c r="C137" s="507"/>
      <c r="D137" s="899" t="s">
        <v>2291</v>
      </c>
      <c r="E137" s="897"/>
      <c r="F137" s="860"/>
      <c r="G137" s="908"/>
      <c r="H137" s="503"/>
      <c r="I137" s="507"/>
      <c r="J137" s="894"/>
      <c r="K137" s="892"/>
      <c r="L137" s="785"/>
      <c r="M137" s="863" t="e">
        <f t="shared" si="64"/>
        <v>#DIV/0!</v>
      </c>
      <c r="N137" s="379" t="e">
        <f t="shared" si="65"/>
        <v>#DIV/0!</v>
      </c>
      <c r="Q137" s="379" t="e">
        <f t="shared" si="66"/>
        <v>#DIV/0!</v>
      </c>
      <c r="T137" s="386" t="e">
        <f t="shared" si="55"/>
        <v>#DIV/0!</v>
      </c>
    </row>
    <row r="138" spans="1:20" ht="15.75" customHeight="1">
      <c r="A138" s="903">
        <v>19</v>
      </c>
      <c r="B138" s="1347" t="s">
        <v>2284</v>
      </c>
      <c r="C138" s="507" t="s">
        <v>2295</v>
      </c>
      <c r="D138" s="586" t="s">
        <v>1927</v>
      </c>
      <c r="E138" s="878"/>
      <c r="F138" s="860">
        <f>'SS INPUT'!J559</f>
        <v>1058630</v>
      </c>
      <c r="G138" s="908"/>
      <c r="H138" s="503"/>
      <c r="I138" s="860">
        <f t="shared" ref="I138:I146" si="67">F138+G138-H138</f>
        <v>1058630</v>
      </c>
      <c r="J138" s="894">
        <f t="shared" ref="J138:J146" si="68">F138+G138-(H138*1.015)</f>
        <v>1058630</v>
      </c>
      <c r="K138" s="892">
        <f>J138*(1+K4)</f>
        <v>1062880.8504910117</v>
      </c>
      <c r="L138" s="785">
        <v>618721.77845937805</v>
      </c>
      <c r="M138" s="863">
        <f t="shared" si="64"/>
        <v>1.7178655859465513</v>
      </c>
      <c r="N138" s="379">
        <f t="shared" si="65"/>
        <v>1.1942481466191144</v>
      </c>
      <c r="O138" s="379">
        <v>890000</v>
      </c>
      <c r="P138" s="379">
        <v>957557.28932268103</v>
      </c>
      <c r="Q138" s="379">
        <f t="shared" si="66"/>
        <v>1.1099919162464216</v>
      </c>
      <c r="R138" s="379">
        <v>1245135.8580858116</v>
      </c>
      <c r="S138" s="379">
        <v>937395.94117152004</v>
      </c>
      <c r="T138" s="386">
        <f t="shared" si="55"/>
        <v>0.85362640838648207</v>
      </c>
    </row>
    <row r="139" spans="1:20" ht="15" customHeight="1">
      <c r="A139" s="503">
        <v>20</v>
      </c>
      <c r="B139" s="1347"/>
      <c r="C139" s="507" t="s">
        <v>2296</v>
      </c>
      <c r="D139" s="586" t="s">
        <v>1929</v>
      </c>
      <c r="E139" s="885" t="s">
        <v>2050</v>
      </c>
      <c r="F139" s="860">
        <f>'SS INPUT'!J560</f>
        <v>858639.99999999651</v>
      </c>
      <c r="G139" s="508"/>
      <c r="H139" s="503"/>
      <c r="I139" s="507">
        <f t="shared" si="67"/>
        <v>858639.99999999651</v>
      </c>
      <c r="J139" s="894">
        <f t="shared" si="68"/>
        <v>858639.99999999651</v>
      </c>
      <c r="K139" s="892">
        <f>J139*(1+K4)</f>
        <v>862087.80543305841</v>
      </c>
      <c r="L139" s="785">
        <v>878109.00970660604</v>
      </c>
      <c r="M139" s="863">
        <f t="shared" si="64"/>
        <v>0.98175487997908073</v>
      </c>
      <c r="N139" s="379">
        <f t="shared" si="65"/>
        <v>0.69121857395209385</v>
      </c>
      <c r="O139" s="379">
        <v>1247200.00000001</v>
      </c>
      <c r="P139" s="379">
        <v>1723056.7327012001</v>
      </c>
      <c r="Q139" s="379">
        <f t="shared" si="66"/>
        <v>0.50032467827195759</v>
      </c>
      <c r="R139" s="379">
        <v>949313.70845842536</v>
      </c>
      <c r="S139" s="379">
        <v>1361060.24273948</v>
      </c>
      <c r="T139" s="386">
        <f t="shared" si="55"/>
        <v>0.90811688249292044</v>
      </c>
    </row>
    <row r="140" spans="1:20" ht="12.75" customHeight="1">
      <c r="A140" s="903">
        <v>21</v>
      </c>
      <c r="B140" s="1347" t="s">
        <v>2297</v>
      </c>
      <c r="C140" s="507" t="s">
        <v>2298</v>
      </c>
      <c r="D140" s="766" t="s">
        <v>1978</v>
      </c>
      <c r="E140" s="878"/>
      <c r="F140" s="860">
        <f>'SS INPUT'!J605</f>
        <v>580599.99999999127</v>
      </c>
      <c r="G140" s="908"/>
      <c r="H140" s="503"/>
      <c r="I140" s="507">
        <f t="shared" si="67"/>
        <v>580599.99999999127</v>
      </c>
      <c r="J140" s="894">
        <f t="shared" si="68"/>
        <v>580599.99999999127</v>
      </c>
      <c r="K140" s="892">
        <f>J140*(1+K4)</f>
        <v>582931.35637103824</v>
      </c>
      <c r="L140" s="785">
        <v>289847.36417957599</v>
      </c>
      <c r="M140" s="863">
        <f t="shared" si="64"/>
        <v>2.0111666636025745</v>
      </c>
      <c r="N140" s="379">
        <f t="shared" si="65"/>
        <v>1.3754869192332093</v>
      </c>
      <c r="O140" s="379">
        <v>423800.00000000303</v>
      </c>
      <c r="P140" s="379">
        <v>810553.46606026101</v>
      </c>
      <c r="Q140" s="379">
        <f t="shared" si="66"/>
        <v>0.71917693376157854</v>
      </c>
      <c r="R140" s="379">
        <v>674622.44828479842</v>
      </c>
      <c r="S140" s="379">
        <v>597348.26348707499</v>
      </c>
      <c r="T140" s="386">
        <f t="shared" si="55"/>
        <v>0.86408532335844845</v>
      </c>
    </row>
    <row r="141" spans="1:20">
      <c r="A141" s="503">
        <v>22</v>
      </c>
      <c r="B141" s="1347"/>
      <c r="C141" s="507" t="s">
        <v>2299</v>
      </c>
      <c r="D141" s="766" t="s">
        <v>1980</v>
      </c>
      <c r="E141" s="878"/>
      <c r="F141" s="860">
        <f>'SS INPUT'!J606</f>
        <v>688439.99999999872</v>
      </c>
      <c r="G141" s="908"/>
      <c r="H141" s="503">
        <f>'11 KV HT'!K114+'11 KV HT'!K115+'11 KV HT'!K116+'11 KV HT'!K119+'11 KV HT'!K117+'11 KV HT'!K118</f>
        <v>249216</v>
      </c>
      <c r="I141" s="507">
        <f t="shared" si="67"/>
        <v>439223.99999999872</v>
      </c>
      <c r="J141" s="894">
        <f t="shared" si="68"/>
        <v>435485.75999999873</v>
      </c>
      <c r="K141" s="892">
        <f>J141*(1+K4)</f>
        <v>437234.42086991988</v>
      </c>
      <c r="L141" s="785">
        <v>308446.64618721401</v>
      </c>
      <c r="M141" s="863">
        <f t="shared" si="64"/>
        <v>1.4175366348594927</v>
      </c>
      <c r="N141" s="379">
        <f t="shared" si="65"/>
        <v>0.56081578788917952</v>
      </c>
      <c r="O141" s="379">
        <v>779640</v>
      </c>
      <c r="P141" s="379">
        <v>453449.98448365298</v>
      </c>
      <c r="Q141" s="379">
        <f t="shared" si="66"/>
        <v>0.96423957620773126</v>
      </c>
      <c r="R141" s="379">
        <v>411085.9899323</v>
      </c>
      <c r="S141" s="379">
        <v>510062.214556419</v>
      </c>
      <c r="T141" s="386">
        <f t="shared" si="55"/>
        <v>1.063608178283882</v>
      </c>
    </row>
    <row r="142" spans="1:20" ht="15.75">
      <c r="A142" s="903">
        <v>23</v>
      </c>
      <c r="B142" s="1347"/>
      <c r="C142" s="507" t="s">
        <v>2300</v>
      </c>
      <c r="D142" s="766" t="s">
        <v>2301</v>
      </c>
      <c r="E142" s="878"/>
      <c r="F142" s="860">
        <f>'SS INPUT'!J607</f>
        <v>946405.86019999441</v>
      </c>
      <c r="G142" s="908"/>
      <c r="H142" s="503"/>
      <c r="I142" s="507">
        <f t="shared" si="67"/>
        <v>946405.86019999441</v>
      </c>
      <c r="J142" s="894">
        <f t="shared" si="68"/>
        <v>946405.86019999441</v>
      </c>
      <c r="K142" s="892">
        <f>J142*(1+K4)</f>
        <v>950206.08295537415</v>
      </c>
      <c r="L142" s="785">
        <v>565008.58464281098</v>
      </c>
      <c r="M142" s="863">
        <f t="shared" si="64"/>
        <v>1.6817551251120877</v>
      </c>
      <c r="N142" s="379">
        <f t="shared" si="65"/>
        <v>1.1693404909615859</v>
      </c>
      <c r="O142" s="379">
        <v>812599.99999999104</v>
      </c>
      <c r="P142" s="379">
        <v>1400601.07478204</v>
      </c>
      <c r="Q142" s="379">
        <f t="shared" si="66"/>
        <v>0.67842735527191012</v>
      </c>
      <c r="R142" s="379">
        <v>1176176.819426741</v>
      </c>
      <c r="S142" s="379">
        <v>1134862.48297971</v>
      </c>
      <c r="T142" s="386">
        <f t="shared" si="55"/>
        <v>0.80787690019133085</v>
      </c>
    </row>
    <row r="143" spans="1:20" ht="15" customHeight="1">
      <c r="A143" s="503">
        <v>24</v>
      </c>
      <c r="B143" s="1347" t="s">
        <v>2129</v>
      </c>
      <c r="C143" s="507" t="s">
        <v>2302</v>
      </c>
      <c r="D143" s="586" t="s">
        <v>2020</v>
      </c>
      <c r="E143" s="878"/>
      <c r="F143" s="860">
        <f>'SS INPUT'!J641</f>
        <v>63600.000000000364</v>
      </c>
      <c r="G143" s="908"/>
      <c r="H143" s="503">
        <f>'11 KV HT'!L120</f>
        <v>0</v>
      </c>
      <c r="I143" s="507">
        <f t="shared" si="67"/>
        <v>63600.000000000364</v>
      </c>
      <c r="J143" s="894">
        <f t="shared" si="68"/>
        <v>63600.000000000364</v>
      </c>
      <c r="K143" s="892">
        <f>J143*(1+K4)</f>
        <v>63855.381097483296</v>
      </c>
      <c r="L143" s="785">
        <v>37243.382250381801</v>
      </c>
      <c r="M143" s="863">
        <f t="shared" si="64"/>
        <v>1.7145430205074537</v>
      </c>
      <c r="N143" s="379">
        <f t="shared" si="65"/>
        <v>1.1957936535109321</v>
      </c>
      <c r="O143" s="379">
        <v>53399.9999999996</v>
      </c>
      <c r="P143" s="379">
        <v>64861.361759134103</v>
      </c>
      <c r="Q143" s="379">
        <f t="shared" si="66"/>
        <v>0.98449029384571718</v>
      </c>
      <c r="R143" s="379">
        <v>65803.727574489763</v>
      </c>
      <c r="S143" s="379">
        <v>60848.7676187334</v>
      </c>
      <c r="T143" s="386">
        <f t="shared" si="55"/>
        <v>0.9703915484909128</v>
      </c>
    </row>
    <row r="144" spans="1:20" ht="15.75">
      <c r="A144" s="903">
        <v>25</v>
      </c>
      <c r="B144" s="1347"/>
      <c r="C144" s="507" t="s">
        <v>2303</v>
      </c>
      <c r="D144" s="439" t="s">
        <v>2304</v>
      </c>
      <c r="E144" s="859" t="s">
        <v>1918</v>
      </c>
      <c r="F144" s="860">
        <f>'SS INPUT'!J639</f>
        <v>890000</v>
      </c>
      <c r="G144" s="908"/>
      <c r="H144" s="503"/>
      <c r="I144" s="507">
        <f t="shared" si="67"/>
        <v>890000</v>
      </c>
      <c r="J144" s="894">
        <f t="shared" si="68"/>
        <v>890000</v>
      </c>
      <c r="K144" s="892">
        <f>J144*(1+K4)</f>
        <v>893573.72919433657</v>
      </c>
      <c r="L144" s="785">
        <v>426918.03886548697</v>
      </c>
      <c r="M144" s="863">
        <f t="shared" si="64"/>
        <v>2.0930802820348453</v>
      </c>
      <c r="N144" s="379">
        <f t="shared" si="65"/>
        <v>2.4821492477620462</v>
      </c>
      <c r="O144" s="379">
        <v>360000</v>
      </c>
      <c r="P144" s="379">
        <v>726681.36207737005</v>
      </c>
      <c r="Q144" s="379">
        <f t="shared" si="66"/>
        <v>1.2296637506153589</v>
      </c>
      <c r="R144" s="379">
        <v>1089616.2206872308</v>
      </c>
      <c r="S144" s="379">
        <v>496060.97993268602</v>
      </c>
      <c r="T144" s="386">
        <f t="shared" si="55"/>
        <v>0.82008115539134641</v>
      </c>
    </row>
    <row r="145" spans="1:22">
      <c r="A145" s="503">
        <v>26</v>
      </c>
      <c r="B145" s="1347"/>
      <c r="C145" s="507" t="s">
        <v>2305</v>
      </c>
      <c r="D145" s="439" t="s">
        <v>1213</v>
      </c>
      <c r="E145" s="878"/>
      <c r="F145" s="860">
        <f>'SS INPUT'!J640</f>
        <v>795186</v>
      </c>
      <c r="G145" s="908"/>
      <c r="H145" s="503"/>
      <c r="I145" s="860">
        <f t="shared" si="67"/>
        <v>795186</v>
      </c>
      <c r="J145" s="894">
        <f t="shared" si="68"/>
        <v>795186</v>
      </c>
      <c r="K145" s="892">
        <f>J145*(1+K4)</f>
        <v>798379.010587784</v>
      </c>
      <c r="L145" s="785">
        <v>705546.82103952696</v>
      </c>
      <c r="M145" s="863">
        <f t="shared" si="64"/>
        <v>1.1315748108842465</v>
      </c>
      <c r="N145" s="379">
        <f t="shared" si="65"/>
        <v>0.74768590615076236</v>
      </c>
      <c r="O145" s="379">
        <v>1067800</v>
      </c>
      <c r="P145" s="379">
        <v>1193338.1812303299</v>
      </c>
      <c r="Q145" s="379">
        <f t="shared" si="66"/>
        <v>0.66902997251345497</v>
      </c>
      <c r="R145" s="379">
        <v>882428.41397641704</v>
      </c>
      <c r="S145" s="379">
        <v>755481.75774803304</v>
      </c>
      <c r="T145" s="386">
        <f t="shared" si="55"/>
        <v>0.90475215659717045</v>
      </c>
    </row>
    <row r="146" spans="1:22" ht="15.75">
      <c r="A146" s="903">
        <v>27</v>
      </c>
      <c r="B146" s="507"/>
      <c r="C146" s="507"/>
      <c r="D146" s="439" t="s">
        <v>1570</v>
      </c>
      <c r="E146" s="878"/>
      <c r="F146" s="860">
        <f>'SS INPUT'!J642</f>
        <v>248379.89249999999</v>
      </c>
      <c r="G146" s="908"/>
      <c r="H146" s="503"/>
      <c r="I146" s="860">
        <f t="shared" si="67"/>
        <v>248379.89249999999</v>
      </c>
      <c r="J146" s="894">
        <f t="shared" si="68"/>
        <v>248379.89249999999</v>
      </c>
      <c r="K146" s="892">
        <f>J146*(1+K4)</f>
        <v>249377.24359338585</v>
      </c>
      <c r="L146" s="785"/>
      <c r="M146" s="863"/>
      <c r="O146" s="379">
        <v>5634440.0000000102</v>
      </c>
      <c r="R146" s="379">
        <v>273661.11633132421</v>
      </c>
      <c r="S146" s="379">
        <v>224824.58673403499</v>
      </c>
      <c r="T146" s="386">
        <f t="shared" si="55"/>
        <v>0.91126297713213433</v>
      </c>
    </row>
    <row r="147" spans="1:22" ht="18.75">
      <c r="A147" s="910"/>
      <c r="B147" s="910"/>
      <c r="C147" s="507"/>
      <c r="D147" s="915" t="s">
        <v>2306</v>
      </c>
      <c r="E147" s="891"/>
      <c r="F147" s="911">
        <f t="shared" ref="F147:M147" si="69">SUM(F138:F146)</f>
        <v>6129881.7526999814</v>
      </c>
      <c r="G147" s="911">
        <f t="shared" si="69"/>
        <v>0</v>
      </c>
      <c r="H147" s="911">
        <f t="shared" si="69"/>
        <v>249216</v>
      </c>
      <c r="I147" s="911">
        <f t="shared" si="69"/>
        <v>5880665.7526999814</v>
      </c>
      <c r="J147" s="911">
        <f t="shared" si="69"/>
        <v>5876927.5126999822</v>
      </c>
      <c r="K147" s="911">
        <f t="shared" si="69"/>
        <v>5900525.8805933911</v>
      </c>
      <c r="L147" s="911">
        <f t="shared" si="69"/>
        <v>3829841.6253309809</v>
      </c>
      <c r="M147" s="911">
        <f t="shared" si="69"/>
        <v>12.749277002926334</v>
      </c>
      <c r="N147" s="379">
        <f t="shared" ref="N147:N156" si="70">K147/O147</f>
        <v>1.0472249026688332</v>
      </c>
      <c r="O147" s="379">
        <v>5634440.0000000102</v>
      </c>
      <c r="P147" s="379">
        <v>7330099.4524166798</v>
      </c>
      <c r="Q147" s="379">
        <f t="shared" ref="Q147:Q156" si="71">K147/P147</f>
        <v>0.8049721451798354</v>
      </c>
      <c r="R147" s="379">
        <v>6767844.3027575379</v>
      </c>
      <c r="S147" s="379">
        <v>6077945.2369676903</v>
      </c>
      <c r="T147" s="386">
        <f t="shared" si="55"/>
        <v>0.87184716678385166</v>
      </c>
    </row>
    <row r="148" spans="1:22" ht="18.75">
      <c r="A148" s="903"/>
      <c r="B148" s="503"/>
      <c r="C148" s="507"/>
      <c r="D148" s="899" t="s">
        <v>973</v>
      </c>
      <c r="E148" s="891"/>
      <c r="F148" s="909"/>
      <c r="G148" s="908"/>
      <c r="H148" s="503"/>
      <c r="I148" s="507"/>
      <c r="J148" s="914"/>
      <c r="K148" s="892"/>
      <c r="L148" s="785"/>
      <c r="M148" s="863" t="e">
        <f t="shared" ref="M148:M154" si="72">K148/L148</f>
        <v>#DIV/0!</v>
      </c>
      <c r="N148" s="379" t="e">
        <f t="shared" si="70"/>
        <v>#DIV/0!</v>
      </c>
      <c r="Q148" s="379" t="e">
        <f t="shared" si="71"/>
        <v>#DIV/0!</v>
      </c>
      <c r="S148" s="379">
        <v>0</v>
      </c>
      <c r="T148" s="386" t="e">
        <f t="shared" si="55"/>
        <v>#DIV/0!</v>
      </c>
    </row>
    <row r="149" spans="1:22" ht="15" customHeight="1">
      <c r="A149" s="503">
        <v>28</v>
      </c>
      <c r="B149" s="1347" t="s">
        <v>973</v>
      </c>
      <c r="C149" s="507" t="s">
        <v>2307</v>
      </c>
      <c r="D149" s="586" t="s">
        <v>1221</v>
      </c>
      <c r="E149" s="878"/>
      <c r="F149" s="860">
        <f>'SS INPUT'!J540</f>
        <v>994259.99999999476</v>
      </c>
      <c r="G149" s="908"/>
      <c r="H149" s="916">
        <f>'11 KV HT'!L125</f>
        <v>109582</v>
      </c>
      <c r="I149" s="507">
        <f t="shared" ref="I149:I157" si="73">F149+G149-H149</f>
        <v>884677.99999999476</v>
      </c>
      <c r="J149" s="894">
        <f t="shared" ref="J149:J157" si="74">F149+G149-(H149*1.015)</f>
        <v>883034.26999999478</v>
      </c>
      <c r="K149" s="892">
        <f>J149*(1+K4)</f>
        <v>886580.02882055508</v>
      </c>
      <c r="L149" s="785">
        <v>752182.50821486698</v>
      </c>
      <c r="M149" s="863">
        <f t="shared" si="72"/>
        <v>1.1786767428621145</v>
      </c>
      <c r="N149" s="379">
        <f t="shared" si="70"/>
        <v>0.52170179405705563</v>
      </c>
      <c r="O149" s="379">
        <v>1699399.99999999</v>
      </c>
      <c r="P149" s="736">
        <v>1381331.30123764</v>
      </c>
      <c r="Q149" s="379">
        <f t="shared" si="71"/>
        <v>0.64183011564727477</v>
      </c>
      <c r="R149" s="379">
        <v>1115151.1027665427</v>
      </c>
      <c r="S149" s="379">
        <v>747550.66536307801</v>
      </c>
      <c r="T149" s="386">
        <f t="shared" si="55"/>
        <v>0.79503129810934769</v>
      </c>
    </row>
    <row r="150" spans="1:22" ht="15.75">
      <c r="A150" s="903">
        <v>29</v>
      </c>
      <c r="B150" s="1347"/>
      <c r="C150" s="507" t="s">
        <v>2308</v>
      </c>
      <c r="D150" s="586" t="s">
        <v>1215</v>
      </c>
      <c r="E150" s="878"/>
      <c r="F150" s="860">
        <f>'SS INPUT'!J541</f>
        <v>1213260</v>
      </c>
      <c r="G150" s="908"/>
      <c r="H150" s="507">
        <f>'11 KV HT'!L121</f>
        <v>63015</v>
      </c>
      <c r="I150" s="507">
        <f t="shared" si="73"/>
        <v>1150245</v>
      </c>
      <c r="J150" s="894">
        <f t="shared" si="74"/>
        <v>1149299.7749999999</v>
      </c>
      <c r="K150" s="892">
        <f>J150*(1+K4)</f>
        <v>1153914.7032684966</v>
      </c>
      <c r="L150" s="785">
        <v>1077998.9106523299</v>
      </c>
      <c r="M150" s="863">
        <f t="shared" si="72"/>
        <v>1.0704228843517363</v>
      </c>
      <c r="N150" s="379">
        <f t="shared" si="70"/>
        <v>1.1128934506765586</v>
      </c>
      <c r="O150" s="379">
        <v>1036860</v>
      </c>
      <c r="P150" s="736">
        <v>1546718.18282222</v>
      </c>
      <c r="Q150" s="379">
        <f t="shared" si="71"/>
        <v>0.74604069188803712</v>
      </c>
      <c r="R150" s="379">
        <v>1437068.8036290882</v>
      </c>
      <c r="S150" s="379">
        <v>1143296.01319908</v>
      </c>
      <c r="T150" s="386">
        <f t="shared" si="55"/>
        <v>0.80296413112195386</v>
      </c>
    </row>
    <row r="151" spans="1:22">
      <c r="A151" s="503">
        <v>30</v>
      </c>
      <c r="B151" s="1347"/>
      <c r="C151" s="507" t="s">
        <v>2309</v>
      </c>
      <c r="D151" s="586" t="s">
        <v>2310</v>
      </c>
      <c r="E151" s="859"/>
      <c r="F151" s="860">
        <f>'SS INPUT'!J542</f>
        <v>326799.99999998836</v>
      </c>
      <c r="G151" s="917"/>
      <c r="H151" s="507">
        <f>'11 KV HT'!K127</f>
        <v>23748</v>
      </c>
      <c r="I151" s="507">
        <f t="shared" si="73"/>
        <v>303051.99999998836</v>
      </c>
      <c r="J151" s="894">
        <f t="shared" si="74"/>
        <v>302695.77999998839</v>
      </c>
      <c r="K151" s="892">
        <f>J151*(1+K4)</f>
        <v>303911.23252357088</v>
      </c>
      <c r="L151" s="785">
        <v>213348.30402787999</v>
      </c>
      <c r="M151" s="863">
        <f t="shared" si="72"/>
        <v>1.4244839391076494</v>
      </c>
      <c r="N151" s="379">
        <f t="shared" si="70"/>
        <v>0.29779453281945917</v>
      </c>
      <c r="O151" s="379">
        <v>1020540</v>
      </c>
      <c r="P151" s="736">
        <v>320179.42367062002</v>
      </c>
      <c r="Q151" s="379">
        <f t="shared" si="71"/>
        <v>0.94919039156062446</v>
      </c>
      <c r="R151" s="379">
        <v>359547.86903594574</v>
      </c>
      <c r="S151" s="379">
        <v>315394.22610776802</v>
      </c>
      <c r="T151" s="386">
        <f t="shared" si="55"/>
        <v>0.84525944581022505</v>
      </c>
    </row>
    <row r="152" spans="1:22" ht="15.75">
      <c r="A152" s="903">
        <v>31</v>
      </c>
      <c r="B152" s="1347"/>
      <c r="C152" s="507" t="s">
        <v>2311</v>
      </c>
      <c r="D152" s="918" t="s">
        <v>1908</v>
      </c>
      <c r="E152" s="859" t="s">
        <v>2312</v>
      </c>
      <c r="F152" s="919">
        <f>'SS INPUT'!J543</f>
        <v>130020.00000000044</v>
      </c>
      <c r="G152" s="917"/>
      <c r="H152" s="104">
        <f>'11 KV HT'!K122+'11 KV HT'!K124+'11 KV HT'!K123</f>
        <v>82499</v>
      </c>
      <c r="I152" s="507">
        <f t="shared" si="73"/>
        <v>47521.000000000437</v>
      </c>
      <c r="J152" s="894">
        <f t="shared" si="74"/>
        <v>46283.515000000451</v>
      </c>
      <c r="K152" s="892">
        <f>J152*(1+K4)</f>
        <v>46469.363032328562</v>
      </c>
      <c r="L152" s="785">
        <v>51542.232729766103</v>
      </c>
      <c r="M152" s="863">
        <f t="shared" si="72"/>
        <v>0.90157838671765744</v>
      </c>
      <c r="N152" s="379">
        <f t="shared" si="70"/>
        <v>0.24027592053945193</v>
      </c>
      <c r="O152" s="379">
        <v>193399.999999994</v>
      </c>
      <c r="P152" s="736">
        <v>80863.6126640578</v>
      </c>
      <c r="Q152" s="379">
        <f t="shared" si="71"/>
        <v>0.57466345493840676</v>
      </c>
      <c r="R152" s="379">
        <v>50226.506703722815</v>
      </c>
      <c r="S152" s="379">
        <v>50376.033192835297</v>
      </c>
      <c r="T152" s="386">
        <f t="shared" si="55"/>
        <v>0.92519599872718661</v>
      </c>
    </row>
    <row r="153" spans="1:22">
      <c r="A153" s="503">
        <v>32</v>
      </c>
      <c r="B153" s="1347"/>
      <c r="C153" s="507" t="s">
        <v>2313</v>
      </c>
      <c r="D153" s="755" t="s">
        <v>1225</v>
      </c>
      <c r="E153" s="895"/>
      <c r="F153" s="860">
        <f>'SS INPUT'!J544</f>
        <v>699150</v>
      </c>
      <c r="G153" s="920"/>
      <c r="H153" s="184">
        <f>'11 KV HT'!K128+'11 KV HT'!K129+'11 KV HT'!K130+'11 KV HT'!K131</f>
        <v>243445</v>
      </c>
      <c r="I153" s="507">
        <f t="shared" si="73"/>
        <v>455705</v>
      </c>
      <c r="J153" s="894">
        <f t="shared" si="74"/>
        <v>452053.32500000001</v>
      </c>
      <c r="K153" s="892">
        <f>J153*(1+K4)</f>
        <v>453868.51170219039</v>
      </c>
      <c r="L153" s="785">
        <v>145926.30939251199</v>
      </c>
      <c r="M153" s="863">
        <f t="shared" si="72"/>
        <v>3.1102582775623873</v>
      </c>
      <c r="N153" s="379">
        <f t="shared" si="70"/>
        <v>2.9331039918714641</v>
      </c>
      <c r="O153" s="379">
        <v>154740</v>
      </c>
      <c r="P153" s="736">
        <v>239295.888754282</v>
      </c>
      <c r="Q153" s="379">
        <f t="shared" si="71"/>
        <v>1.8966832822115034</v>
      </c>
      <c r="R153" s="379">
        <v>580216.32582544093</v>
      </c>
      <c r="S153" s="379">
        <v>518683.08847881202</v>
      </c>
      <c r="T153" s="386">
        <f t="shared" si="55"/>
        <v>0.78224016026522059</v>
      </c>
    </row>
    <row r="154" spans="1:22" ht="17.25" customHeight="1">
      <c r="A154" s="903">
        <v>33</v>
      </c>
      <c r="B154" s="1347"/>
      <c r="C154" s="507" t="s">
        <v>2314</v>
      </c>
      <c r="D154" s="511" t="s">
        <v>2143</v>
      </c>
      <c r="E154" s="859" t="s">
        <v>2315</v>
      </c>
      <c r="F154" s="439"/>
      <c r="G154" s="921">
        <f>'SS INPUT'!J695</f>
        <v>0</v>
      </c>
      <c r="H154" s="202"/>
      <c r="I154" s="860">
        <f t="shared" si="73"/>
        <v>0</v>
      </c>
      <c r="J154" s="894">
        <f t="shared" si="74"/>
        <v>0</v>
      </c>
      <c r="K154" s="892">
        <f>J154*(1+K4)</f>
        <v>0</v>
      </c>
      <c r="L154" s="785">
        <v>4136.4014557377404</v>
      </c>
      <c r="M154" s="863">
        <f t="shared" si="72"/>
        <v>0</v>
      </c>
      <c r="N154" s="379">
        <f t="shared" si="70"/>
        <v>0</v>
      </c>
      <c r="O154" s="379">
        <v>387560</v>
      </c>
      <c r="P154" s="736">
        <v>4283.8885792466299</v>
      </c>
      <c r="Q154" s="379">
        <f t="shared" si="71"/>
        <v>0</v>
      </c>
      <c r="R154" s="379">
        <v>0</v>
      </c>
      <c r="S154" s="379">
        <v>0</v>
      </c>
      <c r="T154" s="386" t="e">
        <f t="shared" si="55"/>
        <v>#DIV/0!</v>
      </c>
    </row>
    <row r="155" spans="1:22" ht="17.25" customHeight="1">
      <c r="A155" s="503">
        <v>34</v>
      </c>
      <c r="B155" s="507"/>
      <c r="C155" s="507"/>
      <c r="D155" s="511" t="s">
        <v>2050</v>
      </c>
      <c r="E155" s="859"/>
      <c r="F155" s="860">
        <f>'SS INPUT'!J674</f>
        <v>1466159.9999999981</v>
      </c>
      <c r="G155" s="921"/>
      <c r="H155" s="202"/>
      <c r="I155" s="860">
        <f t="shared" si="73"/>
        <v>1466159.9999999981</v>
      </c>
      <c r="J155" s="894">
        <f t="shared" si="74"/>
        <v>1466159.9999999981</v>
      </c>
      <c r="K155" s="892">
        <f>J155*(1+K4)</f>
        <v>1472047.2570736706</v>
      </c>
      <c r="L155" s="785">
        <v>3904519.2789300499</v>
      </c>
      <c r="M155" s="863"/>
      <c r="N155" s="379" t="e">
        <f t="shared" si="70"/>
        <v>#DIV/0!</v>
      </c>
      <c r="P155" s="736">
        <v>5757340.9109968198</v>
      </c>
      <c r="Q155" s="379">
        <f t="shared" si="71"/>
        <v>0.25568179474346986</v>
      </c>
      <c r="R155" s="379">
        <v>1693829.8447267837</v>
      </c>
      <c r="S155" s="379">
        <v>1518688.195139</v>
      </c>
      <c r="T155" s="386">
        <f t="shared" si="55"/>
        <v>0.86906442323969868</v>
      </c>
    </row>
    <row r="156" spans="1:22" ht="17.25" customHeight="1">
      <c r="A156" s="903">
        <v>35</v>
      </c>
      <c r="B156" s="507"/>
      <c r="C156" s="507"/>
      <c r="D156" s="511" t="s">
        <v>2052</v>
      </c>
      <c r="E156" s="859"/>
      <c r="F156" s="860">
        <f>'SS INPUT'!J675</f>
        <v>254960.20300000001</v>
      </c>
      <c r="G156" s="921"/>
      <c r="H156" s="202"/>
      <c r="I156" s="860">
        <f t="shared" si="73"/>
        <v>254960.20300000001</v>
      </c>
      <c r="J156" s="894">
        <f t="shared" si="74"/>
        <v>254960.20300000001</v>
      </c>
      <c r="K156" s="892">
        <f>J156*(1+K4)</f>
        <v>255983.97684365741</v>
      </c>
      <c r="L156" s="785">
        <v>3904519.2789300499</v>
      </c>
      <c r="M156" s="863"/>
      <c r="N156" s="379">
        <f t="shared" si="70"/>
        <v>5.6980295346390201E-2</v>
      </c>
      <c r="O156" s="379">
        <v>4492499.9999999898</v>
      </c>
      <c r="P156" s="736"/>
      <c r="Q156" s="379" t="e">
        <f t="shared" si="71"/>
        <v>#DIV/0!</v>
      </c>
      <c r="R156" s="379">
        <v>331088.35110826761</v>
      </c>
      <c r="S156" s="379">
        <v>394787.73022037302</v>
      </c>
      <c r="T156" s="386">
        <f t="shared" si="55"/>
        <v>0.77315911594832676</v>
      </c>
    </row>
    <row r="157" spans="1:22" ht="17.25" customHeight="1">
      <c r="A157" s="903"/>
      <c r="B157" s="507"/>
      <c r="C157" s="507"/>
      <c r="D157" s="511" t="s">
        <v>2054</v>
      </c>
      <c r="E157" s="859"/>
      <c r="F157" s="860">
        <f>'SS INPUT'!J676</f>
        <v>316740.00000000012</v>
      </c>
      <c r="G157" s="921"/>
      <c r="H157" s="202"/>
      <c r="I157" s="860">
        <f t="shared" si="73"/>
        <v>316740.00000000012</v>
      </c>
      <c r="J157" s="894">
        <f t="shared" si="74"/>
        <v>316740.00000000012</v>
      </c>
      <c r="K157" s="892">
        <f>J157*(1+K4)</f>
        <v>318011.84605057782</v>
      </c>
      <c r="L157" s="785"/>
      <c r="M157" s="863"/>
      <c r="P157" s="736"/>
      <c r="R157" s="379">
        <v>404217.12180827215</v>
      </c>
      <c r="S157" s="379">
        <v>536561.91006655199</v>
      </c>
      <c r="T157" s="386">
        <f t="shared" si="55"/>
        <v>0.78673521949774528</v>
      </c>
    </row>
    <row r="158" spans="1:22" ht="18.75">
      <c r="A158" s="896"/>
      <c r="B158" s="896"/>
      <c r="C158" s="507"/>
      <c r="D158" s="893" t="s">
        <v>2316</v>
      </c>
      <c r="E158" s="891"/>
      <c r="F158" s="911">
        <f t="shared" ref="F158:K158" si="75">SUM(F149:F157)</f>
        <v>5401350.2029999811</v>
      </c>
      <c r="G158" s="911">
        <f t="shared" si="75"/>
        <v>0</v>
      </c>
      <c r="H158" s="911">
        <f t="shared" si="75"/>
        <v>522289</v>
      </c>
      <c r="I158" s="911">
        <f t="shared" si="75"/>
        <v>4879061.2029999811</v>
      </c>
      <c r="J158" s="911">
        <f t="shared" si="75"/>
        <v>4871226.8679999821</v>
      </c>
      <c r="K158" s="911">
        <f t="shared" si="75"/>
        <v>4890786.9193150466</v>
      </c>
      <c r="L158" s="785">
        <v>3904519.2789300499</v>
      </c>
      <c r="M158" s="863">
        <f t="shared" ref="M158:M169" si="76">K158/L158</f>
        <v>1.2525964324743359</v>
      </c>
      <c r="N158" s="379">
        <f t="shared" ref="N158:N169" si="77">K158/O158</f>
        <v>1.0886559642326228</v>
      </c>
      <c r="O158" s="379">
        <v>4492499.9999999898</v>
      </c>
      <c r="Q158" s="379" t="e">
        <f t="shared" ref="Q158:Q169" si="78">K158/P158</f>
        <v>#DIV/0!</v>
      </c>
      <c r="R158" s="379">
        <v>5971345.925604064</v>
      </c>
      <c r="S158" s="379">
        <v>5225337.8617674997</v>
      </c>
      <c r="T158" s="386">
        <f t="shared" si="55"/>
        <v>0.81904263799962196</v>
      </c>
    </row>
    <row r="159" spans="1:22" ht="15.75">
      <c r="A159" s="503"/>
      <c r="B159" s="503"/>
      <c r="C159" s="507"/>
      <c r="D159" s="893" t="s">
        <v>222</v>
      </c>
      <c r="E159" s="891"/>
      <c r="F159" s="503"/>
      <c r="G159" s="508"/>
      <c r="H159" s="503"/>
      <c r="I159" s="507"/>
      <c r="J159" s="894"/>
      <c r="K159" s="892"/>
      <c r="L159" s="785"/>
      <c r="M159" s="863" t="e">
        <f t="shared" si="76"/>
        <v>#DIV/0!</v>
      </c>
      <c r="N159" s="379" t="e">
        <f t="shared" si="77"/>
        <v>#DIV/0!</v>
      </c>
      <c r="Q159" s="379" t="e">
        <f t="shared" si="78"/>
        <v>#DIV/0!</v>
      </c>
      <c r="T159" s="386" t="e">
        <f t="shared" si="55"/>
        <v>#DIV/0!</v>
      </c>
    </row>
    <row r="160" spans="1:22" ht="15" customHeight="1">
      <c r="A160" s="503">
        <v>36</v>
      </c>
      <c r="B160" s="1347" t="s">
        <v>2317</v>
      </c>
      <c r="C160" s="507" t="s">
        <v>2318</v>
      </c>
      <c r="D160" s="586" t="s">
        <v>2319</v>
      </c>
      <c r="E160" s="859"/>
      <c r="F160" s="909">
        <f>'SS INPUT'!J619</f>
        <v>578360.00000000058</v>
      </c>
      <c r="G160" s="508"/>
      <c r="H160" s="503"/>
      <c r="I160" s="507">
        <f t="shared" ref="I160:I170" si="79">F160+G160-H160</f>
        <v>578360.00000000058</v>
      </c>
      <c r="J160" s="894">
        <f t="shared" ref="J160:J170" si="80">F160+G160-(H160*1.015)</f>
        <v>578360.00000000058</v>
      </c>
      <c r="K160" s="892">
        <f>J160*(1+K4)</f>
        <v>580682.36181667075</v>
      </c>
      <c r="L160" s="785">
        <v>558959.01122190198</v>
      </c>
      <c r="M160" s="863">
        <f t="shared" si="76"/>
        <v>1.0388639420040493</v>
      </c>
      <c r="N160" s="379">
        <f t="shared" si="77"/>
        <v>2.2052345504202902</v>
      </c>
      <c r="O160" s="379">
        <v>263320</v>
      </c>
      <c r="P160" s="736">
        <v>521520.52626958297</v>
      </c>
      <c r="Q160" s="379">
        <f t="shared" si="78"/>
        <v>1.1134410489463764</v>
      </c>
      <c r="R160" s="379">
        <v>470875.7540685453</v>
      </c>
      <c r="S160" s="379">
        <v>563440.00000000105</v>
      </c>
      <c r="T160" s="386">
        <f t="shared" si="55"/>
        <v>1.2331965636356399</v>
      </c>
      <c r="U160" s="379">
        <f t="shared" ref="U160:U166" si="81">K160/V160</f>
        <v>1.0388639420040493</v>
      </c>
      <c r="V160" s="379">
        <v>558959.01122190198</v>
      </c>
    </row>
    <row r="161" spans="1:1025" ht="15.75">
      <c r="A161" s="903">
        <v>37</v>
      </c>
      <c r="B161" s="1347"/>
      <c r="C161" s="507" t="s">
        <v>2320</v>
      </c>
      <c r="D161" s="439" t="s">
        <v>2321</v>
      </c>
      <c r="E161" s="878"/>
      <c r="F161" s="860">
        <f>'SS INPUT'!J617</f>
        <v>604600.00000000582</v>
      </c>
      <c r="G161" s="908"/>
      <c r="H161" s="503">
        <f>'11 KV HT'!K139+'11 KV HT'!K140+'11 KV HT'!K142+'11 KV HT'!K141</f>
        <v>111181</v>
      </c>
      <c r="I161" s="507">
        <f t="shared" si="79"/>
        <v>493419.00000000582</v>
      </c>
      <c r="J161" s="894">
        <f t="shared" si="80"/>
        <v>491751.28500000585</v>
      </c>
      <c r="K161" s="892">
        <f>J161*(1+K4)</f>
        <v>493725.87592535082</v>
      </c>
      <c r="L161" s="785">
        <v>512466.80737071199</v>
      </c>
      <c r="M161" s="863">
        <f t="shared" si="76"/>
        <v>0.96342996038804085</v>
      </c>
      <c r="N161" s="379">
        <f t="shared" si="77"/>
        <v>1.2263434573406902</v>
      </c>
      <c r="O161" s="379">
        <v>402599.99999999098</v>
      </c>
      <c r="P161" s="379">
        <v>698895.36434064398</v>
      </c>
      <c r="Q161" s="379">
        <f t="shared" si="78"/>
        <v>0.70643747421496295</v>
      </c>
      <c r="R161" s="379">
        <v>473677.32262763806</v>
      </c>
      <c r="S161" s="379">
        <v>578799.99999998801</v>
      </c>
      <c r="T161" s="386">
        <f t="shared" si="55"/>
        <v>1.0423253390863154</v>
      </c>
      <c r="U161" s="379">
        <f t="shared" si="81"/>
        <v>0.96342996038804085</v>
      </c>
      <c r="V161" s="379">
        <v>512466.80737071199</v>
      </c>
    </row>
    <row r="162" spans="1:1025">
      <c r="A162" s="503">
        <v>38</v>
      </c>
      <c r="B162" s="1347"/>
      <c r="C162" s="507" t="s">
        <v>2322</v>
      </c>
      <c r="D162" s="439" t="s">
        <v>2323</v>
      </c>
      <c r="E162" s="878"/>
      <c r="F162" s="860">
        <f>'SS INPUT'!J618</f>
        <v>51000</v>
      </c>
      <c r="G162" s="908"/>
      <c r="H162" s="503"/>
      <c r="I162" s="860">
        <f t="shared" si="79"/>
        <v>51000</v>
      </c>
      <c r="J162" s="894">
        <f t="shared" si="80"/>
        <v>51000</v>
      </c>
      <c r="K162" s="892">
        <f>J162*(1+K4)</f>
        <v>51204.786729113672</v>
      </c>
      <c r="L162" s="785">
        <v>54705.377954445903</v>
      </c>
      <c r="M162" s="863">
        <f t="shared" si="76"/>
        <v>0.93601010803275619</v>
      </c>
      <c r="N162" s="379">
        <f t="shared" si="77"/>
        <v>1.6624930756205629</v>
      </c>
      <c r="O162" s="379">
        <v>30800.0000000002</v>
      </c>
      <c r="P162" s="379">
        <v>56755.559086169902</v>
      </c>
      <c r="Q162" s="379">
        <f t="shared" si="78"/>
        <v>0.90219861373176335</v>
      </c>
      <c r="R162" s="379">
        <v>90911.229120908305</v>
      </c>
      <c r="S162" s="379">
        <v>57400.000000000502</v>
      </c>
      <c r="T162" s="386">
        <f t="shared" si="55"/>
        <v>0.56323940644354675</v>
      </c>
      <c r="U162" s="379">
        <f t="shared" si="81"/>
        <v>0.93601010803275619</v>
      </c>
      <c r="V162" s="379">
        <v>54705.377954445903</v>
      </c>
    </row>
    <row r="163" spans="1:1025" ht="15.75">
      <c r="A163" s="903">
        <v>39</v>
      </c>
      <c r="B163" s="1347"/>
      <c r="C163" s="507" t="s">
        <v>2324</v>
      </c>
      <c r="D163" s="586" t="s">
        <v>2325</v>
      </c>
      <c r="E163" s="878" t="s">
        <v>2326</v>
      </c>
      <c r="F163" s="909">
        <f>'SS INPUT'!J614</f>
        <v>597440.31249999825</v>
      </c>
      <c r="G163" s="908">
        <f>-'SS INPUT'!J620</f>
        <v>0</v>
      </c>
      <c r="H163" s="184">
        <f>'11 KV HT'!L144</f>
        <v>19025</v>
      </c>
      <c r="I163" s="860">
        <f t="shared" si="79"/>
        <v>578415.31249999825</v>
      </c>
      <c r="J163" s="894">
        <f t="shared" si="80"/>
        <v>578129.93749999825</v>
      </c>
      <c r="K163" s="892">
        <f>J163*(1+K4)</f>
        <v>580451.37551771034</v>
      </c>
      <c r="L163" s="785">
        <v>1562977.41853681</v>
      </c>
      <c r="M163" s="863">
        <f t="shared" si="76"/>
        <v>0.3713754073690349</v>
      </c>
      <c r="N163" s="379">
        <f t="shared" si="77"/>
        <v>0.48785625778930103</v>
      </c>
      <c r="O163" s="379">
        <v>1189800</v>
      </c>
      <c r="P163" s="379">
        <v>1297810.4511037499</v>
      </c>
      <c r="Q163" s="379">
        <f t="shared" si="78"/>
        <v>0.44725435445835204</v>
      </c>
      <c r="R163" s="379">
        <v>138247.52550238598</v>
      </c>
      <c r="S163" s="379">
        <v>1669231</v>
      </c>
      <c r="T163" s="386">
        <f t="shared" si="55"/>
        <v>4.1986384451249545</v>
      </c>
      <c r="U163" s="379">
        <f t="shared" si="81"/>
        <v>0.3713754073690349</v>
      </c>
      <c r="V163" s="379">
        <v>1562977.41853681</v>
      </c>
    </row>
    <row r="164" spans="1:1025">
      <c r="A164" s="503">
        <v>40</v>
      </c>
      <c r="B164" s="1347"/>
      <c r="C164" s="507" t="s">
        <v>2327</v>
      </c>
      <c r="D164" s="586" t="s">
        <v>2328</v>
      </c>
      <c r="E164" s="906"/>
      <c r="F164" s="860">
        <f>'SS INPUT'!J615</f>
        <v>513199.99999999709</v>
      </c>
      <c r="G164" s="907"/>
      <c r="H164" s="503">
        <f>'11 KV HT'!L143</f>
        <v>4765</v>
      </c>
      <c r="I164" s="507">
        <f t="shared" si="79"/>
        <v>508434.99999999709</v>
      </c>
      <c r="J164" s="894">
        <f t="shared" si="80"/>
        <v>508363.52499999711</v>
      </c>
      <c r="K164" s="892">
        <f>J164*(1+K4)</f>
        <v>510404.8211467705</v>
      </c>
      <c r="L164" s="785">
        <v>538033.26095816295</v>
      </c>
      <c r="M164" s="863">
        <f t="shared" si="76"/>
        <v>0.94864919733365549</v>
      </c>
      <c r="N164" s="379">
        <f t="shared" si="77"/>
        <v>1.2287068395444702</v>
      </c>
      <c r="O164" s="379">
        <v>415399.99999999802</v>
      </c>
      <c r="P164" s="379">
        <v>510551.15864893701</v>
      </c>
      <c r="Q164" s="379">
        <f t="shared" si="78"/>
        <v>0.99971337347944966</v>
      </c>
      <c r="R164" s="379">
        <v>549153.00653723394</v>
      </c>
      <c r="S164" s="379">
        <v>540199.99999999697</v>
      </c>
      <c r="T164" s="386">
        <f t="shared" si="55"/>
        <v>0.92944009241650904</v>
      </c>
      <c r="U164" s="379">
        <f t="shared" si="81"/>
        <v>0.94864919733365549</v>
      </c>
      <c r="V164" s="379">
        <v>538033.26095816295</v>
      </c>
    </row>
    <row r="165" spans="1:1025" ht="15.75">
      <c r="A165" s="903">
        <v>41</v>
      </c>
      <c r="B165" s="1347"/>
      <c r="C165" s="507" t="s">
        <v>2329</v>
      </c>
      <c r="D165" s="586" t="s">
        <v>2330</v>
      </c>
      <c r="E165" s="906"/>
      <c r="F165" s="860">
        <f>'SS INPUT'!J616</f>
        <v>637640.62390000001</v>
      </c>
      <c r="G165" s="907"/>
      <c r="H165" s="503"/>
      <c r="I165" s="860">
        <f t="shared" si="79"/>
        <v>637640.62390000001</v>
      </c>
      <c r="J165" s="894">
        <f t="shared" si="80"/>
        <v>637640.62390000001</v>
      </c>
      <c r="K165" s="892">
        <f>J165*(1+K4)</f>
        <v>640201.02267879376</v>
      </c>
      <c r="L165" s="785">
        <v>991613.57510530204</v>
      </c>
      <c r="M165" s="863">
        <f t="shared" si="76"/>
        <v>0.64561542797637594</v>
      </c>
      <c r="N165" s="379">
        <f t="shared" si="77"/>
        <v>0.93816093593023975</v>
      </c>
      <c r="O165" s="379">
        <v>682399.99999999802</v>
      </c>
      <c r="P165" s="379">
        <v>771497.23317800299</v>
      </c>
      <c r="Q165" s="379">
        <f t="shared" si="78"/>
        <v>0.82981635597270376</v>
      </c>
      <c r="R165" s="379">
        <v>976283.82919101359</v>
      </c>
      <c r="S165" s="379">
        <v>902799.99999999604</v>
      </c>
      <c r="T165" s="386">
        <f t="shared" si="55"/>
        <v>0.65575297217540618</v>
      </c>
      <c r="U165" s="379">
        <f t="shared" si="81"/>
        <v>0.64561542797637594</v>
      </c>
      <c r="V165" s="379">
        <v>991613.57510530204</v>
      </c>
    </row>
    <row r="166" spans="1:1025" ht="15" customHeight="1">
      <c r="A166" s="503">
        <v>42</v>
      </c>
      <c r="B166" s="1347" t="s">
        <v>2331</v>
      </c>
      <c r="C166" s="507" t="s">
        <v>2332</v>
      </c>
      <c r="D166" s="922" t="s">
        <v>2009</v>
      </c>
      <c r="E166" s="906"/>
      <c r="F166" s="860">
        <f>'SS INPUT'!J629</f>
        <v>878520.00000000047</v>
      </c>
      <c r="G166" s="908"/>
      <c r="H166" s="503"/>
      <c r="I166" s="507">
        <f t="shared" si="79"/>
        <v>878520.00000000047</v>
      </c>
      <c r="J166" s="894">
        <f t="shared" si="80"/>
        <v>878520.00000000047</v>
      </c>
      <c r="K166" s="892">
        <f>J166*(1+K4)</f>
        <v>882047.63210315618</v>
      </c>
      <c r="L166" s="785">
        <v>954514.52568792296</v>
      </c>
      <c r="M166" s="863">
        <f t="shared" si="76"/>
        <v>0.9240798420196491</v>
      </c>
      <c r="N166" s="379">
        <f t="shared" si="77"/>
        <v>2.1079429120140429</v>
      </c>
      <c r="O166" s="379">
        <v>418440</v>
      </c>
      <c r="P166" s="379">
        <v>841495.75605094596</v>
      </c>
      <c r="Q166" s="379">
        <f t="shared" si="78"/>
        <v>1.0481902324053494</v>
      </c>
      <c r="R166" s="379">
        <v>880203.02759259276</v>
      </c>
      <c r="S166" s="379">
        <v>910319.99999999895</v>
      </c>
      <c r="T166" s="386">
        <f t="shared" si="55"/>
        <v>1.0020956579933706</v>
      </c>
      <c r="U166" s="379">
        <f t="shared" si="81"/>
        <v>0.9240798420196491</v>
      </c>
      <c r="V166" s="379">
        <v>954514.52568792296</v>
      </c>
    </row>
    <row r="167" spans="1:1025" ht="15.75">
      <c r="A167" s="903">
        <v>43</v>
      </c>
      <c r="B167" s="1347"/>
      <c r="C167" s="507" t="s">
        <v>2333</v>
      </c>
      <c r="D167" s="586" t="s">
        <v>2005</v>
      </c>
      <c r="E167" s="885"/>
      <c r="F167" s="860">
        <f>'SS INPUT'!J627</f>
        <v>623999.99999999639</v>
      </c>
      <c r="G167" s="908"/>
      <c r="H167" s="503"/>
      <c r="I167" s="507">
        <f t="shared" si="79"/>
        <v>623999.99999999639</v>
      </c>
      <c r="J167" s="894">
        <f t="shared" si="80"/>
        <v>623999.99999999639</v>
      </c>
      <c r="K167" s="892">
        <f>J167*(1+K4)</f>
        <v>626505.62586209306</v>
      </c>
      <c r="L167" s="785">
        <v>760844.91178022197</v>
      </c>
      <c r="M167" s="863">
        <f t="shared" si="76"/>
        <v>0.823434074621328</v>
      </c>
      <c r="N167" s="379">
        <f t="shared" si="77"/>
        <v>1.531798596239814</v>
      </c>
      <c r="O167" s="379">
        <v>409000.000000006</v>
      </c>
      <c r="P167" s="379">
        <v>647643.99090551597</v>
      </c>
      <c r="Q167" s="379">
        <f t="shared" si="78"/>
        <v>0.96736113460441764</v>
      </c>
      <c r="R167" s="379">
        <v>740765.94428339624</v>
      </c>
      <c r="S167" s="379">
        <v>784200.00000000105</v>
      </c>
      <c r="T167" s="386">
        <f t="shared" si="55"/>
        <v>0.84575381832403684</v>
      </c>
      <c r="U167" s="379">
        <f>S167*T164</f>
        <v>728866.92047302739</v>
      </c>
      <c r="V167" s="379">
        <v>760844.91178022197</v>
      </c>
    </row>
    <row r="168" spans="1:1025">
      <c r="A168" s="503">
        <v>44</v>
      </c>
      <c r="B168" s="1347"/>
      <c r="C168" s="507" t="s">
        <v>2334</v>
      </c>
      <c r="D168" s="586" t="s">
        <v>931</v>
      </c>
      <c r="E168" s="878"/>
      <c r="F168" s="860">
        <f>'SS INPUT'!J630</f>
        <v>804600.00000000582</v>
      </c>
      <c r="G168" s="908"/>
      <c r="H168" s="503"/>
      <c r="I168" s="507">
        <f t="shared" si="79"/>
        <v>804600.00000000582</v>
      </c>
      <c r="J168" s="894">
        <f t="shared" si="80"/>
        <v>804600.00000000582</v>
      </c>
      <c r="K168" s="892">
        <f>J168*(1+K4)</f>
        <v>807830.8118087285</v>
      </c>
      <c r="L168" s="785">
        <v>1079435.61864137</v>
      </c>
      <c r="M168" s="863">
        <f t="shared" si="76"/>
        <v>0.74838257869005986</v>
      </c>
      <c r="N168" s="379">
        <f t="shared" si="77"/>
        <v>1.1704300373931091</v>
      </c>
      <c r="O168" s="379">
        <v>690200.00000000396</v>
      </c>
      <c r="P168" s="379">
        <v>962532.24094656599</v>
      </c>
      <c r="Q168" s="379">
        <f t="shared" si="78"/>
        <v>0.83927662621908417</v>
      </c>
      <c r="R168" s="379">
        <v>1030684.6323520241</v>
      </c>
      <c r="S168" s="379">
        <v>1174200</v>
      </c>
      <c r="T168" s="386">
        <f t="shared" si="55"/>
        <v>0.78378078652949079</v>
      </c>
      <c r="U168" s="765">
        <f>K167-U167</f>
        <v>-102361.29461093433</v>
      </c>
      <c r="V168" s="379">
        <v>1079435.61864137</v>
      </c>
    </row>
    <row r="169" spans="1:1025" ht="15.75">
      <c r="A169" s="903">
        <v>45</v>
      </c>
      <c r="B169" s="1347"/>
      <c r="C169" s="507" t="s">
        <v>2335</v>
      </c>
      <c r="D169" s="922" t="s">
        <v>2336</v>
      </c>
      <c r="E169" s="885" t="s">
        <v>1945</v>
      </c>
      <c r="F169" s="860">
        <f>'SS INPUT'!J628</f>
        <v>951958.59290000889</v>
      </c>
      <c r="G169" s="861"/>
      <c r="H169" s="503"/>
      <c r="I169" s="860">
        <f t="shared" si="79"/>
        <v>951958.59290000889</v>
      </c>
      <c r="J169" s="894">
        <f t="shared" si="80"/>
        <v>951958.59290000889</v>
      </c>
      <c r="K169" s="892">
        <f>J169*(1+K4)</f>
        <v>955781.11224298226</v>
      </c>
      <c r="L169" s="785">
        <v>1195343.9481770301</v>
      </c>
      <c r="M169" s="863">
        <f t="shared" si="76"/>
        <v>0.79958669109473035</v>
      </c>
      <c r="N169" s="379">
        <f t="shared" si="77"/>
        <v>0.76060887493473039</v>
      </c>
      <c r="O169" s="379">
        <v>1256600</v>
      </c>
      <c r="P169" s="379">
        <v>1068265.7454663599</v>
      </c>
      <c r="Q169" s="379">
        <f t="shared" si="78"/>
        <v>0.89470351015114546</v>
      </c>
      <c r="R169" s="379">
        <v>1170639.1062622084</v>
      </c>
      <c r="S169" s="379">
        <v>1193200</v>
      </c>
      <c r="T169" s="386">
        <f t="shared" si="55"/>
        <v>0.8164609461021195</v>
      </c>
      <c r="U169" s="379">
        <f>K169/V169</f>
        <v>0.79958669109473035</v>
      </c>
      <c r="V169" s="379">
        <v>1195343.9481770301</v>
      </c>
    </row>
    <row r="170" spans="1:1025" ht="15.75">
      <c r="A170" s="903"/>
      <c r="B170" s="507" t="s">
        <v>2337</v>
      </c>
      <c r="C170" s="507"/>
      <c r="D170" s="922" t="s">
        <v>3138</v>
      </c>
      <c r="E170" s="885"/>
      <c r="F170" s="860">
        <f>'SS INPUT'!J694</f>
        <v>430910.51520000002</v>
      </c>
      <c r="G170" s="861"/>
      <c r="H170" s="503"/>
      <c r="I170" s="860">
        <f t="shared" si="79"/>
        <v>430910.51520000002</v>
      </c>
      <c r="J170" s="894">
        <f t="shared" si="80"/>
        <v>430910.51520000002</v>
      </c>
      <c r="K170" s="892">
        <f>J170*(1+K4)</f>
        <v>432640.80451271561</v>
      </c>
      <c r="L170" s="785"/>
      <c r="M170" s="863"/>
      <c r="R170" s="379">
        <v>1553843.4234050135</v>
      </c>
      <c r="T170" s="386">
        <f t="shared" si="55"/>
        <v>0.27843269019001188</v>
      </c>
    </row>
    <row r="171" spans="1:1025" ht="15.75">
      <c r="A171" s="1251"/>
      <c r="B171" s="1249" t="s">
        <v>2337</v>
      </c>
      <c r="C171" s="1249"/>
      <c r="D171" s="922" t="s">
        <v>1511</v>
      </c>
      <c r="E171" s="885"/>
      <c r="F171" s="860">
        <f>'SS INPUT'!J693</f>
        <v>188523.3504</v>
      </c>
      <c r="G171" s="861"/>
      <c r="H171" s="1250"/>
      <c r="I171" s="860">
        <f t="shared" ref="I171" si="82">F171+G171-H171</f>
        <v>188523.3504</v>
      </c>
      <c r="J171" s="894">
        <f t="shared" ref="J171" si="83">F171+G171-(H171*1.015)</f>
        <v>188523.3504</v>
      </c>
      <c r="K171" s="892">
        <f>J171*(1+K4)</f>
        <v>189280.35197431306</v>
      </c>
      <c r="L171" s="785"/>
      <c r="M171" s="863"/>
      <c r="N171" s="386"/>
      <c r="O171" s="386"/>
      <c r="P171" s="386"/>
      <c r="Q171" s="386"/>
      <c r="R171" s="386"/>
      <c r="S171" s="386"/>
      <c r="T171" s="386"/>
      <c r="U171" s="386"/>
      <c r="V171" s="386"/>
      <c r="W171" s="386"/>
      <c r="X171" s="386"/>
      <c r="Y171" s="386"/>
      <c r="Z171" s="386"/>
      <c r="AA171" s="386"/>
      <c r="AB171" s="386"/>
      <c r="AC171" s="386"/>
      <c r="AD171" s="386"/>
      <c r="AE171" s="386"/>
      <c r="AF171" s="386"/>
      <c r="AG171" s="386"/>
      <c r="AH171" s="386"/>
      <c r="AI171" s="386"/>
      <c r="AJ171" s="386"/>
      <c r="AK171" s="386"/>
      <c r="AL171" s="386"/>
      <c r="AM171" s="386"/>
      <c r="AN171" s="386"/>
      <c r="AO171" s="386"/>
      <c r="AP171" s="386"/>
      <c r="AQ171" s="386"/>
      <c r="AR171" s="386"/>
      <c r="AS171" s="386"/>
      <c r="AT171" s="386"/>
      <c r="AU171" s="386"/>
      <c r="AV171" s="386"/>
      <c r="AW171" s="386"/>
      <c r="AX171" s="386"/>
      <c r="AY171" s="386"/>
      <c r="AZ171" s="386"/>
      <c r="BA171" s="386"/>
      <c r="BB171" s="386"/>
      <c r="BC171" s="386"/>
      <c r="BD171" s="386"/>
      <c r="BE171" s="386"/>
      <c r="BF171" s="386"/>
      <c r="BG171" s="386"/>
      <c r="BH171" s="386"/>
      <c r="BI171" s="386"/>
      <c r="BJ171" s="386"/>
      <c r="BK171" s="386"/>
      <c r="BL171" s="386"/>
      <c r="BM171" s="386"/>
      <c r="BN171" s="386"/>
      <c r="BO171" s="386"/>
      <c r="BP171" s="386"/>
      <c r="BQ171" s="386"/>
      <c r="BR171" s="386"/>
      <c r="BS171" s="386"/>
      <c r="BT171" s="386"/>
      <c r="BU171" s="386"/>
      <c r="BV171" s="386"/>
      <c r="BW171" s="386"/>
      <c r="BX171" s="386"/>
      <c r="BY171" s="386"/>
      <c r="BZ171" s="386"/>
      <c r="CA171" s="386"/>
      <c r="CB171" s="386"/>
      <c r="CC171" s="386"/>
      <c r="CD171" s="386"/>
      <c r="CE171" s="386"/>
      <c r="CF171" s="386"/>
      <c r="CG171" s="386"/>
      <c r="CH171" s="386"/>
      <c r="CI171" s="386"/>
      <c r="CJ171" s="386"/>
      <c r="CK171" s="386"/>
      <c r="CL171" s="386"/>
      <c r="CM171" s="386"/>
      <c r="CN171" s="386"/>
      <c r="CO171" s="386"/>
      <c r="CP171" s="386"/>
      <c r="CQ171" s="386"/>
      <c r="CR171" s="386"/>
      <c r="CS171" s="386"/>
      <c r="CT171" s="386"/>
      <c r="CU171" s="386"/>
      <c r="CV171" s="386"/>
      <c r="CW171" s="386"/>
      <c r="CX171" s="386"/>
      <c r="CY171" s="386"/>
      <c r="CZ171" s="386"/>
      <c r="DA171" s="386"/>
      <c r="DB171" s="386"/>
      <c r="DC171" s="386"/>
      <c r="DD171" s="386"/>
      <c r="DE171" s="386"/>
      <c r="DF171" s="386"/>
      <c r="DG171" s="386"/>
      <c r="DH171" s="386"/>
      <c r="DI171" s="386"/>
      <c r="DJ171" s="386"/>
      <c r="DK171" s="386"/>
      <c r="DL171" s="386"/>
      <c r="DM171" s="386"/>
      <c r="DN171" s="386"/>
      <c r="DO171" s="386"/>
      <c r="DP171" s="386"/>
      <c r="DQ171" s="386"/>
      <c r="DR171" s="386"/>
      <c r="DS171" s="386"/>
      <c r="DT171" s="386"/>
      <c r="DU171" s="386"/>
      <c r="DV171" s="386"/>
      <c r="DW171" s="386"/>
      <c r="DX171" s="386"/>
      <c r="DY171" s="386"/>
      <c r="DZ171" s="386"/>
      <c r="EA171" s="386"/>
      <c r="EB171" s="386"/>
      <c r="EC171" s="386"/>
      <c r="ED171" s="386"/>
      <c r="EE171" s="386"/>
      <c r="EF171" s="386"/>
      <c r="EG171" s="386"/>
      <c r="EH171" s="386"/>
      <c r="EI171" s="386"/>
      <c r="EJ171" s="386"/>
      <c r="EK171" s="386"/>
      <c r="EL171" s="386"/>
      <c r="EM171" s="386"/>
      <c r="EN171" s="386"/>
      <c r="EO171" s="386"/>
      <c r="EP171" s="386"/>
      <c r="EQ171" s="386"/>
      <c r="ER171" s="386"/>
      <c r="ES171" s="386"/>
      <c r="ET171" s="386"/>
      <c r="EU171" s="386"/>
      <c r="EV171" s="386"/>
      <c r="EW171" s="386"/>
      <c r="EX171" s="386"/>
      <c r="EY171" s="386"/>
      <c r="EZ171" s="386"/>
      <c r="FA171" s="386"/>
      <c r="FB171" s="386"/>
      <c r="FC171" s="386"/>
      <c r="FD171" s="386"/>
      <c r="FE171" s="386"/>
      <c r="FF171" s="386"/>
      <c r="FG171" s="386"/>
      <c r="FH171" s="386"/>
      <c r="FI171" s="386"/>
      <c r="FJ171" s="386"/>
      <c r="FK171" s="386"/>
      <c r="FL171" s="386"/>
      <c r="FM171" s="386"/>
      <c r="FN171" s="386"/>
      <c r="FO171" s="386"/>
      <c r="FP171" s="386"/>
      <c r="FQ171" s="386"/>
      <c r="FR171" s="386"/>
      <c r="FS171" s="386"/>
      <c r="FT171" s="386"/>
      <c r="FU171" s="386"/>
      <c r="FV171" s="386"/>
      <c r="FW171" s="386"/>
      <c r="FX171" s="386"/>
      <c r="FY171" s="386"/>
      <c r="FZ171" s="386"/>
      <c r="GA171" s="386"/>
      <c r="GB171" s="386"/>
      <c r="GC171" s="386"/>
      <c r="GD171" s="386"/>
      <c r="GE171" s="386"/>
      <c r="GF171" s="386"/>
      <c r="GG171" s="386"/>
      <c r="GH171" s="386"/>
      <c r="GI171" s="386"/>
      <c r="GJ171" s="386"/>
      <c r="GK171" s="386"/>
      <c r="GL171" s="386"/>
      <c r="GM171" s="386"/>
      <c r="GN171" s="386"/>
      <c r="GO171" s="386"/>
      <c r="GP171" s="386"/>
      <c r="GQ171" s="386"/>
      <c r="GR171" s="386"/>
      <c r="GS171" s="386"/>
      <c r="GT171" s="386"/>
      <c r="GU171" s="386"/>
      <c r="GV171" s="386"/>
      <c r="GW171" s="386"/>
      <c r="GX171" s="386"/>
      <c r="GY171" s="386"/>
      <c r="GZ171" s="386"/>
      <c r="HA171" s="386"/>
      <c r="HB171" s="386"/>
      <c r="HC171" s="386"/>
      <c r="HD171" s="386"/>
      <c r="HE171" s="386"/>
      <c r="HF171" s="386"/>
      <c r="HG171" s="386"/>
      <c r="HH171" s="386"/>
      <c r="HI171" s="386"/>
      <c r="HJ171" s="386"/>
      <c r="HK171" s="386"/>
      <c r="HL171" s="386"/>
      <c r="HM171" s="386"/>
      <c r="HN171" s="386"/>
      <c r="HO171" s="386"/>
      <c r="HP171" s="386"/>
      <c r="HQ171" s="386"/>
      <c r="HR171" s="386"/>
      <c r="HS171" s="386"/>
      <c r="HT171" s="386"/>
      <c r="HU171" s="386"/>
      <c r="HV171" s="386"/>
      <c r="HW171" s="386"/>
      <c r="HX171" s="386"/>
      <c r="HY171" s="386"/>
      <c r="HZ171" s="386"/>
      <c r="IA171" s="386"/>
      <c r="IB171" s="386"/>
      <c r="IC171" s="386"/>
      <c r="ID171" s="386"/>
      <c r="IE171" s="386"/>
      <c r="IF171" s="386"/>
      <c r="IG171" s="386"/>
      <c r="IH171" s="386"/>
      <c r="II171" s="386"/>
      <c r="IJ171" s="386"/>
      <c r="IK171" s="386"/>
      <c r="IL171" s="386"/>
      <c r="IM171" s="386"/>
      <c r="IN171" s="386"/>
      <c r="IO171" s="386"/>
      <c r="IP171" s="386"/>
      <c r="IQ171" s="386"/>
      <c r="IR171" s="386"/>
      <c r="IS171" s="386"/>
      <c r="IT171" s="386"/>
      <c r="IU171" s="386"/>
      <c r="IV171" s="386"/>
      <c r="IW171" s="386"/>
      <c r="IX171" s="386"/>
      <c r="IY171" s="386"/>
      <c r="IZ171" s="386"/>
      <c r="JA171" s="386"/>
      <c r="JB171" s="386"/>
      <c r="JC171" s="386"/>
      <c r="JD171" s="386"/>
      <c r="JE171" s="386"/>
      <c r="JF171" s="386"/>
      <c r="JG171" s="386"/>
      <c r="JH171" s="386"/>
      <c r="JI171" s="386"/>
      <c r="JJ171" s="386"/>
      <c r="JK171" s="386"/>
      <c r="JL171" s="386"/>
      <c r="JM171" s="386"/>
      <c r="JN171" s="386"/>
      <c r="JO171" s="386"/>
      <c r="JP171" s="386"/>
      <c r="JQ171" s="386"/>
      <c r="JR171" s="386"/>
      <c r="JS171" s="386"/>
      <c r="JT171" s="386"/>
      <c r="JU171" s="386"/>
      <c r="JV171" s="386"/>
      <c r="JW171" s="386"/>
      <c r="JX171" s="386"/>
      <c r="JY171" s="386"/>
      <c r="JZ171" s="386"/>
      <c r="KA171" s="386"/>
      <c r="KB171" s="386"/>
      <c r="KC171" s="386"/>
      <c r="KD171" s="386"/>
      <c r="KE171" s="386"/>
      <c r="KF171" s="386"/>
      <c r="KG171" s="386"/>
      <c r="KH171" s="386"/>
      <c r="KI171" s="386"/>
      <c r="KJ171" s="386"/>
      <c r="KK171" s="386"/>
      <c r="KL171" s="386"/>
      <c r="KM171" s="386"/>
      <c r="KN171" s="386"/>
      <c r="KO171" s="386"/>
      <c r="KP171" s="386"/>
      <c r="KQ171" s="386"/>
      <c r="KR171" s="386"/>
      <c r="KS171" s="386"/>
      <c r="KT171" s="386"/>
      <c r="KU171" s="386"/>
      <c r="KV171" s="386"/>
      <c r="KW171" s="386"/>
      <c r="KX171" s="386"/>
      <c r="KY171" s="386"/>
      <c r="KZ171" s="386"/>
      <c r="LA171" s="386"/>
      <c r="LB171" s="386"/>
      <c r="LC171" s="386"/>
      <c r="LD171" s="386"/>
      <c r="LE171" s="386"/>
      <c r="LF171" s="386"/>
      <c r="LG171" s="386"/>
      <c r="LH171" s="386"/>
      <c r="LI171" s="386"/>
      <c r="LJ171" s="386"/>
      <c r="LK171" s="386"/>
      <c r="LL171" s="386"/>
      <c r="LM171" s="386"/>
      <c r="LN171" s="386"/>
      <c r="LO171" s="386"/>
      <c r="LP171" s="386"/>
      <c r="LQ171" s="386"/>
      <c r="LR171" s="386"/>
      <c r="LS171" s="386"/>
      <c r="LT171" s="386"/>
      <c r="LU171" s="386"/>
      <c r="LV171" s="386"/>
      <c r="LW171" s="386"/>
      <c r="LX171" s="386"/>
      <c r="LY171" s="386"/>
      <c r="LZ171" s="386"/>
      <c r="MA171" s="386"/>
      <c r="MB171" s="386"/>
      <c r="MC171" s="386"/>
      <c r="MD171" s="386"/>
      <c r="ME171" s="386"/>
      <c r="MF171" s="386"/>
      <c r="MG171" s="386"/>
      <c r="MH171" s="386"/>
      <c r="MI171" s="386"/>
      <c r="MJ171" s="386"/>
      <c r="MK171" s="386"/>
      <c r="ML171" s="386"/>
      <c r="MM171" s="386"/>
      <c r="MN171" s="386"/>
      <c r="MO171" s="386"/>
      <c r="MP171" s="386"/>
      <c r="MQ171" s="386"/>
      <c r="MR171" s="386"/>
      <c r="MS171" s="386"/>
      <c r="MT171" s="386"/>
      <c r="MU171" s="386"/>
      <c r="MV171" s="386"/>
      <c r="MW171" s="386"/>
      <c r="MX171" s="386"/>
      <c r="MY171" s="386"/>
      <c r="MZ171" s="386"/>
      <c r="NA171" s="386"/>
      <c r="NB171" s="386"/>
      <c r="NC171" s="386"/>
      <c r="ND171" s="386"/>
      <c r="NE171" s="386"/>
      <c r="NF171" s="386"/>
      <c r="NG171" s="386"/>
      <c r="NH171" s="386"/>
      <c r="NI171" s="386"/>
      <c r="NJ171" s="386"/>
      <c r="NK171" s="386"/>
      <c r="NL171" s="386"/>
      <c r="NM171" s="386"/>
      <c r="NN171" s="386"/>
      <c r="NO171" s="386"/>
      <c r="NP171" s="386"/>
      <c r="NQ171" s="386"/>
      <c r="NR171" s="386"/>
      <c r="NS171" s="386"/>
      <c r="NT171" s="386"/>
      <c r="NU171" s="386"/>
      <c r="NV171" s="386"/>
      <c r="NW171" s="386"/>
      <c r="NX171" s="386"/>
      <c r="NY171" s="386"/>
      <c r="NZ171" s="386"/>
      <c r="OA171" s="386"/>
      <c r="OB171" s="386"/>
      <c r="OC171" s="386"/>
      <c r="OD171" s="386"/>
      <c r="OE171" s="386"/>
      <c r="OF171" s="386"/>
      <c r="OG171" s="386"/>
      <c r="OH171" s="386"/>
      <c r="OI171" s="386"/>
      <c r="OJ171" s="386"/>
      <c r="OK171" s="386"/>
      <c r="OL171" s="386"/>
      <c r="OM171" s="386"/>
      <c r="ON171" s="386"/>
      <c r="OO171" s="386"/>
      <c r="OP171" s="386"/>
      <c r="OQ171" s="386"/>
      <c r="OR171" s="386"/>
      <c r="OS171" s="386"/>
      <c r="OT171" s="386"/>
      <c r="OU171" s="386"/>
      <c r="OV171" s="386"/>
      <c r="OW171" s="386"/>
      <c r="OX171" s="386"/>
      <c r="OY171" s="386"/>
      <c r="OZ171" s="386"/>
      <c r="PA171" s="386"/>
      <c r="PB171" s="386"/>
      <c r="PC171" s="386"/>
      <c r="PD171" s="386"/>
      <c r="PE171" s="386"/>
      <c r="PF171" s="386"/>
      <c r="PG171" s="386"/>
      <c r="PH171" s="386"/>
      <c r="PI171" s="386"/>
      <c r="PJ171" s="386"/>
      <c r="PK171" s="386"/>
      <c r="PL171" s="386"/>
      <c r="PM171" s="386"/>
      <c r="PN171" s="386"/>
      <c r="PO171" s="386"/>
      <c r="PP171" s="386"/>
      <c r="PQ171" s="386"/>
      <c r="PR171" s="386"/>
      <c r="PS171" s="386"/>
      <c r="PT171" s="386"/>
      <c r="PU171" s="386"/>
      <c r="PV171" s="386"/>
      <c r="PW171" s="386"/>
      <c r="PX171" s="386"/>
      <c r="PY171" s="386"/>
      <c r="PZ171" s="386"/>
      <c r="QA171" s="386"/>
      <c r="QB171" s="386"/>
      <c r="QC171" s="386"/>
      <c r="QD171" s="386"/>
      <c r="QE171" s="386"/>
      <c r="QF171" s="386"/>
      <c r="QG171" s="386"/>
      <c r="QH171" s="386"/>
      <c r="QI171" s="386"/>
      <c r="QJ171" s="386"/>
      <c r="QK171" s="386"/>
      <c r="QL171" s="386"/>
      <c r="QM171" s="386"/>
      <c r="QN171" s="386"/>
      <c r="QO171" s="386"/>
      <c r="QP171" s="386"/>
      <c r="QQ171" s="386"/>
      <c r="QR171" s="386"/>
      <c r="QS171" s="386"/>
      <c r="QT171" s="386"/>
      <c r="QU171" s="386"/>
      <c r="QV171" s="386"/>
      <c r="QW171" s="386"/>
      <c r="QX171" s="386"/>
      <c r="QY171" s="386"/>
      <c r="QZ171" s="386"/>
      <c r="RA171" s="386"/>
      <c r="RB171" s="386"/>
      <c r="RC171" s="386"/>
      <c r="RD171" s="386"/>
      <c r="RE171" s="386"/>
      <c r="RF171" s="386"/>
      <c r="RG171" s="386"/>
      <c r="RH171" s="386"/>
      <c r="RI171" s="386"/>
      <c r="RJ171" s="386"/>
      <c r="RK171" s="386"/>
      <c r="RL171" s="386"/>
      <c r="RM171" s="386"/>
      <c r="RN171" s="386"/>
      <c r="RO171" s="386"/>
      <c r="RP171" s="386"/>
      <c r="RQ171" s="386"/>
      <c r="RR171" s="386"/>
      <c r="RS171" s="386"/>
      <c r="RT171" s="386"/>
      <c r="RU171" s="386"/>
      <c r="RV171" s="386"/>
      <c r="RW171" s="386"/>
      <c r="RX171" s="386"/>
      <c r="RY171" s="386"/>
      <c r="RZ171" s="386"/>
      <c r="SA171" s="386"/>
      <c r="SB171" s="386"/>
      <c r="SC171" s="386"/>
      <c r="SD171" s="386"/>
      <c r="SE171" s="386"/>
      <c r="SF171" s="386"/>
      <c r="SG171" s="386"/>
      <c r="SH171" s="386"/>
      <c r="SI171" s="386"/>
      <c r="SJ171" s="386"/>
      <c r="SK171" s="386"/>
      <c r="SL171" s="386"/>
      <c r="SM171" s="386"/>
      <c r="SN171" s="386"/>
      <c r="SO171" s="386"/>
      <c r="SP171" s="386"/>
      <c r="SQ171" s="386"/>
      <c r="SR171" s="386"/>
      <c r="SS171" s="386"/>
      <c r="ST171" s="386"/>
      <c r="SU171" s="386"/>
      <c r="SV171" s="386"/>
      <c r="SW171" s="386"/>
      <c r="SX171" s="386"/>
      <c r="SY171" s="386"/>
      <c r="SZ171" s="386"/>
      <c r="TA171" s="386"/>
      <c r="TB171" s="386"/>
      <c r="TC171" s="386"/>
      <c r="TD171" s="386"/>
      <c r="TE171" s="386"/>
      <c r="TF171" s="386"/>
      <c r="TG171" s="386"/>
      <c r="TH171" s="386"/>
      <c r="TI171" s="386"/>
      <c r="TJ171" s="386"/>
      <c r="TK171" s="386"/>
      <c r="TL171" s="386"/>
      <c r="TM171" s="386"/>
      <c r="TN171" s="386"/>
      <c r="TO171" s="386"/>
      <c r="TP171" s="386"/>
      <c r="TQ171" s="386"/>
      <c r="TR171" s="386"/>
      <c r="TS171" s="386"/>
      <c r="TT171" s="386"/>
      <c r="TU171" s="386"/>
      <c r="TV171" s="386"/>
      <c r="TW171" s="386"/>
      <c r="TX171" s="386"/>
      <c r="TY171" s="386"/>
      <c r="TZ171" s="386"/>
      <c r="UA171" s="386"/>
      <c r="UB171" s="386"/>
      <c r="UC171" s="386"/>
      <c r="UD171" s="386"/>
      <c r="UE171" s="386"/>
      <c r="UF171" s="386"/>
      <c r="UG171" s="386"/>
      <c r="UH171" s="386"/>
      <c r="UI171" s="386"/>
      <c r="UJ171" s="386"/>
      <c r="UK171" s="386"/>
      <c r="UL171" s="386"/>
      <c r="UM171" s="386"/>
      <c r="UN171" s="386"/>
      <c r="UO171" s="386"/>
      <c r="UP171" s="386"/>
      <c r="UQ171" s="386"/>
      <c r="UR171" s="386"/>
      <c r="US171" s="386"/>
      <c r="UT171" s="386"/>
      <c r="UU171" s="386"/>
      <c r="UV171" s="386"/>
      <c r="UW171" s="386"/>
      <c r="UX171" s="386"/>
      <c r="UY171" s="386"/>
      <c r="UZ171" s="386"/>
      <c r="VA171" s="386"/>
      <c r="VB171" s="386"/>
      <c r="VC171" s="386"/>
      <c r="VD171" s="386"/>
      <c r="VE171" s="386"/>
      <c r="VF171" s="386"/>
      <c r="VG171" s="386"/>
      <c r="VH171" s="386"/>
      <c r="VI171" s="386"/>
      <c r="VJ171" s="386"/>
      <c r="VK171" s="386"/>
      <c r="VL171" s="386"/>
      <c r="VM171" s="386"/>
      <c r="VN171" s="386"/>
      <c r="VO171" s="386"/>
      <c r="VP171" s="386"/>
      <c r="VQ171" s="386"/>
      <c r="VR171" s="386"/>
      <c r="VS171" s="386"/>
      <c r="VT171" s="386"/>
      <c r="VU171" s="386"/>
      <c r="VV171" s="386"/>
      <c r="VW171" s="386"/>
      <c r="VX171" s="386"/>
      <c r="VY171" s="386"/>
      <c r="VZ171" s="386"/>
      <c r="WA171" s="386"/>
      <c r="WB171" s="386"/>
      <c r="WC171" s="386"/>
      <c r="WD171" s="386"/>
      <c r="WE171" s="386"/>
      <c r="WF171" s="386"/>
      <c r="WG171" s="386"/>
      <c r="WH171" s="386"/>
      <c r="WI171" s="386"/>
      <c r="WJ171" s="386"/>
      <c r="WK171" s="386"/>
      <c r="WL171" s="386"/>
      <c r="WM171" s="386"/>
      <c r="WN171" s="386"/>
      <c r="WO171" s="386"/>
      <c r="WP171" s="386"/>
      <c r="WQ171" s="386"/>
      <c r="WR171" s="386"/>
      <c r="WS171" s="386"/>
      <c r="WT171" s="386"/>
      <c r="WU171" s="386"/>
      <c r="WV171" s="386"/>
      <c r="WW171" s="386"/>
      <c r="WX171" s="386"/>
      <c r="WY171" s="386"/>
      <c r="WZ171" s="386"/>
      <c r="XA171" s="386"/>
      <c r="XB171" s="386"/>
      <c r="XC171" s="386"/>
      <c r="XD171" s="386"/>
      <c r="XE171" s="386"/>
      <c r="XF171" s="386"/>
      <c r="XG171" s="386"/>
      <c r="XH171" s="386"/>
      <c r="XI171" s="386"/>
      <c r="XJ171" s="386"/>
      <c r="XK171" s="386"/>
      <c r="XL171" s="386"/>
      <c r="XM171" s="386"/>
      <c r="XN171" s="386"/>
      <c r="XO171" s="386"/>
      <c r="XP171" s="386"/>
      <c r="XQ171" s="386"/>
      <c r="XR171" s="386"/>
      <c r="XS171" s="386"/>
      <c r="XT171" s="386"/>
      <c r="XU171" s="386"/>
      <c r="XV171" s="386"/>
      <c r="XW171" s="386"/>
      <c r="XX171" s="386"/>
      <c r="XY171" s="386"/>
      <c r="XZ171" s="386"/>
      <c r="YA171" s="386"/>
      <c r="YB171" s="386"/>
      <c r="YC171" s="386"/>
      <c r="YD171" s="386"/>
      <c r="YE171" s="386"/>
      <c r="YF171" s="386"/>
      <c r="YG171" s="386"/>
      <c r="YH171" s="386"/>
      <c r="YI171" s="386"/>
      <c r="YJ171" s="386"/>
      <c r="YK171" s="386"/>
      <c r="YL171" s="386"/>
      <c r="YM171" s="386"/>
      <c r="YN171" s="386"/>
      <c r="YO171" s="386"/>
      <c r="YP171" s="386"/>
      <c r="YQ171" s="386"/>
      <c r="YR171" s="386"/>
      <c r="YS171" s="386"/>
      <c r="YT171" s="386"/>
      <c r="YU171" s="386"/>
      <c r="YV171" s="386"/>
      <c r="YW171" s="386"/>
      <c r="YX171" s="386"/>
      <c r="YY171" s="386"/>
      <c r="YZ171" s="386"/>
      <c r="ZA171" s="386"/>
      <c r="ZB171" s="386"/>
      <c r="ZC171" s="386"/>
      <c r="ZD171" s="386"/>
      <c r="ZE171" s="386"/>
      <c r="ZF171" s="386"/>
      <c r="ZG171" s="386"/>
      <c r="ZH171" s="386"/>
      <c r="ZI171" s="386"/>
      <c r="ZJ171" s="386"/>
      <c r="ZK171" s="386"/>
      <c r="ZL171" s="386"/>
      <c r="ZM171" s="386"/>
      <c r="ZN171" s="386"/>
      <c r="ZO171" s="386"/>
      <c r="ZP171" s="386"/>
      <c r="ZQ171" s="386"/>
      <c r="ZR171" s="386"/>
      <c r="ZS171" s="386"/>
      <c r="ZT171" s="386"/>
      <c r="ZU171" s="386"/>
      <c r="ZV171" s="386"/>
      <c r="ZW171" s="386"/>
      <c r="ZX171" s="386"/>
      <c r="ZY171" s="386"/>
      <c r="ZZ171" s="386"/>
      <c r="AAA171" s="386"/>
      <c r="AAB171" s="386"/>
      <c r="AAC171" s="386"/>
      <c r="AAD171" s="386"/>
      <c r="AAE171" s="386"/>
      <c r="AAF171" s="386"/>
      <c r="AAG171" s="386"/>
      <c r="AAH171" s="386"/>
      <c r="AAI171" s="386"/>
      <c r="AAJ171" s="386"/>
      <c r="AAK171" s="386"/>
      <c r="AAL171" s="386"/>
      <c r="AAM171" s="386"/>
      <c r="AAN171" s="386"/>
      <c r="AAO171" s="386"/>
      <c r="AAP171" s="386"/>
      <c r="AAQ171" s="386"/>
      <c r="AAR171" s="386"/>
      <c r="AAS171" s="386"/>
      <c r="AAT171" s="386"/>
      <c r="AAU171" s="386"/>
      <c r="AAV171" s="386"/>
      <c r="AAW171" s="386"/>
      <c r="AAX171" s="386"/>
      <c r="AAY171" s="386"/>
      <c r="AAZ171" s="386"/>
      <c r="ABA171" s="386"/>
      <c r="ABB171" s="386"/>
      <c r="ABC171" s="386"/>
      <c r="ABD171" s="386"/>
      <c r="ABE171" s="386"/>
      <c r="ABF171" s="386"/>
      <c r="ABG171" s="386"/>
      <c r="ABH171" s="386"/>
      <c r="ABI171" s="386"/>
      <c r="ABJ171" s="386"/>
      <c r="ABK171" s="386"/>
      <c r="ABL171" s="386"/>
      <c r="ABM171" s="386"/>
      <c r="ABN171" s="386"/>
      <c r="ABO171" s="386"/>
      <c r="ABP171" s="386"/>
      <c r="ABQ171" s="386"/>
      <c r="ABR171" s="386"/>
      <c r="ABS171" s="386"/>
      <c r="ABT171" s="386"/>
      <c r="ABU171" s="386"/>
      <c r="ABV171" s="386"/>
      <c r="ABW171" s="386"/>
      <c r="ABX171" s="386"/>
      <c r="ABY171" s="386"/>
      <c r="ABZ171" s="386"/>
      <c r="ACA171" s="386"/>
      <c r="ACB171" s="386"/>
      <c r="ACC171" s="386"/>
      <c r="ACD171" s="386"/>
      <c r="ACE171" s="386"/>
      <c r="ACF171" s="386"/>
      <c r="ACG171" s="386"/>
      <c r="ACH171" s="386"/>
      <c r="ACI171" s="386"/>
      <c r="ACJ171" s="386"/>
      <c r="ACK171" s="386"/>
      <c r="ACL171" s="386"/>
      <c r="ACM171" s="386"/>
      <c r="ACN171" s="386"/>
      <c r="ACO171" s="386"/>
      <c r="ACP171" s="386"/>
      <c r="ACQ171" s="386"/>
      <c r="ACR171" s="386"/>
      <c r="ACS171" s="386"/>
      <c r="ACT171" s="386"/>
      <c r="ACU171" s="386"/>
      <c r="ACV171" s="386"/>
      <c r="ACW171" s="386"/>
      <c r="ACX171" s="386"/>
      <c r="ACY171" s="386"/>
      <c r="ACZ171" s="386"/>
      <c r="ADA171" s="386"/>
      <c r="ADB171" s="386"/>
      <c r="ADC171" s="386"/>
      <c r="ADD171" s="386"/>
      <c r="ADE171" s="386"/>
      <c r="ADF171" s="386"/>
      <c r="ADG171" s="386"/>
      <c r="ADH171" s="386"/>
      <c r="ADI171" s="386"/>
      <c r="ADJ171" s="386"/>
      <c r="ADK171" s="386"/>
      <c r="ADL171" s="386"/>
      <c r="ADM171" s="386"/>
      <c r="ADN171" s="386"/>
      <c r="ADO171" s="386"/>
      <c r="ADP171" s="386"/>
      <c r="ADQ171" s="386"/>
      <c r="ADR171" s="386"/>
      <c r="ADS171" s="386"/>
      <c r="ADT171" s="386"/>
      <c r="ADU171" s="386"/>
      <c r="ADV171" s="386"/>
      <c r="ADW171" s="386"/>
      <c r="ADX171" s="386"/>
      <c r="ADY171" s="386"/>
      <c r="ADZ171" s="386"/>
      <c r="AEA171" s="386"/>
      <c r="AEB171" s="386"/>
      <c r="AEC171" s="386"/>
      <c r="AED171" s="386"/>
      <c r="AEE171" s="386"/>
      <c r="AEF171" s="386"/>
      <c r="AEG171" s="386"/>
      <c r="AEH171" s="386"/>
      <c r="AEI171" s="386"/>
      <c r="AEJ171" s="386"/>
      <c r="AEK171" s="386"/>
      <c r="AEL171" s="386"/>
      <c r="AEM171" s="386"/>
      <c r="AEN171" s="386"/>
      <c r="AEO171" s="386"/>
      <c r="AEP171" s="386"/>
      <c r="AEQ171" s="386"/>
      <c r="AER171" s="386"/>
      <c r="AES171" s="386"/>
      <c r="AET171" s="386"/>
      <c r="AEU171" s="386"/>
      <c r="AEV171" s="386"/>
      <c r="AEW171" s="386"/>
      <c r="AEX171" s="386"/>
      <c r="AEY171" s="386"/>
      <c r="AEZ171" s="386"/>
      <c r="AFA171" s="386"/>
      <c r="AFB171" s="386"/>
      <c r="AFC171" s="386"/>
      <c r="AFD171" s="386"/>
      <c r="AFE171" s="386"/>
      <c r="AFF171" s="386"/>
      <c r="AFG171" s="386"/>
      <c r="AFH171" s="386"/>
      <c r="AFI171" s="386"/>
      <c r="AFJ171" s="386"/>
      <c r="AFK171" s="386"/>
      <c r="AFL171" s="386"/>
      <c r="AFM171" s="386"/>
      <c r="AFN171" s="386"/>
      <c r="AFO171" s="386"/>
      <c r="AFP171" s="386"/>
      <c r="AFQ171" s="386"/>
      <c r="AFR171" s="386"/>
      <c r="AFS171" s="386"/>
      <c r="AFT171" s="386"/>
      <c r="AFU171" s="386"/>
      <c r="AFV171" s="386"/>
      <c r="AFW171" s="386"/>
      <c r="AFX171" s="386"/>
      <c r="AFY171" s="386"/>
      <c r="AFZ171" s="386"/>
      <c r="AGA171" s="386"/>
      <c r="AGB171" s="386"/>
      <c r="AGC171" s="386"/>
      <c r="AGD171" s="386"/>
      <c r="AGE171" s="386"/>
      <c r="AGF171" s="386"/>
      <c r="AGG171" s="386"/>
      <c r="AGH171" s="386"/>
      <c r="AGI171" s="386"/>
      <c r="AGJ171" s="386"/>
      <c r="AGK171" s="386"/>
      <c r="AGL171" s="386"/>
      <c r="AGM171" s="386"/>
      <c r="AGN171" s="386"/>
      <c r="AGO171" s="386"/>
      <c r="AGP171" s="386"/>
      <c r="AGQ171" s="386"/>
      <c r="AGR171" s="386"/>
      <c r="AGS171" s="386"/>
      <c r="AGT171" s="386"/>
      <c r="AGU171" s="386"/>
      <c r="AGV171" s="386"/>
      <c r="AGW171" s="386"/>
      <c r="AGX171" s="386"/>
      <c r="AGY171" s="386"/>
      <c r="AGZ171" s="386"/>
      <c r="AHA171" s="386"/>
      <c r="AHB171" s="386"/>
      <c r="AHC171" s="386"/>
      <c r="AHD171" s="386"/>
      <c r="AHE171" s="386"/>
      <c r="AHF171" s="386"/>
      <c r="AHG171" s="386"/>
      <c r="AHH171" s="386"/>
      <c r="AHI171" s="386"/>
      <c r="AHJ171" s="386"/>
      <c r="AHK171" s="386"/>
      <c r="AHL171" s="386"/>
      <c r="AHM171" s="386"/>
      <c r="AHN171" s="386"/>
      <c r="AHO171" s="386"/>
      <c r="AHP171" s="386"/>
      <c r="AHQ171" s="386"/>
      <c r="AHR171" s="386"/>
      <c r="AHS171" s="386"/>
      <c r="AHT171" s="386"/>
      <c r="AHU171" s="386"/>
      <c r="AHV171" s="386"/>
      <c r="AHW171" s="386"/>
      <c r="AHX171" s="386"/>
      <c r="AHY171" s="386"/>
      <c r="AHZ171" s="386"/>
      <c r="AIA171" s="386"/>
      <c r="AIB171" s="386"/>
      <c r="AIC171" s="386"/>
      <c r="AID171" s="386"/>
      <c r="AIE171" s="386"/>
      <c r="AIF171" s="386"/>
      <c r="AIG171" s="386"/>
      <c r="AIH171" s="386"/>
      <c r="AII171" s="386"/>
      <c r="AIJ171" s="386"/>
      <c r="AIK171" s="386"/>
      <c r="AIL171" s="386"/>
      <c r="AIM171" s="386"/>
      <c r="AIN171" s="386"/>
      <c r="AIO171" s="386"/>
      <c r="AIP171" s="386"/>
      <c r="AIQ171" s="386"/>
      <c r="AIR171" s="386"/>
      <c r="AIS171" s="386"/>
      <c r="AIT171" s="386"/>
      <c r="AIU171" s="386"/>
      <c r="AIV171" s="386"/>
      <c r="AIW171" s="386"/>
      <c r="AIX171" s="386"/>
      <c r="AIY171" s="386"/>
      <c r="AIZ171" s="386"/>
      <c r="AJA171" s="386"/>
      <c r="AJB171" s="386"/>
      <c r="AJC171" s="386"/>
      <c r="AJD171" s="386"/>
      <c r="AJE171" s="386"/>
      <c r="AJF171" s="386"/>
      <c r="AJG171" s="386"/>
      <c r="AJH171" s="386"/>
      <c r="AJI171" s="386"/>
      <c r="AJJ171" s="386"/>
      <c r="AJK171" s="386"/>
      <c r="AJL171" s="386"/>
      <c r="AJM171" s="386"/>
      <c r="AJN171" s="386"/>
      <c r="AJO171" s="386"/>
      <c r="AJP171" s="386"/>
      <c r="AJQ171" s="386"/>
      <c r="AJR171" s="386"/>
      <c r="AJS171" s="386"/>
      <c r="AJT171" s="386"/>
      <c r="AJU171" s="386"/>
      <c r="AJV171" s="386"/>
      <c r="AJW171" s="386"/>
      <c r="AJX171" s="386"/>
      <c r="AJY171" s="386"/>
      <c r="AJZ171" s="386"/>
      <c r="AKA171" s="386"/>
      <c r="AKB171" s="386"/>
      <c r="AKC171" s="386"/>
      <c r="AKD171" s="386"/>
      <c r="AKE171" s="386"/>
      <c r="AKF171" s="386"/>
      <c r="AKG171" s="386"/>
      <c r="AKH171" s="386"/>
      <c r="AKI171" s="386"/>
      <c r="AKJ171" s="386"/>
      <c r="AKK171" s="386"/>
      <c r="AKL171" s="386"/>
      <c r="AKM171" s="386"/>
      <c r="AKN171" s="386"/>
      <c r="AKO171" s="386"/>
      <c r="AKP171" s="386"/>
      <c r="AKQ171" s="386"/>
      <c r="AKR171" s="386"/>
      <c r="AKS171" s="386"/>
      <c r="AKT171" s="386"/>
      <c r="AKU171" s="386"/>
      <c r="AKV171" s="386"/>
      <c r="AKW171" s="386"/>
      <c r="AKX171" s="386"/>
      <c r="AKY171" s="386"/>
      <c r="AKZ171" s="386"/>
      <c r="ALA171" s="386"/>
      <c r="ALB171" s="386"/>
      <c r="ALC171" s="386"/>
      <c r="ALD171" s="386"/>
      <c r="ALE171" s="386"/>
      <c r="ALF171" s="386"/>
      <c r="ALG171" s="386"/>
      <c r="ALH171" s="386"/>
      <c r="ALI171" s="386"/>
      <c r="ALJ171" s="386"/>
      <c r="ALK171" s="386"/>
      <c r="ALL171" s="386"/>
      <c r="ALM171" s="386"/>
      <c r="ALN171" s="386"/>
      <c r="ALO171" s="386"/>
      <c r="ALP171" s="386"/>
      <c r="ALQ171" s="386"/>
      <c r="ALR171" s="386"/>
      <c r="ALS171" s="386"/>
      <c r="ALT171" s="386"/>
      <c r="ALU171" s="386"/>
      <c r="ALV171" s="386"/>
      <c r="ALW171" s="386"/>
      <c r="ALX171" s="386"/>
      <c r="ALY171" s="386"/>
      <c r="ALZ171" s="386"/>
      <c r="AMA171" s="386"/>
      <c r="AMB171" s="386"/>
      <c r="AMC171" s="386"/>
      <c r="AMD171" s="386"/>
      <c r="AME171" s="386"/>
      <c r="AMF171" s="386"/>
      <c r="AMG171" s="386"/>
      <c r="AMH171" s="386"/>
      <c r="AMI171" s="386"/>
      <c r="AMJ171" s="386"/>
      <c r="AMK171" s="386"/>
    </row>
    <row r="172" spans="1:1025" ht="18.75">
      <c r="A172" s="923"/>
      <c r="B172" s="923"/>
      <c r="C172" s="507"/>
      <c r="D172" s="915" t="s">
        <v>2338</v>
      </c>
      <c r="E172" s="891"/>
      <c r="F172" s="911">
        <f>SUM(F160:F171)</f>
        <v>6860753.3949000137</v>
      </c>
      <c r="G172" s="911">
        <f t="shared" ref="G172:K172" si="84">SUM(G160:G171)</f>
        <v>0</v>
      </c>
      <c r="H172" s="911">
        <f t="shared" si="84"/>
        <v>134971</v>
      </c>
      <c r="I172" s="911">
        <f t="shared" si="84"/>
        <v>6725782.3949000137</v>
      </c>
      <c r="J172" s="911">
        <f t="shared" si="84"/>
        <v>6723757.8299000133</v>
      </c>
      <c r="K172" s="911">
        <f t="shared" si="84"/>
        <v>6750756.5823183991</v>
      </c>
      <c r="L172" s="785">
        <v>8208894.4554338902</v>
      </c>
      <c r="M172" s="863">
        <f t="shared" ref="M172:M180" si="85">K172/L172</f>
        <v>0.82237098052219759</v>
      </c>
      <c r="N172" s="379">
        <f t="shared" ref="N172:N186" si="86">K172/O172</f>
        <v>1.1722994259534327</v>
      </c>
      <c r="O172" s="379">
        <v>5758560</v>
      </c>
      <c r="P172" s="379">
        <v>7376968.0259964699</v>
      </c>
      <c r="Q172" s="379">
        <f>K172/P172</f>
        <v>0.91511262601772181</v>
      </c>
      <c r="R172" s="765">
        <v>8075284.8009429611</v>
      </c>
      <c r="S172" s="379">
        <v>8373790.9999999804</v>
      </c>
      <c r="T172" s="386">
        <f t="shared" si="55"/>
        <v>0.83597752261692426</v>
      </c>
      <c r="U172" s="765">
        <f>K172-S172</f>
        <v>-1623034.4176815813</v>
      </c>
      <c r="V172" s="379">
        <v>8208894.4554338902</v>
      </c>
    </row>
    <row r="173" spans="1:1025" ht="15.75">
      <c r="A173" s="503"/>
      <c r="B173" s="503"/>
      <c r="C173" s="507"/>
      <c r="D173" s="893" t="s">
        <v>216</v>
      </c>
      <c r="E173" s="891"/>
      <c r="F173" s="924"/>
      <c r="G173" s="925"/>
      <c r="H173" s="924"/>
      <c r="I173" s="507"/>
      <c r="J173" s="894"/>
      <c r="K173" s="892"/>
      <c r="L173" s="785"/>
      <c r="M173" s="863" t="e">
        <f t="shared" si="85"/>
        <v>#DIV/0!</v>
      </c>
      <c r="N173" s="379" t="e">
        <f t="shared" si="86"/>
        <v>#DIV/0!</v>
      </c>
      <c r="P173" s="379">
        <v>682117.737906005</v>
      </c>
      <c r="Q173" s="379">
        <f>K173/P173</f>
        <v>0</v>
      </c>
      <c r="S173" s="379">
        <v>619144.75834395003</v>
      </c>
      <c r="T173" s="386" t="e">
        <f t="shared" si="55"/>
        <v>#DIV/0!</v>
      </c>
      <c r="U173" s="379">
        <f>(K172-S172)/K172</f>
        <v>-0.24042259528845072</v>
      </c>
    </row>
    <row r="174" spans="1:1025" ht="15" customHeight="1">
      <c r="A174" s="503">
        <v>46</v>
      </c>
      <c r="B174" s="1347" t="s">
        <v>2339</v>
      </c>
      <c r="C174" s="507" t="s">
        <v>2340</v>
      </c>
      <c r="D174" s="586" t="s">
        <v>1937</v>
      </c>
      <c r="E174" s="878"/>
      <c r="F174" s="860">
        <f>'SS INPUT'!J569</f>
        <v>490600.00000000582</v>
      </c>
      <c r="G174" s="908"/>
      <c r="H174" s="503"/>
      <c r="I174" s="507">
        <f t="shared" ref="I174:I190" si="87">F174+G174-H174</f>
        <v>490600.00000000582</v>
      </c>
      <c r="J174" s="894">
        <f t="shared" ref="J174:J190" si="88">F174+G174-(H174*1.015)</f>
        <v>490600.00000000582</v>
      </c>
      <c r="K174" s="892">
        <f>J174*(1+K4)</f>
        <v>492569.9680255581</v>
      </c>
      <c r="L174" s="785">
        <v>595103.88660878898</v>
      </c>
      <c r="M174" s="863">
        <f t="shared" si="85"/>
        <v>0.82770416915351974</v>
      </c>
      <c r="N174" s="379">
        <f t="shared" si="86"/>
        <v>0.98082430909112117</v>
      </c>
      <c r="O174" s="379">
        <v>502199.99999999697</v>
      </c>
      <c r="P174" s="379">
        <v>462242.49789069803</v>
      </c>
      <c r="R174" s="379">
        <v>631351.00230440532</v>
      </c>
      <c r="S174" s="379">
        <v>560001.33787423803</v>
      </c>
      <c r="T174" s="386">
        <f t="shared" si="55"/>
        <v>0.78018402794594111</v>
      </c>
    </row>
    <row r="175" spans="1:1025" ht="15.75">
      <c r="A175" s="903">
        <v>47</v>
      </c>
      <c r="B175" s="1347"/>
      <c r="C175" s="507" t="s">
        <v>2341</v>
      </c>
      <c r="D175" s="586" t="s">
        <v>1939</v>
      </c>
      <c r="E175" s="906"/>
      <c r="F175" s="860">
        <f>'SS INPUT'!J570</f>
        <v>482399.99999999418</v>
      </c>
      <c r="G175" s="907"/>
      <c r="H175" s="503"/>
      <c r="I175" s="507">
        <f t="shared" si="87"/>
        <v>482399.99999999418</v>
      </c>
      <c r="J175" s="894">
        <f t="shared" si="88"/>
        <v>482399.99999999418</v>
      </c>
      <c r="K175" s="892">
        <f>J175*(1+K4)</f>
        <v>484337.04153184581</v>
      </c>
      <c r="L175" s="785">
        <v>669361.50442610797</v>
      </c>
      <c r="M175" s="863">
        <f t="shared" si="85"/>
        <v>0.72358066355653805</v>
      </c>
      <c r="N175" s="379">
        <f t="shared" si="86"/>
        <v>0.76490372951964092</v>
      </c>
      <c r="O175" s="379">
        <v>633200.00000001199</v>
      </c>
      <c r="P175" s="379">
        <v>879490.44977252104</v>
      </c>
      <c r="R175" s="765">
        <v>576540.50406257703</v>
      </c>
      <c r="S175" s="379">
        <v>619144.75834395003</v>
      </c>
      <c r="T175" s="386">
        <f t="shared" si="55"/>
        <v>0.84007461421873741</v>
      </c>
    </row>
    <row r="176" spans="1:1025" ht="15" customHeight="1">
      <c r="A176" s="503">
        <v>48</v>
      </c>
      <c r="B176" s="1347"/>
      <c r="C176" s="507" t="s">
        <v>2342</v>
      </c>
      <c r="D176" s="586" t="s">
        <v>1935</v>
      </c>
      <c r="E176" s="878"/>
      <c r="F176" s="860">
        <f>'SS INPUT'!J568</f>
        <v>333000</v>
      </c>
      <c r="G176" s="908"/>
      <c r="H176" s="503"/>
      <c r="I176" s="507">
        <f t="shared" si="87"/>
        <v>333000</v>
      </c>
      <c r="J176" s="894">
        <f t="shared" si="88"/>
        <v>333000</v>
      </c>
      <c r="K176" s="892">
        <f>J176*(1+K4)</f>
        <v>334337.13687833044</v>
      </c>
      <c r="L176" s="785">
        <v>451803.37132655102</v>
      </c>
      <c r="M176" s="863">
        <f t="shared" si="85"/>
        <v>0.74000584789058776</v>
      </c>
      <c r="N176" s="379">
        <f t="shared" si="86"/>
        <v>0.7357771498202792</v>
      </c>
      <c r="O176" s="379">
        <v>454399.999999994</v>
      </c>
      <c r="P176" s="379">
        <v>1160125.66887621</v>
      </c>
      <c r="R176" s="379">
        <v>374401.03498272866</v>
      </c>
      <c r="S176" s="379">
        <v>418967.02752333297</v>
      </c>
      <c r="T176" s="386">
        <f t="shared" si="55"/>
        <v>0.8929920209588994</v>
      </c>
    </row>
    <row r="177" spans="1:22" ht="15.75" customHeight="1">
      <c r="A177" s="903">
        <v>49</v>
      </c>
      <c r="B177" s="1347" t="s">
        <v>2343</v>
      </c>
      <c r="C177" s="507" t="s">
        <v>2344</v>
      </c>
      <c r="D177" s="766" t="s">
        <v>2345</v>
      </c>
      <c r="E177" s="875" t="s">
        <v>2346</v>
      </c>
      <c r="F177" s="860">
        <f>'SS INPUT'!J596</f>
        <v>925034.37540000002</v>
      </c>
      <c r="G177" s="908"/>
      <c r="H177" s="503"/>
      <c r="I177" s="860">
        <f t="shared" si="87"/>
        <v>925034.37540000002</v>
      </c>
      <c r="J177" s="894">
        <f t="shared" si="88"/>
        <v>925034.37540000002</v>
      </c>
      <c r="K177" s="892">
        <f>J177*(1+K4)</f>
        <v>928748.78253835044</v>
      </c>
      <c r="L177" s="785">
        <v>883112.89166842005</v>
      </c>
      <c r="M177" s="863">
        <f t="shared" si="85"/>
        <v>1.0516761688120222</v>
      </c>
      <c r="N177" s="379">
        <f t="shared" si="86"/>
        <v>1.1957625628149227</v>
      </c>
      <c r="O177" s="379">
        <v>776700</v>
      </c>
      <c r="P177" s="379">
        <v>790920.24673193705</v>
      </c>
      <c r="R177" s="379">
        <v>1116901.9418141069</v>
      </c>
      <c r="S177" s="379">
        <v>939263.69151578995</v>
      </c>
      <c r="T177" s="386">
        <f t="shared" si="55"/>
        <v>0.83154012699615132</v>
      </c>
    </row>
    <row r="178" spans="1:22">
      <c r="A178" s="503">
        <v>50</v>
      </c>
      <c r="B178" s="1347"/>
      <c r="C178" s="507" t="s">
        <v>2347</v>
      </c>
      <c r="D178" s="766" t="s">
        <v>2348</v>
      </c>
      <c r="E178" s="875" t="s">
        <v>2349</v>
      </c>
      <c r="F178" s="860">
        <f>'SS INPUT'!J597</f>
        <v>1013800.0000000175</v>
      </c>
      <c r="G178" s="908">
        <v>135000</v>
      </c>
      <c r="H178" s="503"/>
      <c r="I178" s="860">
        <f t="shared" si="87"/>
        <v>1148800.0000000175</v>
      </c>
      <c r="J178" s="894">
        <f t="shared" si="88"/>
        <v>1148800.0000000175</v>
      </c>
      <c r="K178" s="892">
        <f>J178*(1+K4)</f>
        <v>1153412.9214589545</v>
      </c>
      <c r="L178" s="785">
        <v>1132220.08289958</v>
      </c>
      <c r="M178" s="863">
        <f t="shared" si="85"/>
        <v>1.0187179496985252</v>
      </c>
      <c r="N178" s="379">
        <f t="shared" si="86"/>
        <v>1.2335967074427321</v>
      </c>
      <c r="O178" s="379">
        <v>935000</v>
      </c>
      <c r="P178" s="379">
        <v>793526.79833441298</v>
      </c>
      <c r="R178" s="379">
        <v>2141112.3580107968</v>
      </c>
      <c r="S178" s="379">
        <v>1154123.8798656</v>
      </c>
      <c r="T178" s="386">
        <f t="shared" si="55"/>
        <v>0.5386979889885527</v>
      </c>
      <c r="V178" s="379">
        <v>9669259340</v>
      </c>
    </row>
    <row r="179" spans="1:22" ht="15" customHeight="1">
      <c r="A179" s="903">
        <v>51</v>
      </c>
      <c r="B179" s="1347"/>
      <c r="C179" s="507" t="s">
        <v>2350</v>
      </c>
      <c r="D179" s="586" t="s">
        <v>2351</v>
      </c>
      <c r="E179" s="878"/>
      <c r="F179" s="860">
        <f>'SS INPUT'!J595</f>
        <v>62600.474000000446</v>
      </c>
      <c r="G179" s="508"/>
      <c r="H179" s="503"/>
      <c r="I179" s="860">
        <f t="shared" si="87"/>
        <v>62600.474000000446</v>
      </c>
      <c r="J179" s="894">
        <f t="shared" si="88"/>
        <v>62600.474000000446</v>
      </c>
      <c r="K179" s="892">
        <f>J179*(1+K4)</f>
        <v>62851.841574734273</v>
      </c>
      <c r="L179" s="785">
        <v>774698.85554331006</v>
      </c>
      <c r="M179" s="863">
        <f t="shared" si="85"/>
        <v>8.1130675648998035E-2</v>
      </c>
      <c r="N179" s="379">
        <f t="shared" si="86"/>
        <v>0.16580099602915993</v>
      </c>
      <c r="O179" s="379">
        <v>379080.00000000198</v>
      </c>
      <c r="P179" s="379">
        <v>357770.22801726498</v>
      </c>
      <c r="R179" s="379">
        <v>75230.023977659468</v>
      </c>
      <c r="S179" s="379">
        <v>877225.13857551105</v>
      </c>
      <c r="T179" s="386">
        <f t="shared" si="55"/>
        <v>0.83546220314111486</v>
      </c>
    </row>
    <row r="180" spans="1:22" ht="15" customHeight="1">
      <c r="A180" s="503">
        <v>52</v>
      </c>
      <c r="B180" s="1347" t="s">
        <v>2025</v>
      </c>
      <c r="C180" s="507" t="s">
        <v>2352</v>
      </c>
      <c r="D180" s="439" t="s">
        <v>2353</v>
      </c>
      <c r="E180" s="906"/>
      <c r="F180" s="860">
        <f>'SS INPUT'!J649</f>
        <v>760000</v>
      </c>
      <c r="G180" s="907"/>
      <c r="H180" s="503"/>
      <c r="I180" s="507">
        <f t="shared" si="87"/>
        <v>760000</v>
      </c>
      <c r="J180" s="894">
        <f t="shared" si="88"/>
        <v>760000</v>
      </c>
      <c r="K180" s="892">
        <f>J180*(1+K4)</f>
        <v>763051.72380639974</v>
      </c>
      <c r="L180" s="785">
        <v>771778.61214600597</v>
      </c>
      <c r="M180" s="863">
        <f t="shared" si="85"/>
        <v>0.98869249781962698</v>
      </c>
      <c r="N180" s="379">
        <f t="shared" si="86"/>
        <v>0.99797505075384996</v>
      </c>
      <c r="O180" s="379">
        <v>764600.00000000605</v>
      </c>
      <c r="P180" s="379">
        <v>732987.53530916595</v>
      </c>
      <c r="R180" s="379">
        <v>121019.9316819231</v>
      </c>
      <c r="S180" s="379">
        <v>824699.16375275201</v>
      </c>
      <c r="T180" s="386">
        <f t="shared" si="55"/>
        <v>6.3051739759028278</v>
      </c>
      <c r="U180" s="379">
        <v>260000</v>
      </c>
    </row>
    <row r="181" spans="1:22" ht="15.75">
      <c r="A181" s="903">
        <v>53</v>
      </c>
      <c r="B181" s="1347"/>
      <c r="C181" s="507" t="s">
        <v>2354</v>
      </c>
      <c r="D181" s="439" t="s">
        <v>2029</v>
      </c>
      <c r="E181" s="878"/>
      <c r="F181" s="860">
        <f>'SS INPUT'!J650</f>
        <v>298400.00000000146</v>
      </c>
      <c r="G181" s="908"/>
      <c r="H181" s="503"/>
      <c r="I181" s="507">
        <f t="shared" si="87"/>
        <v>298400.00000000146</v>
      </c>
      <c r="J181" s="894">
        <f t="shared" si="88"/>
        <v>298400.00000000146</v>
      </c>
      <c r="K181" s="892">
        <f>J181*(1+K4)</f>
        <v>299598.20313661947</v>
      </c>
      <c r="L181" s="785">
        <v>348343.31953616999</v>
      </c>
      <c r="M181" s="863">
        <f>K181-J181</f>
        <v>1198.2031366180163</v>
      </c>
      <c r="N181" s="379">
        <f t="shared" si="86"/>
        <v>0.86140943972576289</v>
      </c>
      <c r="O181" s="379">
        <v>347799.99999999901</v>
      </c>
      <c r="P181" s="379">
        <v>639025.55415539502</v>
      </c>
      <c r="R181" s="379">
        <v>374813.14399207471</v>
      </c>
      <c r="S181" s="379">
        <v>333560.61964222399</v>
      </c>
      <c r="T181" s="386">
        <f t="shared" ref="T181:T192" si="89">K181/R181</f>
        <v>0.79932683242014146</v>
      </c>
      <c r="U181" s="379">
        <f>U180/30</f>
        <v>8666.6666666666661</v>
      </c>
    </row>
    <row r="182" spans="1:22" ht="15" customHeight="1">
      <c r="A182" s="503">
        <v>54</v>
      </c>
      <c r="B182" s="1347"/>
      <c r="C182" s="507" t="s">
        <v>2355</v>
      </c>
      <c r="D182" s="586" t="s">
        <v>2025</v>
      </c>
      <c r="E182" s="926"/>
      <c r="F182" s="860">
        <f>'SS INPUT'!J648</f>
        <v>569000</v>
      </c>
      <c r="G182" s="907"/>
      <c r="H182" s="503"/>
      <c r="I182" s="507">
        <f t="shared" si="87"/>
        <v>569000</v>
      </c>
      <c r="J182" s="894">
        <f t="shared" si="88"/>
        <v>569000</v>
      </c>
      <c r="K182" s="892">
        <f>J182*(1+K4)</f>
        <v>571284.77742873877</v>
      </c>
      <c r="L182" s="785">
        <v>715668.22115484695</v>
      </c>
      <c r="M182" s="863">
        <f>K182-J182</f>
        <v>2284.7774287387729</v>
      </c>
      <c r="N182" s="379">
        <f t="shared" si="86"/>
        <v>0.7657972887784702</v>
      </c>
      <c r="O182" s="379">
        <v>746000</v>
      </c>
      <c r="P182" s="379">
        <v>5871.04727880271</v>
      </c>
      <c r="R182" s="379">
        <v>794134.0609925508</v>
      </c>
      <c r="S182" s="379">
        <v>723369.52728362603</v>
      </c>
      <c r="T182" s="386">
        <f t="shared" si="89"/>
        <v>0.71938077648340237</v>
      </c>
      <c r="U182" s="379">
        <f>U181*18</f>
        <v>156000</v>
      </c>
    </row>
    <row r="183" spans="1:22" ht="15.75">
      <c r="A183" s="903">
        <v>55</v>
      </c>
      <c r="B183" s="503" t="s">
        <v>2331</v>
      </c>
      <c r="C183" s="507" t="s">
        <v>2356</v>
      </c>
      <c r="D183" s="586" t="s">
        <v>2357</v>
      </c>
      <c r="E183" s="906"/>
      <c r="F183" s="860">
        <f>'SS INPUT'!J631</f>
        <v>600060.00000000128</v>
      </c>
      <c r="G183" s="907"/>
      <c r="H183" s="503"/>
      <c r="I183" s="507">
        <f t="shared" si="87"/>
        <v>600060.00000000128</v>
      </c>
      <c r="J183" s="894">
        <f t="shared" si="88"/>
        <v>600060.00000000128</v>
      </c>
      <c r="K183" s="892">
        <f>J183*(1+K4)</f>
        <v>602469.49656219629</v>
      </c>
      <c r="L183" s="785">
        <v>529815.58779752802</v>
      </c>
      <c r="M183" s="863">
        <f>K183/L183</f>
        <v>1.1371305609687599</v>
      </c>
      <c r="N183" s="379">
        <f t="shared" si="86"/>
        <v>1.0835782312269717</v>
      </c>
      <c r="O183" s="379">
        <v>556000</v>
      </c>
      <c r="P183" s="379">
        <v>1355.82724483628</v>
      </c>
      <c r="R183" s="379">
        <v>696237.56582452299</v>
      </c>
      <c r="S183" s="379">
        <v>651963.15284936805</v>
      </c>
      <c r="T183" s="386">
        <f t="shared" si="89"/>
        <v>0.86532173231520282</v>
      </c>
    </row>
    <row r="184" spans="1:22" ht="14.45" customHeight="1">
      <c r="A184" s="503">
        <v>56</v>
      </c>
      <c r="B184" s="1347" t="s">
        <v>2358</v>
      </c>
      <c r="C184" s="507" t="s">
        <v>2359</v>
      </c>
      <c r="D184" s="927" t="s">
        <v>2360</v>
      </c>
      <c r="E184" s="906"/>
      <c r="F184" s="860">
        <f>'SS INPUT'!J665</f>
        <v>12040.020199999997</v>
      </c>
      <c r="G184" s="907"/>
      <c r="H184" s="503"/>
      <c r="I184" s="507">
        <f t="shared" si="87"/>
        <v>12040.020199999997</v>
      </c>
      <c r="J184" s="894">
        <f t="shared" si="88"/>
        <v>12040.020199999997</v>
      </c>
      <c r="K184" s="892">
        <f>J184*(1+K4)</f>
        <v>12088.366010886673</v>
      </c>
      <c r="L184" s="785">
        <v>5575.5790007196501</v>
      </c>
      <c r="M184" s="863">
        <f>K184/L184</f>
        <v>2.1680916025629635</v>
      </c>
      <c r="N184" s="379">
        <f t="shared" si="86"/>
        <v>3.8302807385572599</v>
      </c>
      <c r="O184" s="379">
        <v>3155.99999999999</v>
      </c>
      <c r="P184" s="379">
        <v>12423.161266639399</v>
      </c>
      <c r="R184" s="379">
        <v>16566.773211979551</v>
      </c>
      <c r="S184" s="379">
        <v>10339.7588233795</v>
      </c>
      <c r="T184" s="386">
        <f t="shared" si="89"/>
        <v>0.72967534813270041</v>
      </c>
    </row>
    <row r="185" spans="1:22" ht="15.75">
      <c r="A185" s="903">
        <v>57</v>
      </c>
      <c r="B185" s="1347"/>
      <c r="C185" s="507" t="s">
        <v>2361</v>
      </c>
      <c r="D185" s="927" t="s">
        <v>2362</v>
      </c>
      <c r="E185" s="906"/>
      <c r="F185" s="860">
        <f>'SS INPUT'!J666</f>
        <v>12919.998200000002</v>
      </c>
      <c r="G185" s="907"/>
      <c r="H185" s="503"/>
      <c r="I185" s="507">
        <f t="shared" si="87"/>
        <v>12919.998200000002</v>
      </c>
      <c r="J185" s="894">
        <f t="shared" si="88"/>
        <v>12919.998200000002</v>
      </c>
      <c r="K185" s="892">
        <f>J185*(1+K4)</f>
        <v>12971.877497481031</v>
      </c>
      <c r="L185" s="785">
        <v>1558.1584412785601</v>
      </c>
      <c r="M185" s="863">
        <f>K185/L185</f>
        <v>8.3251337950182052</v>
      </c>
      <c r="N185" s="379">
        <f t="shared" si="86"/>
        <v>2.0357623191275942</v>
      </c>
      <c r="O185" s="379">
        <v>6372</v>
      </c>
      <c r="P185" s="379">
        <v>7122198.3541644001</v>
      </c>
      <c r="R185" s="379">
        <v>11518.447017025816</v>
      </c>
      <c r="S185" s="379">
        <v>11208.2985645433</v>
      </c>
      <c r="T185" s="386">
        <f t="shared" si="89"/>
        <v>1.1261828507182305</v>
      </c>
    </row>
    <row r="186" spans="1:22">
      <c r="A186" s="503">
        <v>58</v>
      </c>
      <c r="B186" s="1347"/>
      <c r="C186" s="507" t="s">
        <v>2363</v>
      </c>
      <c r="D186" s="927" t="s">
        <v>2364</v>
      </c>
      <c r="E186" s="906"/>
      <c r="F186" s="860">
        <f>'SS INPUT'!J667</f>
        <v>10419.966899991268</v>
      </c>
      <c r="G186" s="907"/>
      <c r="H186" s="503"/>
      <c r="I186" s="507">
        <f t="shared" si="87"/>
        <v>10419.966899991268</v>
      </c>
      <c r="J186" s="894">
        <f t="shared" si="88"/>
        <v>10419.966899991268</v>
      </c>
      <c r="K186" s="892">
        <f>J186*(1+K4)</f>
        <v>10461.807506636796</v>
      </c>
      <c r="L186" s="785">
        <v>10625.514189923701</v>
      </c>
      <c r="M186" s="863">
        <f>K186/L186</f>
        <v>0.98459305777012196</v>
      </c>
      <c r="N186" s="379">
        <f t="shared" si="86"/>
        <v>1.1624230562929774</v>
      </c>
      <c r="O186" s="379">
        <v>9000</v>
      </c>
      <c r="P186" s="379">
        <v>43444221.025717102</v>
      </c>
      <c r="R186" s="379">
        <v>12198.411119262384</v>
      </c>
      <c r="S186" s="379">
        <v>14113.770793948799</v>
      </c>
      <c r="T186" s="386">
        <f t="shared" si="89"/>
        <v>0.85763690076953258</v>
      </c>
    </row>
    <row r="187" spans="1:22" ht="15.75" customHeight="1">
      <c r="A187" s="903">
        <v>59</v>
      </c>
      <c r="B187" s="1347" t="s">
        <v>1320</v>
      </c>
      <c r="C187" s="507"/>
      <c r="D187" s="927" t="s">
        <v>1451</v>
      </c>
      <c r="E187" s="906"/>
      <c r="F187" s="860">
        <f>'SS INPUT'!J683</f>
        <v>976844.84480000008</v>
      </c>
      <c r="G187" s="907"/>
      <c r="H187" s="503"/>
      <c r="I187" s="860">
        <f t="shared" si="87"/>
        <v>976844.84480000008</v>
      </c>
      <c r="J187" s="894">
        <f t="shared" si="88"/>
        <v>976844.84480000008</v>
      </c>
      <c r="K187" s="892">
        <f>J187*(1+K4)</f>
        <v>980767.29304741463</v>
      </c>
      <c r="L187" s="785"/>
      <c r="M187" s="863"/>
      <c r="R187" s="379">
        <v>974720.22888405505</v>
      </c>
      <c r="T187" s="386">
        <f t="shared" si="89"/>
        <v>1.0062038972662779</v>
      </c>
    </row>
    <row r="188" spans="1:22">
      <c r="A188" s="503">
        <v>60</v>
      </c>
      <c r="B188" s="1347"/>
      <c r="C188" s="507"/>
      <c r="D188" s="927" t="s">
        <v>1452</v>
      </c>
      <c r="E188" s="906"/>
      <c r="F188" s="860">
        <f>'SS INPUT'!J684</f>
        <v>3340</v>
      </c>
      <c r="G188" s="907"/>
      <c r="H188" s="503"/>
      <c r="I188" s="507">
        <f t="shared" si="87"/>
        <v>3340</v>
      </c>
      <c r="J188" s="894">
        <f t="shared" si="88"/>
        <v>3340</v>
      </c>
      <c r="K188" s="892">
        <f>J188*(1+K4)</f>
        <v>3353.4115230439147</v>
      </c>
      <c r="L188" s="785"/>
      <c r="M188" s="863"/>
      <c r="R188" s="379">
        <v>0</v>
      </c>
      <c r="T188" s="386" t="e">
        <f t="shared" si="89"/>
        <v>#DIV/0!</v>
      </c>
    </row>
    <row r="189" spans="1:22" ht="15.75">
      <c r="A189" s="903">
        <v>61</v>
      </c>
      <c r="B189" s="1347"/>
      <c r="C189" s="507"/>
      <c r="D189" s="927" t="s">
        <v>2045</v>
      </c>
      <c r="E189" s="906"/>
      <c r="F189" s="860">
        <f>'SS INPUT'!J685</f>
        <v>95961.675199999998</v>
      </c>
      <c r="G189" s="907"/>
      <c r="H189" s="503"/>
      <c r="I189" s="860">
        <f t="shared" si="87"/>
        <v>95961.675199999998</v>
      </c>
      <c r="J189" s="894">
        <f t="shared" si="88"/>
        <v>95961.675199999998</v>
      </c>
      <c r="K189" s="892">
        <f>J189*(1+K4)</f>
        <v>96347.00221146032</v>
      </c>
      <c r="L189" s="785"/>
      <c r="M189" s="863"/>
      <c r="R189" s="379">
        <v>70469.61032411686</v>
      </c>
      <c r="T189" s="386">
        <f t="shared" si="89"/>
        <v>1.3672134948430021</v>
      </c>
    </row>
    <row r="190" spans="1:22">
      <c r="A190" s="503">
        <v>62</v>
      </c>
      <c r="B190" s="1347"/>
      <c r="C190" s="507"/>
      <c r="D190" s="927" t="s">
        <v>2064</v>
      </c>
      <c r="E190" s="906"/>
      <c r="F190" s="860">
        <f>'SS INPUT'!J687</f>
        <v>132193.58240000001</v>
      </c>
      <c r="G190" s="907"/>
      <c r="H190" s="503"/>
      <c r="I190" s="860">
        <f t="shared" si="87"/>
        <v>132193.58240000001</v>
      </c>
      <c r="J190" s="894">
        <f t="shared" si="88"/>
        <v>132193.58240000001</v>
      </c>
      <c r="K190" s="892">
        <f>J190*(1+K4)</f>
        <v>132724.39595587284</v>
      </c>
      <c r="L190" s="785"/>
      <c r="M190" s="863"/>
      <c r="R190" s="379">
        <v>117904.37695953081</v>
      </c>
      <c r="T190" s="386">
        <f t="shared" si="89"/>
        <v>1.1256952403168952</v>
      </c>
    </row>
    <row r="191" spans="1:22" s="928" customFormat="1" ht="18.75">
      <c r="A191" s="923"/>
      <c r="B191" s="923"/>
      <c r="C191" s="923"/>
      <c r="D191" s="899" t="s">
        <v>2365</v>
      </c>
      <c r="E191" s="891"/>
      <c r="F191" s="911">
        <f t="shared" ref="F191:K191" si="90">SUM(F174:F190)</f>
        <v>6778614.9371000128</v>
      </c>
      <c r="G191" s="911">
        <f t="shared" si="90"/>
        <v>135000</v>
      </c>
      <c r="H191" s="911">
        <f t="shared" si="90"/>
        <v>0</v>
      </c>
      <c r="I191" s="911">
        <f t="shared" si="90"/>
        <v>6913614.9371000128</v>
      </c>
      <c r="J191" s="911">
        <f t="shared" si="90"/>
        <v>6913614.9371000128</v>
      </c>
      <c r="K191" s="911">
        <f t="shared" si="90"/>
        <v>6941376.0466945227</v>
      </c>
      <c r="L191" s="785">
        <v>6889665.5847392296</v>
      </c>
      <c r="M191" s="863">
        <f>K191/L191</f>
        <v>1.0075055111629558</v>
      </c>
      <c r="N191" s="379">
        <f>K191/O191</f>
        <v>1.1354162040344939</v>
      </c>
      <c r="O191" s="379">
        <v>6113508.0000000102</v>
      </c>
      <c r="R191" s="928">
        <v>8105119.4151593158</v>
      </c>
      <c r="S191" s="928">
        <v>7137980.1254082602</v>
      </c>
      <c r="T191" s="386">
        <f t="shared" si="89"/>
        <v>0.85641872638073668</v>
      </c>
      <c r="U191" s="928">
        <f>K191/V191</f>
        <v>0.93500883703723014</v>
      </c>
      <c r="V191" s="928">
        <v>7423861.4350316897</v>
      </c>
    </row>
    <row r="192" spans="1:22" s="929" customFormat="1" ht="18.75">
      <c r="A192" s="873"/>
      <c r="B192" s="873"/>
      <c r="C192" s="873"/>
      <c r="D192" s="872" t="s">
        <v>2366</v>
      </c>
      <c r="E192" s="869"/>
      <c r="F192" s="870">
        <f t="shared" ref="F192:K192" si="91">F128+F136+F147+F158+F172+F191</f>
        <v>39048779.273900002</v>
      </c>
      <c r="G192" s="871">
        <f>G128+G136+G147+G158+G172+G191</f>
        <v>-311760.00000000023</v>
      </c>
      <c r="H192" s="870">
        <f t="shared" si="91"/>
        <v>1207751</v>
      </c>
      <c r="I192" s="870">
        <f t="shared" si="91"/>
        <v>37529268.273900002</v>
      </c>
      <c r="J192" s="870">
        <f t="shared" si="91"/>
        <v>37512779.928900011</v>
      </c>
      <c r="K192" s="870">
        <f t="shared" si="91"/>
        <v>37663409.72304903</v>
      </c>
      <c r="L192" s="785">
        <v>42648181.559176199</v>
      </c>
      <c r="M192" s="863">
        <f>K192-J192</f>
        <v>150629.79414901882</v>
      </c>
      <c r="N192" s="379">
        <f>K192/O192</f>
        <v>1.0990984742488441</v>
      </c>
      <c r="O192" s="379">
        <v>34267548</v>
      </c>
      <c r="P192" s="929">
        <v>39879376</v>
      </c>
      <c r="Q192" s="929">
        <f>K192/P192</f>
        <v>0.9444332760635229</v>
      </c>
      <c r="R192" s="929">
        <v>44665452.458431572</v>
      </c>
      <c r="S192" s="929">
        <v>41018213.1905009</v>
      </c>
      <c r="T192" s="386">
        <f t="shared" si="89"/>
        <v>0.8432335877063134</v>
      </c>
    </row>
    <row r="193" spans="1:20">
      <c r="A193" s="586"/>
      <c r="B193" s="586"/>
      <c r="C193" s="586"/>
      <c r="D193" s="439"/>
      <c r="E193" s="895"/>
      <c r="F193" s="202"/>
      <c r="G193" s="930"/>
      <c r="H193" s="202"/>
      <c r="I193" s="507"/>
      <c r="J193" s="931"/>
      <c r="L193" s="785"/>
      <c r="M193" s="863" t="e">
        <f t="shared" ref="M193:M224" si="92">K193/L193</f>
        <v>#DIV/0!</v>
      </c>
      <c r="T193" s="379" t="e">
        <f t="shared" ref="T193:T225" si="93">K193/S193</f>
        <v>#DIV/0!</v>
      </c>
    </row>
    <row r="194" spans="1:20" ht="23.25" customHeight="1">
      <c r="A194" s="1349" t="s">
        <v>2367</v>
      </c>
      <c r="B194" s="1349"/>
      <c r="C194" s="1349"/>
      <c r="D194" s="1349"/>
      <c r="E194" s="1349"/>
      <c r="F194" s="1349"/>
      <c r="G194" s="1349"/>
      <c r="H194" s="1349"/>
      <c r="I194" s="1349"/>
      <c r="J194" s="1349"/>
      <c r="K194" s="1349"/>
      <c r="L194" s="785"/>
      <c r="M194" s="863" t="e">
        <f t="shared" si="92"/>
        <v>#DIV/0!</v>
      </c>
      <c r="T194" s="379" t="e">
        <f t="shared" si="93"/>
        <v>#DIV/0!</v>
      </c>
    </row>
    <row r="195" spans="1:20" ht="19.5" customHeight="1">
      <c r="A195" s="1350" t="s">
        <v>2132</v>
      </c>
      <c r="B195" s="1350"/>
      <c r="C195" s="1350"/>
      <c r="D195" s="1350"/>
      <c r="E195" s="1350"/>
      <c r="F195" s="1350"/>
      <c r="G195" s="1350"/>
      <c r="H195" s="1350"/>
      <c r="I195" s="1350"/>
      <c r="J195" s="900" t="str">
        <f>'CIRCLE INPUT'!Q3</f>
        <v>OCT.2024</v>
      </c>
      <c r="K195" s="901"/>
      <c r="L195" s="785"/>
      <c r="M195" s="863" t="e">
        <f t="shared" si="92"/>
        <v>#DIV/0!</v>
      </c>
      <c r="T195" s="379" t="e">
        <f t="shared" si="93"/>
        <v>#DIV/0!</v>
      </c>
    </row>
    <row r="196" spans="1:20" ht="45">
      <c r="A196" s="851" t="s">
        <v>345</v>
      </c>
      <c r="B196" s="852" t="s">
        <v>2133</v>
      </c>
      <c r="C196" s="852"/>
      <c r="D196" s="853" t="s">
        <v>2134</v>
      </c>
      <c r="E196" s="854" t="s">
        <v>2368</v>
      </c>
      <c r="F196" s="851" t="s">
        <v>2135</v>
      </c>
      <c r="G196" s="489" t="s">
        <v>2136</v>
      </c>
      <c r="H196" s="851" t="s">
        <v>2137</v>
      </c>
      <c r="I196" s="851" t="s">
        <v>2138</v>
      </c>
      <c r="J196" s="902" t="s">
        <v>2139</v>
      </c>
      <c r="K196" s="851" t="s">
        <v>2140</v>
      </c>
      <c r="L196" s="785"/>
      <c r="M196" s="863" t="e">
        <f t="shared" si="92"/>
        <v>#VALUE!</v>
      </c>
      <c r="O196" s="379" t="s">
        <v>2140</v>
      </c>
      <c r="T196" s="379" t="e">
        <f t="shared" si="93"/>
        <v>#VALUE!</v>
      </c>
    </row>
    <row r="197" spans="1:20" ht="18.75">
      <c r="A197" s="503"/>
      <c r="B197" s="503"/>
      <c r="C197" s="503"/>
      <c r="D197" s="899" t="s">
        <v>210</v>
      </c>
      <c r="E197" s="891"/>
      <c r="F197" s="507"/>
      <c r="G197" s="494"/>
      <c r="H197" s="507"/>
      <c r="I197" s="507"/>
      <c r="J197" s="914"/>
      <c r="K197" s="186"/>
      <c r="L197" s="785"/>
      <c r="M197" s="863" t="e">
        <f t="shared" si="92"/>
        <v>#DIV/0!</v>
      </c>
      <c r="T197" s="379" t="e">
        <f t="shared" si="93"/>
        <v>#DIV/0!</v>
      </c>
    </row>
    <row r="198" spans="1:20" ht="15" customHeight="1">
      <c r="A198" s="503">
        <v>1</v>
      </c>
      <c r="B198" s="1347" t="s">
        <v>210</v>
      </c>
      <c r="C198" s="507" t="s">
        <v>2369</v>
      </c>
      <c r="D198" s="586" t="s">
        <v>1065</v>
      </c>
      <c r="E198" s="878" t="s">
        <v>1702</v>
      </c>
      <c r="F198" s="860">
        <f>'SS INPUT'!J324</f>
        <v>871700</v>
      </c>
      <c r="G198" s="932"/>
      <c r="H198" s="507">
        <f>'11 KV HT'!L5</f>
        <v>20999</v>
      </c>
      <c r="I198" s="860">
        <f t="shared" ref="I198:I211" si="94">F198+G198-H198</f>
        <v>850701</v>
      </c>
      <c r="J198" s="894">
        <f t="shared" ref="J198:J211" si="95">F198+G198-(H198*1.015)</f>
        <v>850386.01500000001</v>
      </c>
      <c r="K198" s="892">
        <f>J198*(1+K4)</f>
        <v>853800.67716658546</v>
      </c>
      <c r="L198" s="785">
        <v>549896.75175987603</v>
      </c>
      <c r="M198" s="863">
        <f t="shared" si="92"/>
        <v>1.5526563385473777</v>
      </c>
      <c r="O198" s="379">
        <v>715378.01357806299</v>
      </c>
      <c r="S198" s="765">
        <v>721462.22164616897</v>
      </c>
      <c r="T198" s="379">
        <f t="shared" si="93"/>
        <v>1.1834308873699004</v>
      </c>
    </row>
    <row r="199" spans="1:20">
      <c r="A199" s="503">
        <v>2</v>
      </c>
      <c r="B199" s="1347"/>
      <c r="C199" s="507" t="s">
        <v>2370</v>
      </c>
      <c r="D199" s="586" t="s">
        <v>1693</v>
      </c>
      <c r="E199" s="881"/>
      <c r="F199" s="860">
        <f>'SS INPUT'!J328</f>
        <v>482400.00000000873</v>
      </c>
      <c r="G199" s="932"/>
      <c r="H199" s="507"/>
      <c r="I199" s="507">
        <f t="shared" si="94"/>
        <v>482400.00000000873</v>
      </c>
      <c r="J199" s="894">
        <f t="shared" si="95"/>
        <v>482400.00000000873</v>
      </c>
      <c r="K199" s="892">
        <f>J199*(1+K4)</f>
        <v>484337.04153186042</v>
      </c>
      <c r="L199" s="785">
        <v>319435.22736472799</v>
      </c>
      <c r="M199" s="863">
        <f t="shared" si="92"/>
        <v>1.5162292697882351</v>
      </c>
      <c r="O199" s="379">
        <v>383986.38139405102</v>
      </c>
      <c r="S199" s="765">
        <v>384776.62243885099</v>
      </c>
      <c r="T199" s="379">
        <f t="shared" si="93"/>
        <v>1.258748617475667</v>
      </c>
    </row>
    <row r="200" spans="1:20">
      <c r="A200" s="503">
        <v>3</v>
      </c>
      <c r="B200" s="1347"/>
      <c r="C200" s="507" t="s">
        <v>2371</v>
      </c>
      <c r="D200" s="734" t="s">
        <v>1691</v>
      </c>
      <c r="E200" s="878"/>
      <c r="F200" s="860">
        <f>'SS INPUT'!J327</f>
        <v>223500</v>
      </c>
      <c r="G200" s="861"/>
      <c r="H200" s="507"/>
      <c r="I200" s="507">
        <f t="shared" si="94"/>
        <v>223500</v>
      </c>
      <c r="J200" s="894">
        <f t="shared" si="95"/>
        <v>223500</v>
      </c>
      <c r="K200" s="892">
        <f>J200*(1+K4)</f>
        <v>224397.4477246452</v>
      </c>
      <c r="L200" s="785">
        <v>128678.540753097</v>
      </c>
      <c r="M200" s="863">
        <f t="shared" si="92"/>
        <v>1.7438606811310491</v>
      </c>
      <c r="O200" s="379">
        <v>159804.574898219</v>
      </c>
      <c r="S200" s="765">
        <v>268520.58410839603</v>
      </c>
      <c r="T200" s="379">
        <f t="shared" si="93"/>
        <v>0.83568061819074824</v>
      </c>
    </row>
    <row r="201" spans="1:20" ht="15" customHeight="1">
      <c r="A201" s="503">
        <v>4</v>
      </c>
      <c r="B201" s="1347"/>
      <c r="C201" s="507" t="s">
        <v>2372</v>
      </c>
      <c r="D201" s="933" t="s">
        <v>1688</v>
      </c>
      <c r="E201" s="885" t="s">
        <v>2373</v>
      </c>
      <c r="F201" s="860">
        <f>'SS INPUT'!J325</f>
        <v>132399.99999999418</v>
      </c>
      <c r="G201" s="861"/>
      <c r="H201" s="507">
        <f>'11 KV HT'!L4</f>
        <v>14403</v>
      </c>
      <c r="I201" s="507">
        <f t="shared" si="94"/>
        <v>117996.99999999418</v>
      </c>
      <c r="J201" s="894">
        <f t="shared" si="95"/>
        <v>117780.95499999418</v>
      </c>
      <c r="K201" s="892">
        <f>J201*(1+K4)</f>
        <v>118253.89571619678</v>
      </c>
      <c r="L201" s="785">
        <v>300836.63542118802</v>
      </c>
      <c r="M201" s="863">
        <f t="shared" si="92"/>
        <v>0.39308342732471646</v>
      </c>
      <c r="O201" s="379">
        <v>385384.397148424</v>
      </c>
      <c r="S201" s="765">
        <v>192866.45275760299</v>
      </c>
      <c r="T201" s="379">
        <f t="shared" si="93"/>
        <v>0.61313874976909433</v>
      </c>
    </row>
    <row r="202" spans="1:20">
      <c r="A202" s="503">
        <v>5</v>
      </c>
      <c r="B202" s="1347"/>
      <c r="C202" s="507" t="s">
        <v>2374</v>
      </c>
      <c r="D202" s="933" t="s">
        <v>1162</v>
      </c>
      <c r="E202" s="878"/>
      <c r="F202" s="860">
        <f>'SS INPUT'!J326</f>
        <v>53910</v>
      </c>
      <c r="G202" s="861"/>
      <c r="H202" s="507"/>
      <c r="I202" s="507">
        <f t="shared" si="94"/>
        <v>53910</v>
      </c>
      <c r="J202" s="894">
        <f t="shared" si="95"/>
        <v>53910</v>
      </c>
      <c r="K202" s="892">
        <f>J202*(1+K4)</f>
        <v>54126.471618951327</v>
      </c>
      <c r="L202" s="785">
        <v>33300.197447288003</v>
      </c>
      <c r="M202" s="863">
        <f t="shared" si="92"/>
        <v>1.6254099305155751</v>
      </c>
      <c r="O202" s="379">
        <v>29601.106490215199</v>
      </c>
      <c r="S202" s="765">
        <v>58642.426414477297</v>
      </c>
      <c r="T202" s="379">
        <f t="shared" si="93"/>
        <v>0.92299167903442858</v>
      </c>
    </row>
    <row r="203" spans="1:20" ht="15" customHeight="1">
      <c r="A203" s="503">
        <v>6</v>
      </c>
      <c r="B203" s="1348" t="s">
        <v>2375</v>
      </c>
      <c r="C203" s="507" t="s">
        <v>2376</v>
      </c>
      <c r="D203" s="586" t="s">
        <v>1781</v>
      </c>
      <c r="E203" s="878"/>
      <c r="F203" s="860">
        <f>'SS INPUT'!J404</f>
        <v>888657.77999999991</v>
      </c>
      <c r="G203" s="861"/>
      <c r="H203" s="507"/>
      <c r="I203" s="860">
        <f t="shared" si="94"/>
        <v>888657.77999999991</v>
      </c>
      <c r="J203" s="894">
        <f t="shared" si="95"/>
        <v>888657.77999999991</v>
      </c>
      <c r="K203" s="892">
        <f>J203*(1+K4)</f>
        <v>892226.11960916885</v>
      </c>
      <c r="L203" s="785">
        <v>591109.21692701604</v>
      </c>
      <c r="M203" s="863">
        <f t="shared" si="92"/>
        <v>1.5094099263881577</v>
      </c>
      <c r="O203" s="379">
        <v>692410.56680250296</v>
      </c>
      <c r="S203" s="765">
        <v>687927.081990454</v>
      </c>
      <c r="T203" s="379">
        <f t="shared" si="93"/>
        <v>1.29697775093778</v>
      </c>
    </row>
    <row r="204" spans="1:20" ht="14.45" customHeight="1">
      <c r="A204" s="503">
        <v>7</v>
      </c>
      <c r="B204" s="1348"/>
      <c r="C204" s="507" t="s">
        <v>2377</v>
      </c>
      <c r="D204" s="586" t="s">
        <v>1779</v>
      </c>
      <c r="E204" s="881" t="s">
        <v>2378</v>
      </c>
      <c r="F204" s="860">
        <f>'SS INPUT'!J403</f>
        <v>710799.9999999993</v>
      </c>
      <c r="G204" s="861"/>
      <c r="H204" s="507"/>
      <c r="I204" s="860">
        <f t="shared" si="94"/>
        <v>710799.9999999993</v>
      </c>
      <c r="J204" s="894">
        <f t="shared" si="95"/>
        <v>710799.9999999993</v>
      </c>
      <c r="K204" s="892">
        <f>J204*(1+K4)</f>
        <v>713654.16484419524</v>
      </c>
      <c r="L204" s="785">
        <v>246668.12923917</v>
      </c>
      <c r="M204" s="863">
        <f t="shared" si="92"/>
        <v>2.8931754055354046</v>
      </c>
      <c r="O204" s="379">
        <v>347761.251073858</v>
      </c>
      <c r="S204" s="765">
        <v>514818.77504919999</v>
      </c>
      <c r="T204" s="379">
        <f t="shared" si="93"/>
        <v>1.3862240451040135</v>
      </c>
    </row>
    <row r="205" spans="1:20">
      <c r="A205" s="503">
        <v>8</v>
      </c>
      <c r="B205" s="1348"/>
      <c r="C205" s="507" t="s">
        <v>2379</v>
      </c>
      <c r="D205" s="586" t="s">
        <v>1783</v>
      </c>
      <c r="E205" s="878"/>
      <c r="F205" s="860">
        <f>'SS INPUT'!J405</f>
        <v>393200.0000000007</v>
      </c>
      <c r="G205" s="861"/>
      <c r="H205" s="507"/>
      <c r="I205" s="860">
        <f t="shared" si="94"/>
        <v>393200.0000000007</v>
      </c>
      <c r="J205" s="894">
        <f t="shared" si="95"/>
        <v>393200.0000000007</v>
      </c>
      <c r="K205" s="892">
        <f>J205*(1+K4)</f>
        <v>394778.86552720645</v>
      </c>
      <c r="L205" s="785">
        <v>410702.38081345003</v>
      </c>
      <c r="M205" s="863">
        <f t="shared" si="92"/>
        <v>0.96122857808930895</v>
      </c>
      <c r="O205" s="379">
        <v>390610.40522402897</v>
      </c>
      <c r="S205" s="765">
        <v>319755.54613367701</v>
      </c>
      <c r="T205" s="379">
        <f t="shared" si="93"/>
        <v>1.2346271090546312</v>
      </c>
    </row>
    <row r="206" spans="1:20" ht="15" customHeight="1">
      <c r="A206" s="503">
        <v>9</v>
      </c>
      <c r="B206" s="1347" t="s">
        <v>1841</v>
      </c>
      <c r="C206" s="507" t="s">
        <v>2380</v>
      </c>
      <c r="D206" s="439" t="s">
        <v>1836</v>
      </c>
      <c r="E206" s="878"/>
      <c r="F206" s="860">
        <f>'SS INPUT'!J453</f>
        <v>630431.99999999721</v>
      </c>
      <c r="G206" s="861"/>
      <c r="H206" s="507"/>
      <c r="I206" s="860">
        <f t="shared" si="94"/>
        <v>630431.99999999721</v>
      </c>
      <c r="J206" s="894">
        <f t="shared" si="95"/>
        <v>630431.99999999721</v>
      </c>
      <c r="K206" s="892">
        <f>J206*(1+K4)</f>
        <v>632963.45308251854</v>
      </c>
      <c r="L206" s="785">
        <v>440245.05479509401</v>
      </c>
      <c r="M206" s="863">
        <f t="shared" si="92"/>
        <v>1.4377525566462583</v>
      </c>
      <c r="O206" s="379">
        <v>556268.96118199802</v>
      </c>
      <c r="S206" s="765">
        <v>523555.46777046099</v>
      </c>
      <c r="T206" s="379">
        <f t="shared" si="93"/>
        <v>1.2089711445054081</v>
      </c>
    </row>
    <row r="207" spans="1:20">
      <c r="A207" s="503">
        <v>10</v>
      </c>
      <c r="B207" s="1347"/>
      <c r="C207" s="507" t="s">
        <v>2381</v>
      </c>
      <c r="D207" s="439" t="s">
        <v>1837</v>
      </c>
      <c r="E207" s="906"/>
      <c r="F207" s="860">
        <f>'SS INPUT'!J454</f>
        <v>1124159.9999999981</v>
      </c>
      <c r="G207" s="932"/>
      <c r="H207" s="507"/>
      <c r="I207" s="860">
        <f t="shared" si="94"/>
        <v>1124159.9999999981</v>
      </c>
      <c r="J207" s="894">
        <f t="shared" si="95"/>
        <v>1124159.9999999981</v>
      </c>
      <c r="K207" s="892">
        <f>J207*(1+K4)</f>
        <v>1128673.9813607908</v>
      </c>
      <c r="L207" s="785">
        <v>700743.04381361103</v>
      </c>
      <c r="M207" s="863">
        <f t="shared" si="92"/>
        <v>1.6106816775779569</v>
      </c>
      <c r="O207" s="379">
        <v>955722.43821904203</v>
      </c>
      <c r="S207" s="765">
        <v>727371.85043921799</v>
      </c>
      <c r="T207" s="379">
        <f t="shared" si="93"/>
        <v>1.551715234345747</v>
      </c>
    </row>
    <row r="208" spans="1:20">
      <c r="A208" s="503">
        <v>11</v>
      </c>
      <c r="B208" s="1347"/>
      <c r="C208" s="507" t="s">
        <v>2382</v>
      </c>
      <c r="D208" s="439" t="s">
        <v>1839</v>
      </c>
      <c r="E208" s="906"/>
      <c r="F208" s="860">
        <f>'SS INPUT'!J455</f>
        <v>538400.0000000014</v>
      </c>
      <c r="G208" s="932"/>
      <c r="H208" s="507"/>
      <c r="I208" s="860">
        <f t="shared" si="94"/>
        <v>538400.0000000014</v>
      </c>
      <c r="J208" s="894">
        <f t="shared" si="95"/>
        <v>538400.0000000014</v>
      </c>
      <c r="K208" s="892">
        <f>J208*(1+K4)</f>
        <v>540561.90539127192</v>
      </c>
      <c r="L208" s="785">
        <v>112344.99946198</v>
      </c>
      <c r="M208" s="863">
        <f t="shared" si="92"/>
        <v>4.8116240863413759</v>
      </c>
      <c r="O208" s="379">
        <v>132120.29530381001</v>
      </c>
      <c r="S208" s="765">
        <v>304669.01032767899</v>
      </c>
      <c r="T208" s="379">
        <f t="shared" si="93"/>
        <v>1.7742595638784671</v>
      </c>
    </row>
    <row r="209" spans="1:22">
      <c r="A209" s="503">
        <v>12</v>
      </c>
      <c r="B209" s="1347"/>
      <c r="C209" s="507" t="s">
        <v>2383</v>
      </c>
      <c r="D209" s="586" t="s">
        <v>1841</v>
      </c>
      <c r="E209" s="906"/>
      <c r="F209" s="860">
        <f>'SS INPUT'!J457</f>
        <v>480787.99999999814</v>
      </c>
      <c r="G209" s="932"/>
      <c r="H209" s="507"/>
      <c r="I209" s="860">
        <f t="shared" si="94"/>
        <v>480787.99999999814</v>
      </c>
      <c r="J209" s="894">
        <f t="shared" si="95"/>
        <v>480787.99999999814</v>
      </c>
      <c r="K209" s="892">
        <f>J209*(1+K4)</f>
        <v>482718.56866503938</v>
      </c>
      <c r="L209" s="785">
        <v>328927.83920494601</v>
      </c>
      <c r="M209" s="863">
        <f t="shared" si="92"/>
        <v>1.4675515755425934</v>
      </c>
      <c r="O209" s="379">
        <v>407675.54661600903</v>
      </c>
      <c r="S209" s="765">
        <v>265191.34039124998</v>
      </c>
      <c r="T209" s="379">
        <f t="shared" si="93"/>
        <v>1.8202652015441403</v>
      </c>
    </row>
    <row r="210" spans="1:22" ht="15.75" customHeight="1">
      <c r="A210" s="503">
        <v>13</v>
      </c>
      <c r="B210" s="1347" t="s">
        <v>1071</v>
      </c>
      <c r="C210" s="507" t="s">
        <v>2384</v>
      </c>
      <c r="D210" s="586" t="s">
        <v>1071</v>
      </c>
      <c r="E210" s="859"/>
      <c r="F210" s="860">
        <f>'SS INPUT'!J464</f>
        <v>399465.66800000292</v>
      </c>
      <c r="G210" s="861"/>
      <c r="H210" s="507"/>
      <c r="I210" s="860">
        <f t="shared" si="94"/>
        <v>399465.66800000292</v>
      </c>
      <c r="J210" s="894">
        <f t="shared" si="95"/>
        <v>399465.66800000292</v>
      </c>
      <c r="K210" s="892">
        <f>J210*(1+K4)</f>
        <v>401069.69285378582</v>
      </c>
      <c r="L210" s="785">
        <v>514878.60843189299</v>
      </c>
      <c r="M210" s="863">
        <f t="shared" si="92"/>
        <v>0.77895971261124641</v>
      </c>
      <c r="O210" s="379">
        <v>339342.37243187701</v>
      </c>
      <c r="S210" s="765">
        <v>336224.68105266098</v>
      </c>
      <c r="T210" s="379">
        <f t="shared" si="93"/>
        <v>1.1928621408699278</v>
      </c>
    </row>
    <row r="211" spans="1:22">
      <c r="A211" s="503">
        <v>14</v>
      </c>
      <c r="B211" s="1347"/>
      <c r="C211" s="507" t="s">
        <v>2385</v>
      </c>
      <c r="D211" s="586" t="s">
        <v>2386</v>
      </c>
      <c r="E211" s="878"/>
      <c r="F211" s="860">
        <f>'SS INPUT'!J465</f>
        <v>689598.27600000578</v>
      </c>
      <c r="G211" s="861"/>
      <c r="H211" s="507">
        <f>'11 KV HT'!L7</f>
        <v>18626</v>
      </c>
      <c r="I211" s="860">
        <f t="shared" si="94"/>
        <v>670972.27600000578</v>
      </c>
      <c r="J211" s="894">
        <f t="shared" si="95"/>
        <v>670692.88600000576</v>
      </c>
      <c r="K211" s="892">
        <f>J211*(1+K4)</f>
        <v>673386.00369341252</v>
      </c>
      <c r="L211" s="785">
        <v>274623.16399331298</v>
      </c>
      <c r="M211" s="863">
        <f t="shared" si="92"/>
        <v>2.4520364338596337</v>
      </c>
      <c r="O211" s="379">
        <v>623793.29341131903</v>
      </c>
      <c r="S211" s="765">
        <v>516318.62506414001</v>
      </c>
      <c r="T211" s="379">
        <f t="shared" si="93"/>
        <v>1.3042063001499524</v>
      </c>
    </row>
    <row r="212" spans="1:22" ht="18.75">
      <c r="A212" s="923"/>
      <c r="B212" s="923"/>
      <c r="C212" s="923"/>
      <c r="D212" s="899" t="s">
        <v>2387</v>
      </c>
      <c r="E212" s="891"/>
      <c r="F212" s="870">
        <f t="shared" ref="F212:K212" si="96">SUM(F198:F211)</f>
        <v>7619411.7240000069</v>
      </c>
      <c r="G212" s="871">
        <f t="shared" si="96"/>
        <v>0</v>
      </c>
      <c r="H212" s="870">
        <f t="shared" si="96"/>
        <v>54028</v>
      </c>
      <c r="I212" s="870">
        <f t="shared" si="96"/>
        <v>7565383.7240000069</v>
      </c>
      <c r="J212" s="898">
        <f t="shared" si="96"/>
        <v>7564573.304000007</v>
      </c>
      <c r="K212" s="870">
        <f t="shared" si="96"/>
        <v>7594948.288785629</v>
      </c>
      <c r="L212" s="870">
        <v>431101.523580237</v>
      </c>
      <c r="M212" s="863">
        <f t="shared" si="92"/>
        <v>17.617539891092616</v>
      </c>
      <c r="O212" s="379">
        <v>6119859.6037734197</v>
      </c>
      <c r="S212" s="765">
        <v>5822100.6855842397</v>
      </c>
      <c r="T212" s="379">
        <f t="shared" si="93"/>
        <v>1.3045030821248134</v>
      </c>
    </row>
    <row r="213" spans="1:22" ht="21">
      <c r="A213" s="503"/>
      <c r="B213" s="503"/>
      <c r="C213" s="503"/>
      <c r="D213" s="890" t="s">
        <v>2388</v>
      </c>
      <c r="E213" s="891"/>
      <c r="F213" s="507"/>
      <c r="G213" s="494"/>
      <c r="H213" s="507"/>
      <c r="I213" s="507">
        <f>F213-G213-H213</f>
        <v>0</v>
      </c>
      <c r="J213" s="914"/>
      <c r="K213" s="892"/>
      <c r="L213" s="785">
        <v>5383491.31300689</v>
      </c>
      <c r="M213" s="863">
        <f t="shared" si="92"/>
        <v>0</v>
      </c>
      <c r="T213" s="379" t="e">
        <f t="shared" si="93"/>
        <v>#DIV/0!</v>
      </c>
    </row>
    <row r="214" spans="1:22" ht="15.75">
      <c r="A214" s="503"/>
      <c r="B214" s="935"/>
      <c r="C214" s="503"/>
      <c r="D214" s="893" t="s">
        <v>1078</v>
      </c>
      <c r="E214" s="891"/>
      <c r="F214" s="507"/>
      <c r="G214" s="494"/>
      <c r="H214" s="507"/>
      <c r="I214" s="507"/>
      <c r="J214" s="914"/>
      <c r="K214" s="892"/>
      <c r="L214" s="785"/>
      <c r="M214" s="863" t="e">
        <f t="shared" si="92"/>
        <v>#DIV/0!</v>
      </c>
      <c r="T214" s="379" t="e">
        <f t="shared" si="93"/>
        <v>#DIV/0!</v>
      </c>
    </row>
    <row r="215" spans="1:22" ht="15" customHeight="1">
      <c r="A215" s="503">
        <v>15</v>
      </c>
      <c r="B215" s="1347" t="s">
        <v>1078</v>
      </c>
      <c r="C215" s="507" t="s">
        <v>2389</v>
      </c>
      <c r="D215" s="586" t="s">
        <v>1722</v>
      </c>
      <c r="E215" s="878"/>
      <c r="F215" s="860">
        <f>'SS INPUT'!J354</f>
        <v>1307492.3076923101</v>
      </c>
      <c r="G215" s="861">
        <v>62585.000000000597</v>
      </c>
      <c r="H215" s="507"/>
      <c r="I215" s="860">
        <f t="shared" ref="I215:I226" si="97">F215+G215-H215</f>
        <v>1370077.3076923108</v>
      </c>
      <c r="J215" s="894">
        <f t="shared" ref="J215:J226" si="98">F215+G215-(H215*1.015)</f>
        <v>1370077.3076923108</v>
      </c>
      <c r="K215" s="892">
        <f>J215*(1+K4)</f>
        <v>1375578.7518192749</v>
      </c>
      <c r="L215" s="785">
        <v>336924.613759203</v>
      </c>
      <c r="M215" s="863">
        <f t="shared" si="92"/>
        <v>4.0827493618569184</v>
      </c>
      <c r="O215" s="379">
        <v>1160839.4761292101</v>
      </c>
      <c r="P215" s="736">
        <f t="shared" ref="P215:P234" si="99">K215/O215</f>
        <v>1.1849861932729127</v>
      </c>
      <c r="R215" s="379">
        <f t="shared" ref="R215:R259" si="100">K215/S215</f>
        <v>0.75046177563975569</v>
      </c>
      <c r="S215" s="765">
        <v>1832976.43726973</v>
      </c>
      <c r="T215" s="379">
        <f t="shared" si="93"/>
        <v>0.75046177563975569</v>
      </c>
    </row>
    <row r="216" spans="1:22" ht="13.5" customHeight="1">
      <c r="A216" s="503">
        <v>16</v>
      </c>
      <c r="B216" s="1347"/>
      <c r="C216" s="507" t="s">
        <v>2390</v>
      </c>
      <c r="D216" s="586" t="s">
        <v>1724</v>
      </c>
      <c r="E216" s="878"/>
      <c r="F216" s="860">
        <f>'SS INPUT'!J355</f>
        <v>632339.99999999988</v>
      </c>
      <c r="G216" s="861"/>
      <c r="H216" s="507"/>
      <c r="I216" s="860">
        <f t="shared" si="97"/>
        <v>632339.99999999988</v>
      </c>
      <c r="J216" s="894">
        <f t="shared" si="98"/>
        <v>632339.99999999988</v>
      </c>
      <c r="K216" s="892">
        <f>J216*(1+K4)</f>
        <v>634879.11451544566</v>
      </c>
      <c r="L216" s="785">
        <v>434913.82822216599</v>
      </c>
      <c r="M216" s="863">
        <f t="shared" si="92"/>
        <v>1.4597813941917981</v>
      </c>
      <c r="O216" s="379">
        <v>652383.54695498198</v>
      </c>
      <c r="P216" s="736">
        <f t="shared" si="99"/>
        <v>0.97316849494252466</v>
      </c>
      <c r="R216" s="379">
        <f t="shared" si="100"/>
        <v>0.66812619627284153</v>
      </c>
      <c r="S216" s="765">
        <v>950238.32033100096</v>
      </c>
      <c r="T216" s="379">
        <f t="shared" si="93"/>
        <v>0.66812619627284153</v>
      </c>
    </row>
    <row r="217" spans="1:22" ht="18" customHeight="1">
      <c r="A217" s="503">
        <v>17</v>
      </c>
      <c r="B217" s="1347"/>
      <c r="C217" s="507" t="s">
        <v>2391</v>
      </c>
      <c r="D217" s="586" t="s">
        <v>1721</v>
      </c>
      <c r="E217" s="906"/>
      <c r="F217" s="860">
        <f>'SS INPUT'!J353</f>
        <v>402998</v>
      </c>
      <c r="G217" s="932"/>
      <c r="H217" s="507">
        <f>'11 KV HT'!K8+'11 KV HT'!K9+'11 KV HT'!K11+'11 KV HT'!K10</f>
        <v>117512</v>
      </c>
      <c r="I217" s="860">
        <f t="shared" si="97"/>
        <v>285486</v>
      </c>
      <c r="J217" s="894">
        <f t="shared" si="98"/>
        <v>283723.32</v>
      </c>
      <c r="K217" s="892">
        <f>J217*(1+K4)</f>
        <v>284862.5900132563</v>
      </c>
      <c r="L217" s="936">
        <v>98378.708332126698</v>
      </c>
      <c r="M217" s="863">
        <f t="shared" si="92"/>
        <v>2.895571560581581</v>
      </c>
      <c r="O217" s="379">
        <v>154403.09746636901</v>
      </c>
      <c r="P217" s="736">
        <f t="shared" si="99"/>
        <v>1.8449279495529747</v>
      </c>
      <c r="R217" s="379">
        <f t="shared" si="100"/>
        <v>1.0382434948819081</v>
      </c>
      <c r="S217" s="765">
        <v>274369.73255070299</v>
      </c>
      <c r="T217" s="379">
        <f t="shared" si="93"/>
        <v>1.0382434948819081</v>
      </c>
    </row>
    <row r="218" spans="1:22">
      <c r="A218" s="503">
        <v>18</v>
      </c>
      <c r="B218" s="1347"/>
      <c r="C218" s="507" t="s">
        <v>2392</v>
      </c>
      <c r="D218" s="586" t="s">
        <v>1310</v>
      </c>
      <c r="E218" s="906"/>
      <c r="F218" s="860">
        <f>'SS INPUT'!J352</f>
        <v>793200.00000001164</v>
      </c>
      <c r="G218" s="932"/>
      <c r="H218" s="184"/>
      <c r="I218" s="860">
        <f t="shared" si="97"/>
        <v>793200.00000001164</v>
      </c>
      <c r="J218" s="894">
        <f t="shared" si="98"/>
        <v>793200.00000001164</v>
      </c>
      <c r="K218" s="892">
        <f>J218*(1+K4)</f>
        <v>796385.03595163836</v>
      </c>
      <c r="L218" s="936">
        <v>369601.28352810099</v>
      </c>
      <c r="M218" s="863">
        <f t="shared" si="92"/>
        <v>2.154713934836995</v>
      </c>
      <c r="O218" s="379">
        <v>622658.24001793005</v>
      </c>
      <c r="P218" s="736">
        <f t="shared" si="99"/>
        <v>1.2790082661215656</v>
      </c>
      <c r="R218" s="379">
        <f t="shared" si="100"/>
        <v>0.71409372005919958</v>
      </c>
      <c r="S218" s="765">
        <v>1115238.8175121001</v>
      </c>
      <c r="T218" s="379">
        <f t="shared" si="93"/>
        <v>0.71409372005919958</v>
      </c>
    </row>
    <row r="219" spans="1:22">
      <c r="A219" s="503">
        <v>19</v>
      </c>
      <c r="B219" s="1347"/>
      <c r="C219" s="507" t="s">
        <v>2393</v>
      </c>
      <c r="D219" s="937" t="s">
        <v>2394</v>
      </c>
      <c r="E219" s="878"/>
      <c r="F219" s="860">
        <f>'SS INPUT'!J356</f>
        <v>729600.00000000582</v>
      </c>
      <c r="G219" s="861"/>
      <c r="H219" s="507">
        <f>SUM('11 KV HT'!K13:K28)</f>
        <v>524942</v>
      </c>
      <c r="I219" s="860">
        <f t="shared" si="97"/>
        <v>204658.00000000582</v>
      </c>
      <c r="J219" s="894">
        <f t="shared" si="98"/>
        <v>196783.87000000582</v>
      </c>
      <c r="K219" s="892">
        <f>J219*(1+K4)</f>
        <v>197574.04107999857</v>
      </c>
      <c r="L219" s="936">
        <v>184411.87710269701</v>
      </c>
      <c r="M219" s="863">
        <f t="shared" si="92"/>
        <v>1.0713737324520138</v>
      </c>
      <c r="O219" s="379">
        <v>242166.97304760499</v>
      </c>
      <c r="P219" s="736">
        <f t="shared" si="99"/>
        <v>0.81585873826469157</v>
      </c>
      <c r="R219" s="379">
        <f t="shared" si="100"/>
        <v>0.78584419060085575</v>
      </c>
      <c r="S219" s="765">
        <v>251416.30293014401</v>
      </c>
      <c r="T219" s="379">
        <f t="shared" si="93"/>
        <v>0.78584419060085575</v>
      </c>
    </row>
    <row r="220" spans="1:22">
      <c r="A220" s="503">
        <v>20</v>
      </c>
      <c r="B220" s="1347"/>
      <c r="C220" s="507" t="s">
        <v>2395</v>
      </c>
      <c r="D220" s="586" t="s">
        <v>1728</v>
      </c>
      <c r="E220" s="878" t="s">
        <v>1743</v>
      </c>
      <c r="F220" s="860">
        <f>'SS INPUT'!J357</f>
        <v>672599.99999999942</v>
      </c>
      <c r="G220" s="861">
        <v>-336300</v>
      </c>
      <c r="H220" s="507"/>
      <c r="I220" s="860">
        <f t="shared" si="97"/>
        <v>336299.99999999942</v>
      </c>
      <c r="J220" s="894">
        <f t="shared" si="98"/>
        <v>336299.99999999942</v>
      </c>
      <c r="K220" s="892">
        <f>J220*(1+K4)</f>
        <v>337650.38778433134</v>
      </c>
      <c r="L220" s="936">
        <v>288664.31371353997</v>
      </c>
      <c r="M220" s="863">
        <f t="shared" si="92"/>
        <v>1.1696990994162284</v>
      </c>
      <c r="N220" s="379">
        <f>F220/3</f>
        <v>224199.9999999998</v>
      </c>
      <c r="O220" s="379">
        <v>416661.448942866</v>
      </c>
      <c r="P220" s="736">
        <f t="shared" si="99"/>
        <v>0.81037107858430901</v>
      </c>
      <c r="R220" s="379">
        <f t="shared" si="100"/>
        <v>0.68911784421886313</v>
      </c>
      <c r="S220" s="765">
        <v>489974.81434698403</v>
      </c>
      <c r="T220" s="379">
        <f t="shared" si="93"/>
        <v>0.68911784421886313</v>
      </c>
      <c r="U220" s="379">
        <f>F220/2</f>
        <v>336299.99999999971</v>
      </c>
      <c r="V220" s="379">
        <f>U220*55</f>
        <v>18496499.999999985</v>
      </c>
    </row>
    <row r="221" spans="1:22">
      <c r="A221" s="503">
        <v>21</v>
      </c>
      <c r="B221" s="1347"/>
      <c r="C221" s="507" t="s">
        <v>2396</v>
      </c>
      <c r="D221" s="586" t="s">
        <v>1730</v>
      </c>
      <c r="E221" s="878"/>
      <c r="F221" s="860">
        <f>'SS INPUT'!J358</f>
        <v>97238.438200001023</v>
      </c>
      <c r="G221" s="861"/>
      <c r="H221" s="507"/>
      <c r="I221" s="860">
        <f t="shared" si="97"/>
        <v>97238.438200001023</v>
      </c>
      <c r="J221" s="894">
        <f t="shared" si="98"/>
        <v>97238.438200001023</v>
      </c>
      <c r="K221" s="892">
        <f>J221*(1+K4)</f>
        <v>97628.891958885331</v>
      </c>
      <c r="L221" s="936">
        <v>97499.676339084195</v>
      </c>
      <c r="M221" s="863">
        <f t="shared" si="92"/>
        <v>1.0013252928076577</v>
      </c>
      <c r="O221" s="379">
        <v>165145.19411114501</v>
      </c>
      <c r="P221" s="736">
        <f t="shared" si="99"/>
        <v>0.59117004575488719</v>
      </c>
      <c r="R221" s="379">
        <f t="shared" si="100"/>
        <v>0.33370187756953035</v>
      </c>
      <c r="S221" s="765">
        <v>292563.20842409198</v>
      </c>
      <c r="T221" s="379">
        <f t="shared" si="93"/>
        <v>0.33370187756953035</v>
      </c>
      <c r="U221" s="379">
        <f>U220*55</f>
        <v>18496499.999999985</v>
      </c>
      <c r="V221" s="379">
        <f>F220/100</f>
        <v>6725.9999999999945</v>
      </c>
    </row>
    <row r="222" spans="1:22" ht="15" customHeight="1">
      <c r="A222" s="503">
        <v>22</v>
      </c>
      <c r="B222" s="1347" t="s">
        <v>2397</v>
      </c>
      <c r="C222" s="507" t="s">
        <v>2398</v>
      </c>
      <c r="D222" s="439" t="s">
        <v>1336</v>
      </c>
      <c r="E222" s="878" t="s">
        <v>1859</v>
      </c>
      <c r="F222" s="860">
        <f>'SS INPUT'!J480</f>
        <v>1390020.0000000005</v>
      </c>
      <c r="G222" s="861"/>
      <c r="H222" s="507"/>
      <c r="I222" s="860">
        <f t="shared" si="97"/>
        <v>1390020.0000000005</v>
      </c>
      <c r="J222" s="894">
        <f t="shared" si="98"/>
        <v>1390020.0000000005</v>
      </c>
      <c r="K222" s="892">
        <f>J222*(1+K4)</f>
        <v>1395601.5225333844</v>
      </c>
      <c r="L222" s="785">
        <v>528701.17378850805</v>
      </c>
      <c r="M222" s="863">
        <f t="shared" si="92"/>
        <v>2.6396792587633922</v>
      </c>
      <c r="O222" s="379">
        <v>933738.95913330605</v>
      </c>
      <c r="P222" s="736">
        <f t="shared" si="99"/>
        <v>1.4946377773813551</v>
      </c>
      <c r="R222" s="379">
        <f t="shared" si="100"/>
        <v>0.81966409049452826</v>
      </c>
      <c r="S222" s="765">
        <v>1702650.559806</v>
      </c>
      <c r="T222" s="379">
        <f t="shared" si="93"/>
        <v>0.81966409049452826</v>
      </c>
      <c r="V222" s="379">
        <f>V221*35</f>
        <v>235409.9999999998</v>
      </c>
    </row>
    <row r="223" spans="1:22">
      <c r="A223" s="503">
        <v>23</v>
      </c>
      <c r="B223" s="1347"/>
      <c r="C223" s="507" t="s">
        <v>2399</v>
      </c>
      <c r="D223" s="766" t="s">
        <v>1859</v>
      </c>
      <c r="E223" s="878" t="s">
        <v>2400</v>
      </c>
      <c r="F223" s="860">
        <f>'SS INPUT'!J481</f>
        <v>499619.99999999715</v>
      </c>
      <c r="G223" s="861"/>
      <c r="H223" s="507"/>
      <c r="I223" s="860">
        <f t="shared" si="97"/>
        <v>499619.99999999715</v>
      </c>
      <c r="J223" s="894">
        <f t="shared" si="98"/>
        <v>499619.99999999715</v>
      </c>
      <c r="K223" s="892">
        <f>J223*(1+K4)</f>
        <v>501626.18716862012</v>
      </c>
      <c r="L223" s="785">
        <v>402155.568765982</v>
      </c>
      <c r="M223" s="863">
        <f t="shared" si="92"/>
        <v>1.2473436304956926</v>
      </c>
      <c r="O223" s="379">
        <v>498913.19484416902</v>
      </c>
      <c r="P223" s="736">
        <f t="shared" si="99"/>
        <v>1.0054378043164371</v>
      </c>
      <c r="R223" s="379">
        <f t="shared" si="100"/>
        <v>0.82631306372171287</v>
      </c>
      <c r="S223" s="765">
        <v>607065.54112710804</v>
      </c>
      <c r="T223" s="379">
        <f t="shared" si="93"/>
        <v>0.82631306372171287</v>
      </c>
    </row>
    <row r="224" spans="1:22">
      <c r="A224" s="503">
        <v>24</v>
      </c>
      <c r="B224" s="1347"/>
      <c r="C224" s="507" t="s">
        <v>2401</v>
      </c>
      <c r="D224" s="766" t="s">
        <v>1861</v>
      </c>
      <c r="E224" s="878"/>
      <c r="F224" s="860">
        <f>'SS INPUT'!J482</f>
        <v>714420.00000000373</v>
      </c>
      <c r="G224" s="861"/>
      <c r="H224" s="507"/>
      <c r="I224" s="860">
        <f t="shared" si="97"/>
        <v>714420.00000000373</v>
      </c>
      <c r="J224" s="894">
        <f t="shared" si="98"/>
        <v>714420.00000000373</v>
      </c>
      <c r="K224" s="892">
        <f>J224*(1+K4)</f>
        <v>717288.70068654069</v>
      </c>
      <c r="L224" s="785">
        <v>196549.55673711601</v>
      </c>
      <c r="M224" s="863">
        <f t="shared" si="92"/>
        <v>3.6494038073355237</v>
      </c>
      <c r="O224" s="379">
        <v>452586.42818326398</v>
      </c>
      <c r="P224" s="736">
        <f t="shared" si="99"/>
        <v>1.5848656875678382</v>
      </c>
      <c r="R224" s="379">
        <f t="shared" si="100"/>
        <v>0.71887463497242021</v>
      </c>
      <c r="S224" s="765">
        <v>997793.86528787401</v>
      </c>
      <c r="T224" s="379">
        <f t="shared" si="93"/>
        <v>0.71887463497242021</v>
      </c>
    </row>
    <row r="225" spans="1:23">
      <c r="A225" s="503">
        <v>25</v>
      </c>
      <c r="B225" s="884"/>
      <c r="C225" s="507" t="s">
        <v>2402</v>
      </c>
      <c r="D225" s="586" t="s">
        <v>1753</v>
      </c>
      <c r="E225" s="878"/>
      <c r="F225" s="860">
        <f>'SS INPUT'!J381</f>
        <v>804746.09270000004</v>
      </c>
      <c r="G225" s="861"/>
      <c r="H225" s="507"/>
      <c r="I225" s="860">
        <f t="shared" si="97"/>
        <v>804746.09270000004</v>
      </c>
      <c r="J225" s="894">
        <f t="shared" si="98"/>
        <v>804746.09270000004</v>
      </c>
      <c r="K225" s="892">
        <f>J225*(1+K4)</f>
        <v>807977.49113315763</v>
      </c>
      <c r="L225" s="785">
        <v>619673.67514253897</v>
      </c>
      <c r="M225" s="863"/>
      <c r="O225" s="379">
        <v>893829.21555769502</v>
      </c>
      <c r="P225" s="736">
        <f t="shared" si="99"/>
        <v>0.90395063964096189</v>
      </c>
      <c r="R225" s="379">
        <f t="shared" si="100"/>
        <v>0.747176421150062</v>
      </c>
      <c r="S225" s="765">
        <v>1081374.4495436701</v>
      </c>
      <c r="T225" s="379">
        <f t="shared" si="93"/>
        <v>0.747176421150062</v>
      </c>
    </row>
    <row r="226" spans="1:23">
      <c r="A226" s="503">
        <v>26</v>
      </c>
      <c r="B226" s="884"/>
      <c r="C226" s="507"/>
      <c r="D226" s="586" t="s">
        <v>1745</v>
      </c>
      <c r="E226" s="878"/>
      <c r="F226" s="860">
        <f>'SS INPUT'!J371</f>
        <v>475499.99999999971</v>
      </c>
      <c r="G226" s="861"/>
      <c r="H226" s="507"/>
      <c r="I226" s="860">
        <f t="shared" si="97"/>
        <v>475499.99999999971</v>
      </c>
      <c r="J226" s="894">
        <f t="shared" si="98"/>
        <v>475499.99999999971</v>
      </c>
      <c r="K226" s="892">
        <f>J226*(1+K4)</f>
        <v>477409.33509203006</v>
      </c>
      <c r="L226" s="785"/>
      <c r="M226" s="863"/>
      <c r="P226" s="736" t="e">
        <f t="shared" si="99"/>
        <v>#DIV/0!</v>
      </c>
      <c r="R226" s="379">
        <f t="shared" si="100"/>
        <v>1.3534711639164139</v>
      </c>
      <c r="S226" s="765">
        <v>352729.59470417898</v>
      </c>
      <c r="U226" s="379">
        <f>12500*35</f>
        <v>437500</v>
      </c>
    </row>
    <row r="227" spans="1:23" ht="37.5">
      <c r="A227" s="503"/>
      <c r="B227" s="935"/>
      <c r="C227" s="503"/>
      <c r="D227" s="899" t="s">
        <v>2403</v>
      </c>
      <c r="E227" s="891"/>
      <c r="F227" s="870">
        <f t="shared" ref="F227:K227" si="101">SUM(F215:F226)</f>
        <v>8519774.8385923281</v>
      </c>
      <c r="G227" s="870">
        <f t="shared" si="101"/>
        <v>-273714.99999999942</v>
      </c>
      <c r="H227" s="870">
        <f t="shared" si="101"/>
        <v>642454</v>
      </c>
      <c r="I227" s="870">
        <f t="shared" si="101"/>
        <v>7603605.83859233</v>
      </c>
      <c r="J227" s="870">
        <f t="shared" si="101"/>
        <v>7593969.0285923295</v>
      </c>
      <c r="K227" s="870">
        <f t="shared" si="101"/>
        <v>7624462.049736565</v>
      </c>
      <c r="L227" s="870">
        <f>SUM(L215:L225)</f>
        <v>3557474.275431063</v>
      </c>
      <c r="M227" s="863">
        <f t="shared" ref="M227:M234" si="102">K227/L227</f>
        <v>2.1432233824973199</v>
      </c>
      <c r="O227" s="379">
        <v>6193325.7743885396</v>
      </c>
      <c r="P227" s="736">
        <f t="shared" si="99"/>
        <v>1.2310771833230942</v>
      </c>
      <c r="R227" s="379">
        <f t="shared" si="100"/>
        <v>0.76640147701287165</v>
      </c>
      <c r="S227" s="765">
        <v>9948391.6438335795</v>
      </c>
      <c r="T227" s="379">
        <f>K226/S227</f>
        <v>4.7988594758223847E-2</v>
      </c>
      <c r="U227" s="379">
        <v>10666974.2877969</v>
      </c>
    </row>
    <row r="228" spans="1:23">
      <c r="A228" s="503">
        <v>27</v>
      </c>
      <c r="B228" s="938"/>
      <c r="C228" s="507"/>
      <c r="D228" s="586" t="s">
        <v>1077</v>
      </c>
      <c r="E228" s="878" t="s">
        <v>2404</v>
      </c>
      <c r="F228" s="860">
        <f>'SS INPUT'!J359</f>
        <v>121280.00000000065</v>
      </c>
      <c r="G228" s="861">
        <v>-62585.000000000597</v>
      </c>
      <c r="H228" s="507">
        <f>'11 KV HT'!L12</f>
        <v>58695</v>
      </c>
      <c r="I228" s="507">
        <v>0</v>
      </c>
      <c r="J228" s="894">
        <v>0</v>
      </c>
      <c r="K228" s="892">
        <v>0</v>
      </c>
      <c r="L228" s="785">
        <v>0</v>
      </c>
      <c r="M228" s="863" t="e">
        <f t="shared" si="102"/>
        <v>#DIV/0!</v>
      </c>
      <c r="O228" s="379">
        <v>0</v>
      </c>
      <c r="P228" s="736" t="e">
        <f t="shared" si="99"/>
        <v>#DIV/0!</v>
      </c>
      <c r="Q228" s="379" t="e">
        <f t="shared" ref="Q228:Q234" si="103">K228/P228</f>
        <v>#DIV/0!</v>
      </c>
      <c r="R228" s="379" t="e">
        <f t="shared" si="100"/>
        <v>#DIV/0!</v>
      </c>
      <c r="S228" s="765">
        <v>0</v>
      </c>
      <c r="T228" s="379" t="e">
        <f t="shared" ref="T228:T273" si="104">K228/S228</f>
        <v>#DIV/0!</v>
      </c>
    </row>
    <row r="229" spans="1:23" ht="14.25" customHeight="1">
      <c r="A229" s="503">
        <v>28</v>
      </c>
      <c r="B229" s="1347" t="s">
        <v>2405</v>
      </c>
      <c r="C229" s="507" t="s">
        <v>2406</v>
      </c>
      <c r="D229" s="586" t="s">
        <v>1739</v>
      </c>
      <c r="E229" s="906" t="s">
        <v>2407</v>
      </c>
      <c r="F229" s="860">
        <f>'SS INPUT'!J368</f>
        <v>0</v>
      </c>
      <c r="G229" s="932"/>
      <c r="H229" s="507"/>
      <c r="I229" s="860">
        <f t="shared" ref="I229:I242" si="105">F229+G229-H229</f>
        <v>0</v>
      </c>
      <c r="J229" s="894">
        <f t="shared" ref="J229:J242" si="106">F229+G229-(H229*1.015)</f>
        <v>0</v>
      </c>
      <c r="K229" s="892">
        <f>J229*(1+K4)</f>
        <v>0</v>
      </c>
      <c r="L229" s="785">
        <v>34471.642889759198</v>
      </c>
      <c r="M229" s="863">
        <f t="shared" si="102"/>
        <v>0</v>
      </c>
      <c r="O229" s="379">
        <v>39951.143724558497</v>
      </c>
      <c r="P229" s="736">
        <f t="shared" si="99"/>
        <v>0</v>
      </c>
      <c r="Q229" s="379" t="e">
        <f t="shared" si="103"/>
        <v>#DIV/0!</v>
      </c>
      <c r="R229" s="379">
        <f t="shared" si="100"/>
        <v>0</v>
      </c>
      <c r="S229" s="765">
        <v>685389.87685774604</v>
      </c>
      <c r="T229" s="379">
        <f t="shared" si="104"/>
        <v>0</v>
      </c>
    </row>
    <row r="230" spans="1:23">
      <c r="A230" s="503">
        <v>29</v>
      </c>
      <c r="B230" s="1347"/>
      <c r="C230" s="507" t="s">
        <v>2408</v>
      </c>
      <c r="D230" s="586" t="s">
        <v>2409</v>
      </c>
      <c r="E230" s="878" t="s">
        <v>2410</v>
      </c>
      <c r="F230" s="860">
        <f>'SS INPUT'!J370</f>
        <v>295400.00000000873</v>
      </c>
      <c r="G230" s="861">
        <v>336299.99999999971</v>
      </c>
      <c r="H230" s="507"/>
      <c r="I230" s="860">
        <f t="shared" si="105"/>
        <v>631700.00000000838</v>
      </c>
      <c r="J230" s="894">
        <f t="shared" si="106"/>
        <v>631700.00000000838</v>
      </c>
      <c r="K230" s="892">
        <f>J230*(1+K4)</f>
        <v>634236.5446427752</v>
      </c>
      <c r="L230" s="785">
        <v>343288.60936963803</v>
      </c>
      <c r="M230" s="863">
        <f t="shared" si="102"/>
        <v>1.8475315735275599</v>
      </c>
      <c r="O230" s="379">
        <v>777494.79704370396</v>
      </c>
      <c r="P230" s="736">
        <f t="shared" si="99"/>
        <v>0.81574377996400149</v>
      </c>
      <c r="Q230" s="379">
        <f t="shared" si="103"/>
        <v>777494.79704370396</v>
      </c>
      <c r="R230" s="379">
        <f t="shared" si="100"/>
        <v>0.30766281090040226</v>
      </c>
      <c r="S230" s="765">
        <v>2061466.39168584</v>
      </c>
      <c r="T230" s="379">
        <f t="shared" si="104"/>
        <v>0.30766281090040226</v>
      </c>
    </row>
    <row r="231" spans="1:23">
      <c r="A231" s="503">
        <v>30</v>
      </c>
      <c r="B231" s="1347"/>
      <c r="C231" s="507" t="s">
        <v>2411</v>
      </c>
      <c r="D231" s="586" t="s">
        <v>2412</v>
      </c>
      <c r="E231" s="878"/>
      <c r="F231" s="860">
        <f>'SS INPUT'!J367</f>
        <v>1006200.000000008</v>
      </c>
      <c r="G231" s="861"/>
      <c r="H231" s="507"/>
      <c r="I231" s="860">
        <f t="shared" si="105"/>
        <v>1006200.000000008</v>
      </c>
      <c r="J231" s="894">
        <f t="shared" si="106"/>
        <v>1006200.000000008</v>
      </c>
      <c r="K231" s="892">
        <f>J231*(1+K4)</f>
        <v>1010240.3217026389</v>
      </c>
      <c r="L231" s="785">
        <v>443643.92476466199</v>
      </c>
      <c r="M231" s="863">
        <f t="shared" si="102"/>
        <v>2.277142242483174</v>
      </c>
      <c r="O231" s="379">
        <v>760106.73449000798</v>
      </c>
      <c r="P231" s="736">
        <f t="shared" si="99"/>
        <v>1.3290769254668655</v>
      </c>
      <c r="Q231" s="379">
        <f t="shared" si="103"/>
        <v>760106.73449000798</v>
      </c>
      <c r="R231" s="379">
        <f t="shared" si="100"/>
        <v>0.71815223202257572</v>
      </c>
      <c r="S231" s="765">
        <v>1406721.6902709301</v>
      </c>
      <c r="T231" s="379">
        <f t="shared" si="104"/>
        <v>0.71815223202257572</v>
      </c>
    </row>
    <row r="232" spans="1:23">
      <c r="A232" s="503">
        <v>31</v>
      </c>
      <c r="B232" s="1347"/>
      <c r="C232" s="507" t="s">
        <v>2413</v>
      </c>
      <c r="D232" s="586" t="s">
        <v>2414</v>
      </c>
      <c r="E232" s="878"/>
      <c r="F232" s="860">
        <f>'SS INPUT'!J369</f>
        <v>391760.54770001164</v>
      </c>
      <c r="G232" s="861"/>
      <c r="H232" s="507"/>
      <c r="I232" s="860">
        <f t="shared" si="105"/>
        <v>391760.54770001164</v>
      </c>
      <c r="J232" s="894">
        <f t="shared" si="106"/>
        <v>391760.54770001164</v>
      </c>
      <c r="K232" s="892">
        <f>J232*(1+K4)</f>
        <v>393333.63321293838</v>
      </c>
      <c r="L232" s="785">
        <v>188064.229256569</v>
      </c>
      <c r="M232" s="863">
        <f t="shared" si="102"/>
        <v>2.0914856310943004</v>
      </c>
      <c r="O232" s="379">
        <v>286489.03064656199</v>
      </c>
      <c r="P232" s="736">
        <f t="shared" si="99"/>
        <v>1.3729448290751114</v>
      </c>
      <c r="Q232" s="379">
        <f t="shared" si="103"/>
        <v>286489.03064656199</v>
      </c>
      <c r="R232" s="379">
        <f t="shared" si="100"/>
        <v>0.84974873569038678</v>
      </c>
      <c r="S232" s="765">
        <v>462882.28118794499</v>
      </c>
      <c r="T232" s="379">
        <f t="shared" si="104"/>
        <v>0.84974873569038678</v>
      </c>
    </row>
    <row r="233" spans="1:23" ht="16.5" customHeight="1">
      <c r="A233" s="503">
        <v>32</v>
      </c>
      <c r="B233" s="1347" t="s">
        <v>2415</v>
      </c>
      <c r="C233" s="507" t="s">
        <v>2416</v>
      </c>
      <c r="D233" s="586" t="s">
        <v>2417</v>
      </c>
      <c r="E233" s="878"/>
      <c r="F233" s="860">
        <f>'SS INPUT'!J385</f>
        <v>242700</v>
      </c>
      <c r="G233" s="861"/>
      <c r="H233" s="507"/>
      <c r="I233" s="860">
        <f t="shared" si="105"/>
        <v>242700</v>
      </c>
      <c r="J233" s="894">
        <f t="shared" si="106"/>
        <v>242700</v>
      </c>
      <c r="K233" s="892">
        <f>J233*(1+K4)</f>
        <v>243674.5439050174</v>
      </c>
      <c r="L233" s="785">
        <v>114633.510674823</v>
      </c>
      <c r="M233" s="863">
        <f t="shared" si="102"/>
        <v>2.1256833405045121</v>
      </c>
      <c r="N233" s="765">
        <f>K233-236659</f>
        <v>7015.5439050174027</v>
      </c>
      <c r="O233" s="379">
        <v>279451.00532720698</v>
      </c>
      <c r="P233" s="736">
        <f t="shared" si="99"/>
        <v>0.87197590726038288</v>
      </c>
      <c r="Q233" s="379">
        <f t="shared" si="103"/>
        <v>279451.00532720698</v>
      </c>
      <c r="R233" s="379">
        <f t="shared" si="100"/>
        <v>0.76910378394030665</v>
      </c>
      <c r="S233" s="765">
        <v>316829.20952048001</v>
      </c>
      <c r="T233" s="379">
        <f t="shared" si="104"/>
        <v>0.76910378394030665</v>
      </c>
    </row>
    <row r="234" spans="1:23">
      <c r="A234" s="503">
        <v>33</v>
      </c>
      <c r="B234" s="1347"/>
      <c r="C234" s="507" t="s">
        <v>2418</v>
      </c>
      <c r="D234" s="586" t="s">
        <v>2419</v>
      </c>
      <c r="E234" s="906"/>
      <c r="F234" s="860">
        <f>'SS INPUT'!J372</f>
        <v>830619.99999999977</v>
      </c>
      <c r="G234" s="932"/>
      <c r="H234" s="507"/>
      <c r="I234" s="860">
        <f t="shared" si="105"/>
        <v>830619.99999999977</v>
      </c>
      <c r="J234" s="894">
        <f t="shared" si="106"/>
        <v>830619.99999999977</v>
      </c>
      <c r="K234" s="892">
        <f>J234*(1+K4)</f>
        <v>833955.293194831</v>
      </c>
      <c r="L234" s="785">
        <v>601893.242534852</v>
      </c>
      <c r="M234" s="863">
        <f t="shared" si="102"/>
        <v>1.3855535072675977</v>
      </c>
      <c r="O234" s="379">
        <v>859185.57092690095</v>
      </c>
      <c r="P234" s="736">
        <f t="shared" si="99"/>
        <v>0.97063465846516583</v>
      </c>
      <c r="Q234" s="379">
        <f t="shared" si="103"/>
        <v>859185.57092690095</v>
      </c>
      <c r="R234" s="379">
        <f t="shared" si="100"/>
        <v>0.76096544377346975</v>
      </c>
      <c r="S234" s="765">
        <v>1095917.4296528101</v>
      </c>
      <c r="T234" s="379">
        <f t="shared" si="104"/>
        <v>0.76096544377346975</v>
      </c>
    </row>
    <row r="235" spans="1:23">
      <c r="A235" s="503">
        <v>34</v>
      </c>
      <c r="B235" s="1347"/>
      <c r="C235" s="507" t="s">
        <v>2420</v>
      </c>
      <c r="D235" s="586" t="s">
        <v>2421</v>
      </c>
      <c r="E235" s="906"/>
      <c r="F235" s="860">
        <f>'SS INPUT'!J383</f>
        <v>493177.30910000001</v>
      </c>
      <c r="G235" s="932"/>
      <c r="H235" s="507"/>
      <c r="I235" s="860">
        <f t="shared" si="105"/>
        <v>493177.30910000001</v>
      </c>
      <c r="J235" s="894">
        <f t="shared" si="106"/>
        <v>493177.30910000001</v>
      </c>
      <c r="K235" s="892">
        <f>J235*(1+K4)</f>
        <v>495157.62611967983</v>
      </c>
      <c r="L235" s="785"/>
      <c r="M235" s="863"/>
      <c r="O235" s="379">
        <v>445465.60256603599</v>
      </c>
      <c r="P235" s="736"/>
      <c r="R235" s="379">
        <f t="shared" si="100"/>
        <v>0.79445050849885934</v>
      </c>
      <c r="S235" s="765">
        <v>623270.57610586297</v>
      </c>
      <c r="T235" s="379">
        <f t="shared" si="104"/>
        <v>0.79445050849885934</v>
      </c>
    </row>
    <row r="236" spans="1:23">
      <c r="A236" s="503">
        <v>35</v>
      </c>
      <c r="B236" s="1347"/>
      <c r="C236" s="507" t="s">
        <v>2422</v>
      </c>
      <c r="D236" s="586" t="s">
        <v>2423</v>
      </c>
      <c r="E236" s="878"/>
      <c r="F236" s="860">
        <f>'SS INPUT'!J386</f>
        <v>550320.00000000047</v>
      </c>
      <c r="G236" s="861"/>
      <c r="H236" s="507"/>
      <c r="I236" s="860">
        <f t="shared" si="105"/>
        <v>550320.00000000047</v>
      </c>
      <c r="J236" s="894">
        <f t="shared" si="106"/>
        <v>550320.00000000047</v>
      </c>
      <c r="K236" s="892">
        <f>J236*(1+K4)</f>
        <v>552529.76926991879</v>
      </c>
      <c r="L236" s="785">
        <v>292091.08058068599</v>
      </c>
      <c r="M236" s="863">
        <f t="shared" ref="M236:M258" si="107">K236/L236</f>
        <v>1.8916351987588007</v>
      </c>
      <c r="N236" s="765">
        <f>756190-K234</f>
        <v>-77765.293194831</v>
      </c>
      <c r="O236" s="379">
        <v>321679.157243322</v>
      </c>
      <c r="P236" s="736">
        <f t="shared" ref="P236:P258" si="108">K236/O236</f>
        <v>1.7176424298201534</v>
      </c>
      <c r="Q236" s="379">
        <f t="shared" ref="Q236:Q243" si="109">K236/P236</f>
        <v>321679.157243322</v>
      </c>
      <c r="R236" s="379">
        <f t="shared" si="100"/>
        <v>0.77087012823906809</v>
      </c>
      <c r="S236" s="765">
        <v>716761.16252174205</v>
      </c>
      <c r="T236" s="379">
        <f t="shared" si="104"/>
        <v>0.77087012823906809</v>
      </c>
      <c r="W236" s="379">
        <f>7426+3360</f>
        <v>10786</v>
      </c>
    </row>
    <row r="237" spans="1:23" ht="23.25">
      <c r="A237" s="503">
        <v>36</v>
      </c>
      <c r="B237" s="1347"/>
      <c r="C237" s="507" t="s">
        <v>2424</v>
      </c>
      <c r="D237" s="586" t="s">
        <v>2425</v>
      </c>
      <c r="E237" s="906" t="s">
        <v>1739</v>
      </c>
      <c r="F237" s="860">
        <f>'SS INPUT'!J382</f>
        <v>474600.00000000035</v>
      </c>
      <c r="G237" s="861"/>
      <c r="H237" s="507"/>
      <c r="I237" s="860">
        <f t="shared" si="105"/>
        <v>474600.00000000035</v>
      </c>
      <c r="J237" s="894">
        <f t="shared" si="106"/>
        <v>474600.00000000035</v>
      </c>
      <c r="K237" s="892">
        <f>J237*(1+K4)</f>
        <v>476505.72120857576</v>
      </c>
      <c r="L237" s="785">
        <v>203974.21828260299</v>
      </c>
      <c r="M237" s="863">
        <f t="shared" si="107"/>
        <v>2.3361075984043471</v>
      </c>
      <c r="N237" s="765">
        <f>384782-K236</f>
        <v>-167747.76926991879</v>
      </c>
      <c r="O237" s="379">
        <v>940103.36262930103</v>
      </c>
      <c r="P237" s="736">
        <f t="shared" si="108"/>
        <v>0.50686524498314145</v>
      </c>
      <c r="Q237" s="379">
        <f t="shared" si="109"/>
        <v>940103.36262930115</v>
      </c>
      <c r="R237" s="379" t="e">
        <f t="shared" si="100"/>
        <v>#DIV/0!</v>
      </c>
      <c r="S237" s="765">
        <v>0</v>
      </c>
      <c r="T237" s="379" t="e">
        <f t="shared" si="104"/>
        <v>#DIV/0!</v>
      </c>
    </row>
    <row r="238" spans="1:23" ht="15" customHeight="1">
      <c r="A238" s="503">
        <v>37</v>
      </c>
      <c r="B238" s="1347" t="s">
        <v>1329</v>
      </c>
      <c r="C238" s="507" t="s">
        <v>2426</v>
      </c>
      <c r="D238" s="939" t="s">
        <v>57</v>
      </c>
      <c r="E238" s="859"/>
      <c r="F238" s="860">
        <f>'SS INPUT'!J419</f>
        <v>1137619.5599999991</v>
      </c>
      <c r="G238" s="861"/>
      <c r="H238" s="507"/>
      <c r="I238" s="860">
        <f t="shared" si="105"/>
        <v>1137619.5599999991</v>
      </c>
      <c r="J238" s="894">
        <f t="shared" si="106"/>
        <v>1137619.5599999991</v>
      </c>
      <c r="K238" s="862">
        <f>J238*(1+K4)</f>
        <v>1142187.587228786</v>
      </c>
      <c r="L238" s="785">
        <v>546188.33226515597</v>
      </c>
      <c r="M238" s="863">
        <f t="shared" si="107"/>
        <v>2.0911973393717473</v>
      </c>
      <c r="N238" s="765">
        <f>K238-799202</f>
        <v>342985.58722878597</v>
      </c>
      <c r="O238" s="379">
        <v>139539.20199338501</v>
      </c>
      <c r="P238" s="736">
        <f t="shared" si="108"/>
        <v>8.1854243890754983</v>
      </c>
      <c r="Q238" s="379">
        <f t="shared" si="109"/>
        <v>139539.20199338501</v>
      </c>
      <c r="R238" s="379">
        <f t="shared" si="100"/>
        <v>1.6048480444297093</v>
      </c>
      <c r="S238" s="765">
        <v>711710.73871649196</v>
      </c>
      <c r="T238" s="379">
        <f t="shared" si="104"/>
        <v>1.6048480444297093</v>
      </c>
    </row>
    <row r="239" spans="1:23">
      <c r="A239" s="503">
        <v>38</v>
      </c>
      <c r="B239" s="1347"/>
      <c r="C239" s="507" t="s">
        <v>2427</v>
      </c>
      <c r="D239" s="522" t="s">
        <v>1801</v>
      </c>
      <c r="E239" s="859"/>
      <c r="F239" s="860">
        <f>'SS INPUT'!J420</f>
        <v>435480.43520000001</v>
      </c>
      <c r="G239" s="861"/>
      <c r="H239" s="860"/>
      <c r="I239" s="860">
        <f t="shared" si="105"/>
        <v>435480.43520000001</v>
      </c>
      <c r="J239" s="894">
        <f t="shared" si="106"/>
        <v>435480.43520000001</v>
      </c>
      <c r="K239" s="862">
        <f>J239*(1+K4)</f>
        <v>437229.07468858047</v>
      </c>
      <c r="L239" s="785">
        <v>54522.308546939799</v>
      </c>
      <c r="M239" s="863">
        <f t="shared" si="107"/>
        <v>8.0192692925347711</v>
      </c>
      <c r="O239" s="379">
        <v>445362.10219369299</v>
      </c>
      <c r="P239" s="736">
        <f t="shared" si="108"/>
        <v>0.98173839339932123</v>
      </c>
      <c r="Q239" s="379">
        <f t="shared" si="109"/>
        <v>445362.10219369299</v>
      </c>
      <c r="R239" s="379">
        <f t="shared" si="100"/>
        <v>1.212212970516144</v>
      </c>
      <c r="S239" s="765">
        <v>360686.68239246297</v>
      </c>
      <c r="T239" s="379">
        <f t="shared" si="104"/>
        <v>1.212212970516144</v>
      </c>
    </row>
    <row r="240" spans="1:23" ht="14.45" customHeight="1">
      <c r="A240" s="503">
        <v>39</v>
      </c>
      <c r="B240" s="1347" t="s">
        <v>2121</v>
      </c>
      <c r="C240" s="507" t="s">
        <v>2428</v>
      </c>
      <c r="D240" s="734" t="s">
        <v>1797</v>
      </c>
      <c r="E240" s="876"/>
      <c r="F240" s="860">
        <f>'SS INPUT'!J418</f>
        <v>592078.61</v>
      </c>
      <c r="G240" s="861"/>
      <c r="H240" s="507"/>
      <c r="I240" s="860">
        <f t="shared" si="105"/>
        <v>592078.61</v>
      </c>
      <c r="J240" s="894">
        <f t="shared" si="106"/>
        <v>592078.61</v>
      </c>
      <c r="K240" s="892">
        <f>J240*(1+K4)</f>
        <v>594456.05788078567</v>
      </c>
      <c r="L240" s="785">
        <v>307185.17273360002</v>
      </c>
      <c r="M240" s="863">
        <f t="shared" si="107"/>
        <v>1.9351717161046551</v>
      </c>
      <c r="O240" s="379">
        <v>88927.519917457903</v>
      </c>
      <c r="P240" s="736">
        <f t="shared" si="108"/>
        <v>6.6847254756745373</v>
      </c>
      <c r="Q240" s="379">
        <f t="shared" si="109"/>
        <v>88927.519917457903</v>
      </c>
      <c r="R240" s="379">
        <f t="shared" si="100"/>
        <v>0.78039180058831004</v>
      </c>
      <c r="S240" s="765">
        <v>761740.52243071503</v>
      </c>
      <c r="T240" s="379">
        <f t="shared" si="104"/>
        <v>0.78039180058831004</v>
      </c>
    </row>
    <row r="241" spans="1:22">
      <c r="A241" s="503">
        <v>40</v>
      </c>
      <c r="B241" s="1347"/>
      <c r="C241" s="507" t="s">
        <v>2429</v>
      </c>
      <c r="D241" s="734" t="s">
        <v>1875</v>
      </c>
      <c r="E241" s="876"/>
      <c r="F241" s="860">
        <f>'SS INPUT'!J500</f>
        <v>112960</v>
      </c>
      <c r="G241" s="861"/>
      <c r="H241" s="507"/>
      <c r="I241" s="860">
        <f t="shared" si="105"/>
        <v>112960</v>
      </c>
      <c r="J241" s="894">
        <f t="shared" si="106"/>
        <v>112960</v>
      </c>
      <c r="K241" s="892">
        <f>J241*(1+K4)</f>
        <v>113413.58252785647</v>
      </c>
      <c r="L241" s="785">
        <v>56235.6919805137</v>
      </c>
      <c r="M241" s="863">
        <f t="shared" si="107"/>
        <v>2.0167544584879575</v>
      </c>
      <c r="O241" s="379">
        <v>265579.88542574301</v>
      </c>
      <c r="P241" s="736">
        <f t="shared" si="108"/>
        <v>0.42704131130279926</v>
      </c>
      <c r="Q241" s="379">
        <f t="shared" si="109"/>
        <v>265579.88542574301</v>
      </c>
      <c r="R241" s="379">
        <f t="shared" si="100"/>
        <v>0.56911565088702099</v>
      </c>
      <c r="S241" s="765">
        <v>199280.37886691501</v>
      </c>
      <c r="T241" s="379">
        <f t="shared" si="104"/>
        <v>0.56911565088702099</v>
      </c>
    </row>
    <row r="242" spans="1:22">
      <c r="A242" s="503">
        <v>41</v>
      </c>
      <c r="B242" s="1347"/>
      <c r="C242" s="507" t="s">
        <v>2430</v>
      </c>
      <c r="D242" s="734" t="s">
        <v>1877</v>
      </c>
      <c r="E242" s="876"/>
      <c r="F242" s="860">
        <f>'SS INPUT'!J501+'SS INPUT'!J502</f>
        <v>1018520</v>
      </c>
      <c r="G242" s="861"/>
      <c r="H242" s="507"/>
      <c r="I242" s="860">
        <f t="shared" si="105"/>
        <v>1018520</v>
      </c>
      <c r="J242" s="894">
        <f t="shared" si="106"/>
        <v>1018520</v>
      </c>
      <c r="K242" s="892">
        <f>J242*(1+K4)</f>
        <v>1022609.791751703</v>
      </c>
      <c r="L242" s="785">
        <v>58132.652210541899</v>
      </c>
      <c r="M242" s="863">
        <f t="shared" si="107"/>
        <v>17.590970872068016</v>
      </c>
      <c r="O242" s="379">
        <v>5649335.11412788</v>
      </c>
      <c r="P242" s="736">
        <f t="shared" si="108"/>
        <v>0.18101418504884872</v>
      </c>
      <c r="Q242" s="379">
        <f t="shared" si="109"/>
        <v>5649335.11412788</v>
      </c>
      <c r="R242" s="379">
        <f t="shared" si="100"/>
        <v>0.94656672425501187</v>
      </c>
      <c r="S242" s="765">
        <v>1080335.66525016</v>
      </c>
      <c r="T242" s="379">
        <f t="shared" si="104"/>
        <v>0.94656672425501187</v>
      </c>
    </row>
    <row r="243" spans="1:22" ht="18.75">
      <c r="A243" s="923"/>
      <c r="B243" s="923"/>
      <c r="C243" s="923"/>
      <c r="D243" s="899" t="s">
        <v>2431</v>
      </c>
      <c r="E243" s="891"/>
      <c r="F243" s="870">
        <f t="shared" ref="F243:L243" si="110">SUM(F228:F242)</f>
        <v>7702716.4620000301</v>
      </c>
      <c r="G243" s="871">
        <f t="shared" si="110"/>
        <v>273714.99999999913</v>
      </c>
      <c r="H243" s="870">
        <f t="shared" si="110"/>
        <v>58695</v>
      </c>
      <c r="I243" s="870">
        <f t="shared" si="110"/>
        <v>7917736.4620000282</v>
      </c>
      <c r="J243" s="898">
        <f t="shared" si="110"/>
        <v>7917736.4620000282</v>
      </c>
      <c r="K243" s="870">
        <f t="shared" si="110"/>
        <v>7949529.5473340871</v>
      </c>
      <c r="L243" s="870">
        <f t="shared" si="110"/>
        <v>3244324.6160903433</v>
      </c>
      <c r="M243" s="863">
        <f t="shared" si="107"/>
        <v>2.4502879606769659</v>
      </c>
      <c r="N243" s="765"/>
      <c r="P243" s="736" t="e">
        <f t="shared" si="108"/>
        <v>#DIV/0!</v>
      </c>
      <c r="Q243" s="379" t="e">
        <f t="shared" si="109"/>
        <v>#DIV/0!</v>
      </c>
      <c r="R243" s="379">
        <f t="shared" si="100"/>
        <v>0.75832635264795945</v>
      </c>
      <c r="S243" s="765">
        <v>10482992.6054601</v>
      </c>
      <c r="T243" s="379">
        <f t="shared" si="104"/>
        <v>0.75832635264795945</v>
      </c>
      <c r="V243" s="765">
        <f>K243-S243</f>
        <v>-2533463.0581260128</v>
      </c>
    </row>
    <row r="244" spans="1:22" ht="21">
      <c r="A244" s="503"/>
      <c r="B244" s="503"/>
      <c r="C244" s="503"/>
      <c r="D244" s="890" t="s">
        <v>979</v>
      </c>
      <c r="E244" s="891"/>
      <c r="F244" s="507"/>
      <c r="G244" s="494"/>
      <c r="H244" s="507"/>
      <c r="I244" s="507"/>
      <c r="J244" s="914"/>
      <c r="K244" s="892"/>
      <c r="L244" s="785"/>
      <c r="M244" s="863" t="e">
        <f t="shared" si="107"/>
        <v>#DIV/0!</v>
      </c>
      <c r="N244" s="765">
        <f>O243-K243</f>
        <v>-7949529.5473340871</v>
      </c>
      <c r="O244" s="379">
        <v>557597.90596288699</v>
      </c>
      <c r="P244" s="736">
        <f t="shared" si="108"/>
        <v>0</v>
      </c>
      <c r="R244" s="379" t="e">
        <f t="shared" si="100"/>
        <v>#DIV/0!</v>
      </c>
      <c r="T244" s="379" t="e">
        <f t="shared" si="104"/>
        <v>#DIV/0!</v>
      </c>
    </row>
    <row r="245" spans="1:22" s="942" customFormat="1" ht="34.5" customHeight="1">
      <c r="A245" s="503">
        <v>42</v>
      </c>
      <c r="B245" s="1347" t="s">
        <v>162</v>
      </c>
      <c r="C245" s="507" t="s">
        <v>2432</v>
      </c>
      <c r="D245" s="940" t="s">
        <v>162</v>
      </c>
      <c r="E245" s="878" t="s">
        <v>2433</v>
      </c>
      <c r="F245" s="860">
        <f>'SS INPUT'!J286</f>
        <v>683459.99999999907</v>
      </c>
      <c r="G245" s="861"/>
      <c r="H245" s="860"/>
      <c r="I245" s="860">
        <f t="shared" ref="I245:I258" si="111">F245+G245-H245</f>
        <v>683459.99999999907</v>
      </c>
      <c r="J245" s="894">
        <f t="shared" ref="J245:J258" si="112">F245+G245-(H245*1.015)</f>
        <v>683459.99999999907</v>
      </c>
      <c r="K245" s="862">
        <f>J245*(1+K4)</f>
        <v>686204.38309568586</v>
      </c>
      <c r="L245" s="941">
        <v>661880.66572611302</v>
      </c>
      <c r="M245" s="863">
        <f t="shared" si="107"/>
        <v>1.0367494000491593</v>
      </c>
      <c r="N245" s="942">
        <v>596335</v>
      </c>
      <c r="O245" s="943">
        <v>557597.90596288699</v>
      </c>
      <c r="P245" s="736">
        <f t="shared" si="108"/>
        <v>1.2306437591631822</v>
      </c>
      <c r="R245" s="379">
        <f t="shared" si="100"/>
        <v>0.61461307516921182</v>
      </c>
      <c r="S245" s="379">
        <v>1116481.91491332</v>
      </c>
      <c r="T245" s="379">
        <f t="shared" si="104"/>
        <v>0.61461307516921182</v>
      </c>
    </row>
    <row r="246" spans="1:22">
      <c r="A246" s="507">
        <v>43</v>
      </c>
      <c r="B246" s="1347"/>
      <c r="C246" s="507" t="s">
        <v>2434</v>
      </c>
      <c r="D246" s="439" t="s">
        <v>1639</v>
      </c>
      <c r="E246" s="944" t="s">
        <v>2435</v>
      </c>
      <c r="F246" s="860">
        <f>'SS INPUT'!J287</f>
        <v>1515600.0000000005</v>
      </c>
      <c r="G246" s="861"/>
      <c r="H246" s="507"/>
      <c r="I246" s="860">
        <f t="shared" si="111"/>
        <v>1515600.0000000005</v>
      </c>
      <c r="J246" s="894">
        <f t="shared" si="112"/>
        <v>1515600.0000000005</v>
      </c>
      <c r="K246" s="892">
        <f>J246*(1+K4)</f>
        <v>1521685.7797381314</v>
      </c>
      <c r="L246" s="785">
        <v>1669963.9894045601</v>
      </c>
      <c r="M246" s="863">
        <f t="shared" si="107"/>
        <v>0.91120873826788418</v>
      </c>
      <c r="N246" s="942">
        <v>913353</v>
      </c>
      <c r="O246" s="943">
        <v>1231789.3519019701</v>
      </c>
      <c r="P246" s="736">
        <f t="shared" si="108"/>
        <v>1.2353457816375346</v>
      </c>
      <c r="R246" s="379">
        <f t="shared" si="100"/>
        <v>0.72913890115004232</v>
      </c>
      <c r="S246" s="379">
        <v>2086962.82332219</v>
      </c>
      <c r="T246" s="379">
        <f t="shared" si="104"/>
        <v>0.72913890115004232</v>
      </c>
    </row>
    <row r="247" spans="1:22">
      <c r="A247" s="503">
        <v>44</v>
      </c>
      <c r="B247" s="1347"/>
      <c r="C247" s="507" t="s">
        <v>2436</v>
      </c>
      <c r="D247" s="439" t="s">
        <v>1641</v>
      </c>
      <c r="E247" s="945" t="s">
        <v>2437</v>
      </c>
      <c r="F247" s="860">
        <f>'SS INPUT'!J288</f>
        <v>0</v>
      </c>
      <c r="G247" s="861"/>
      <c r="H247" s="507"/>
      <c r="I247" s="860">
        <f t="shared" si="111"/>
        <v>0</v>
      </c>
      <c r="J247" s="894">
        <f t="shared" si="112"/>
        <v>0</v>
      </c>
      <c r="K247" s="892">
        <f>J247*(1+K4)</f>
        <v>0</v>
      </c>
      <c r="L247" s="785">
        <v>888157.19784249598</v>
      </c>
      <c r="M247" s="863">
        <f t="shared" si="107"/>
        <v>0</v>
      </c>
      <c r="N247" s="942">
        <v>461388</v>
      </c>
      <c r="O247" s="943">
        <v>453952.633098202</v>
      </c>
      <c r="P247" s="736">
        <f t="shared" si="108"/>
        <v>0</v>
      </c>
      <c r="R247" s="379" t="e">
        <f t="shared" si="100"/>
        <v>#DIV/0!</v>
      </c>
      <c r="S247" s="942">
        <v>0</v>
      </c>
      <c r="T247" s="379" t="e">
        <f t="shared" si="104"/>
        <v>#DIV/0!</v>
      </c>
    </row>
    <row r="248" spans="1:22">
      <c r="A248" s="507">
        <v>45</v>
      </c>
      <c r="B248" s="1347"/>
      <c r="C248" s="507" t="s">
        <v>2438</v>
      </c>
      <c r="D248" s="439" t="s">
        <v>979</v>
      </c>
      <c r="E248" s="946" t="s">
        <v>2439</v>
      </c>
      <c r="F248" s="860">
        <f>'SS INPUT'!J289</f>
        <v>713540.00000000012</v>
      </c>
      <c r="G248" s="861"/>
      <c r="H248" s="507">
        <f>'11 KV HT'!K32+'11 KV HT'!K33+'11 KV HT'!K34+'11 KV HT'!K35+'11 KV HT'!K36</f>
        <v>112988</v>
      </c>
      <c r="I248" s="860">
        <f t="shared" si="111"/>
        <v>600552.00000000012</v>
      </c>
      <c r="J248" s="894">
        <f t="shared" si="112"/>
        <v>598857.18000000017</v>
      </c>
      <c r="K248" s="892">
        <f>J248*(1+K4)</f>
        <v>601261.84672742046</v>
      </c>
      <c r="L248" s="785">
        <v>259724.02122668599</v>
      </c>
      <c r="M248" s="863">
        <f t="shared" si="107"/>
        <v>2.3150028398899685</v>
      </c>
      <c r="N248" s="942">
        <v>382007</v>
      </c>
      <c r="O248" s="943">
        <v>195033.66421015299</v>
      </c>
      <c r="P248" s="736">
        <f t="shared" si="108"/>
        <v>3.0828618698336498</v>
      </c>
      <c r="R248" s="379">
        <f t="shared" si="100"/>
        <v>0.53272354766710184</v>
      </c>
      <c r="S248" s="379">
        <v>1128656.4098029099</v>
      </c>
      <c r="T248" s="379">
        <f t="shared" si="104"/>
        <v>0.53272354766710184</v>
      </c>
    </row>
    <row r="249" spans="1:22">
      <c r="A249" s="503">
        <v>46</v>
      </c>
      <c r="B249" s="1347"/>
      <c r="C249" s="507" t="s">
        <v>2440</v>
      </c>
      <c r="D249" s="439" t="s">
        <v>1644</v>
      </c>
      <c r="E249" s="947"/>
      <c r="F249" s="860">
        <f>'SS INPUT'!J290</f>
        <v>365600.00000000582</v>
      </c>
      <c r="G249" s="491"/>
      <c r="H249" s="864">
        <f>'11 KV HT'!K29+'11 KV HT'!K30</f>
        <v>199090</v>
      </c>
      <c r="I249" s="860">
        <f t="shared" si="111"/>
        <v>166510.00000000582</v>
      </c>
      <c r="J249" s="894">
        <f t="shared" si="112"/>
        <v>163523.65000000584</v>
      </c>
      <c r="K249" s="892">
        <f>J249*(1+K4)</f>
        <v>164180.26712581428</v>
      </c>
      <c r="L249" s="785">
        <v>254192.916346321</v>
      </c>
      <c r="M249" s="863">
        <f t="shared" si="107"/>
        <v>0.6458884436501352</v>
      </c>
      <c r="N249" s="942">
        <v>206150</v>
      </c>
      <c r="O249" s="943">
        <v>63756.545039685298</v>
      </c>
      <c r="P249" s="736">
        <f t="shared" si="108"/>
        <v>2.5751123594231804</v>
      </c>
      <c r="R249" s="379">
        <f t="shared" si="100"/>
        <v>0.6806658963743466</v>
      </c>
      <c r="S249" s="379">
        <v>241205.366686272</v>
      </c>
      <c r="T249" s="379">
        <f t="shared" si="104"/>
        <v>0.6806658963743466</v>
      </c>
    </row>
    <row r="250" spans="1:22">
      <c r="A250" s="507">
        <v>47</v>
      </c>
      <c r="B250" s="1347"/>
      <c r="C250" s="507" t="s">
        <v>2441</v>
      </c>
      <c r="D250" s="439" t="s">
        <v>1323</v>
      </c>
      <c r="E250" s="945" t="s">
        <v>2442</v>
      </c>
      <c r="F250" s="860">
        <f>'SS INPUT'!J291</f>
        <v>905600.00000000582</v>
      </c>
      <c r="G250" s="861"/>
      <c r="H250" s="507"/>
      <c r="I250" s="860">
        <f t="shared" si="111"/>
        <v>905600.00000000582</v>
      </c>
      <c r="J250" s="894">
        <f t="shared" si="112"/>
        <v>905600.00000000582</v>
      </c>
      <c r="K250" s="892">
        <f>J250*(1+K4)</f>
        <v>909236.36984089483</v>
      </c>
      <c r="L250" s="785">
        <v>1090256.5789230899</v>
      </c>
      <c r="M250" s="863">
        <f t="shared" si="107"/>
        <v>0.8339654971300432</v>
      </c>
      <c r="N250" s="942">
        <v>678175</v>
      </c>
      <c r="O250" s="943">
        <v>754724.71512815799</v>
      </c>
      <c r="P250" s="736">
        <f t="shared" si="108"/>
        <v>1.2047258445571105</v>
      </c>
      <c r="R250" s="379">
        <f t="shared" si="100"/>
        <v>0.63346989384270491</v>
      </c>
      <c r="S250" s="379">
        <v>1435326.8855846601</v>
      </c>
      <c r="T250" s="379">
        <f t="shared" si="104"/>
        <v>0.63346989384270491</v>
      </c>
    </row>
    <row r="251" spans="1:22">
      <c r="A251" s="503">
        <v>48</v>
      </c>
      <c r="B251" s="1347"/>
      <c r="C251" s="507" t="s">
        <v>2443</v>
      </c>
      <c r="D251" s="439" t="s">
        <v>1647</v>
      </c>
      <c r="E251" s="878"/>
      <c r="F251" s="860">
        <f>'SS INPUT'!J292</f>
        <v>347639</v>
      </c>
      <c r="G251" s="861"/>
      <c r="H251" s="507"/>
      <c r="I251" s="860">
        <f t="shared" si="111"/>
        <v>347639</v>
      </c>
      <c r="J251" s="894">
        <f t="shared" si="112"/>
        <v>347639</v>
      </c>
      <c r="K251" s="892">
        <f>J251*(1+K4)</f>
        <v>349034.91870043817</v>
      </c>
      <c r="L251" s="785">
        <v>332955.09544936701</v>
      </c>
      <c r="M251" s="863">
        <f t="shared" si="107"/>
        <v>1.0482942699206008</v>
      </c>
      <c r="N251" s="942">
        <v>198176</v>
      </c>
      <c r="O251" s="943">
        <v>414829.49235239002</v>
      </c>
      <c r="P251" s="736">
        <f t="shared" si="108"/>
        <v>0.84139369339714021</v>
      </c>
      <c r="R251" s="379">
        <f t="shared" si="100"/>
        <v>0.66387784151338847</v>
      </c>
      <c r="S251" s="379">
        <v>525751.72249275795</v>
      </c>
      <c r="T251" s="379">
        <f t="shared" si="104"/>
        <v>0.66387784151338847</v>
      </c>
    </row>
    <row r="252" spans="1:22" ht="14.25" customHeight="1">
      <c r="A252" s="507">
        <v>50</v>
      </c>
      <c r="B252" s="507" t="s">
        <v>1323</v>
      </c>
      <c r="C252" s="507" t="s">
        <v>2444</v>
      </c>
      <c r="D252" s="439" t="s">
        <v>1655</v>
      </c>
      <c r="E252" s="944" t="s">
        <v>2435</v>
      </c>
      <c r="F252" s="860">
        <f>'SS INPUT'!J300</f>
        <v>1541370</v>
      </c>
      <c r="G252" s="861"/>
      <c r="H252" s="507">
        <f>'11 KV HT'!L37</f>
        <v>42311</v>
      </c>
      <c r="I252" s="860">
        <f t="shared" si="111"/>
        <v>1499059</v>
      </c>
      <c r="J252" s="894">
        <f t="shared" si="112"/>
        <v>1498424.335</v>
      </c>
      <c r="K252" s="892">
        <f>J252*(1+K4)</f>
        <v>1504441.1471252739</v>
      </c>
      <c r="L252" s="785">
        <v>1419301.67447101</v>
      </c>
      <c r="M252" s="863">
        <f t="shared" si="107"/>
        <v>1.0599868753667161</v>
      </c>
      <c r="N252" s="942">
        <v>924767</v>
      </c>
      <c r="O252" s="943">
        <v>1342725.86064193</v>
      </c>
      <c r="P252" s="736">
        <f t="shared" si="108"/>
        <v>1.1204380515960504</v>
      </c>
      <c r="R252" s="379">
        <f t="shared" si="100"/>
        <v>0.66016471267888466</v>
      </c>
      <c r="S252" s="379">
        <v>2278887.55371428</v>
      </c>
      <c r="T252" s="379">
        <f t="shared" si="104"/>
        <v>0.66016471267888466</v>
      </c>
    </row>
    <row r="253" spans="1:22" ht="15" customHeight="1">
      <c r="A253" s="507">
        <v>51</v>
      </c>
      <c r="B253" s="1347" t="s">
        <v>1337</v>
      </c>
      <c r="C253" s="507" t="s">
        <v>2445</v>
      </c>
      <c r="D253" s="948" t="s">
        <v>1865</v>
      </c>
      <c r="E253" s="878"/>
      <c r="F253" s="860">
        <f>'SS INPUT'!J489</f>
        <v>14400</v>
      </c>
      <c r="G253" s="861"/>
      <c r="H253" s="507"/>
      <c r="I253" s="860">
        <f t="shared" si="111"/>
        <v>14400</v>
      </c>
      <c r="J253" s="894">
        <f t="shared" si="112"/>
        <v>14400</v>
      </c>
      <c r="K253" s="892">
        <f>J253*(1+K4)</f>
        <v>14457.822135279153</v>
      </c>
      <c r="L253" s="785">
        <v>21705.4319865621</v>
      </c>
      <c r="M253" s="863">
        <f t="shared" si="107"/>
        <v>0.66609234703230213</v>
      </c>
      <c r="N253" s="942">
        <v>8743</v>
      </c>
      <c r="O253" s="943">
        <v>12575.295239724301</v>
      </c>
      <c r="P253" s="736">
        <f t="shared" si="108"/>
        <v>1.1497004133635056</v>
      </c>
      <c r="R253" s="379">
        <f t="shared" si="100"/>
        <v>0.52453953210680504</v>
      </c>
      <c r="S253" s="379">
        <v>27562.8837300585</v>
      </c>
      <c r="T253" s="379">
        <f t="shared" si="104"/>
        <v>0.52453953210680504</v>
      </c>
    </row>
    <row r="254" spans="1:22">
      <c r="A254" s="503">
        <v>52</v>
      </c>
      <c r="B254" s="1347"/>
      <c r="C254" s="507" t="s">
        <v>2446</v>
      </c>
      <c r="D254" s="948" t="s">
        <v>1867</v>
      </c>
      <c r="E254" s="878"/>
      <c r="F254" s="860">
        <f>'SS INPUT'!J490</f>
        <v>47399</v>
      </c>
      <c r="G254" s="861"/>
      <c r="H254" s="507"/>
      <c r="I254" s="860">
        <f t="shared" si="111"/>
        <v>47399</v>
      </c>
      <c r="J254" s="894">
        <f t="shared" si="112"/>
        <v>47399</v>
      </c>
      <c r="K254" s="892">
        <f>J254*(1+K4)</f>
        <v>47589.327179867818</v>
      </c>
      <c r="L254" s="785">
        <v>45487.9388043742</v>
      </c>
      <c r="M254" s="863">
        <f t="shared" si="107"/>
        <v>1.0461966057536893</v>
      </c>
      <c r="N254" s="942">
        <v>14265</v>
      </c>
      <c r="O254" s="943">
        <v>27427.598671003601</v>
      </c>
      <c r="P254" s="736">
        <f t="shared" si="108"/>
        <v>1.7350890885748285</v>
      </c>
      <c r="R254" s="379">
        <f t="shared" si="100"/>
        <v>0.76005507278258699</v>
      </c>
      <c r="S254" s="379">
        <v>62612.998562909001</v>
      </c>
      <c r="T254" s="379">
        <f t="shared" si="104"/>
        <v>0.76005507278258699</v>
      </c>
    </row>
    <row r="255" spans="1:22">
      <c r="A255" s="507">
        <v>53</v>
      </c>
      <c r="B255" s="1347"/>
      <c r="C255" s="507" t="s">
        <v>2447</v>
      </c>
      <c r="D255" s="948" t="s">
        <v>1869</v>
      </c>
      <c r="E255" s="878"/>
      <c r="F255" s="860">
        <f>'SS INPUT'!J491</f>
        <v>18400</v>
      </c>
      <c r="G255" s="861"/>
      <c r="H255" s="507"/>
      <c r="I255" s="860">
        <f t="shared" si="111"/>
        <v>18400</v>
      </c>
      <c r="J255" s="894">
        <f t="shared" si="112"/>
        <v>18400</v>
      </c>
      <c r="K255" s="892">
        <f>J255*(1+K4)</f>
        <v>18473.883839523362</v>
      </c>
      <c r="L255" s="785">
        <v>46941.8911862491</v>
      </c>
      <c r="M255" s="863">
        <f t="shared" si="107"/>
        <v>0.39354792430976876</v>
      </c>
      <c r="N255" s="942">
        <v>10345</v>
      </c>
      <c r="O255" s="943">
        <v>33120.119149891201</v>
      </c>
      <c r="P255" s="736">
        <f t="shared" si="108"/>
        <v>0.5577843411708876</v>
      </c>
      <c r="R255" s="379">
        <f t="shared" si="100"/>
        <v>0.42911058665198787</v>
      </c>
      <c r="S255" s="379">
        <v>43051.568556396</v>
      </c>
      <c r="T255" s="379">
        <f t="shared" si="104"/>
        <v>0.42911058665198787</v>
      </c>
    </row>
    <row r="256" spans="1:22" ht="15" customHeight="1">
      <c r="A256" s="503">
        <v>54</v>
      </c>
      <c r="B256" s="1347" t="s">
        <v>979</v>
      </c>
      <c r="C256" s="507" t="s">
        <v>2448</v>
      </c>
      <c r="D256" s="948" t="s">
        <v>1883</v>
      </c>
      <c r="E256" s="945" t="s">
        <v>2437</v>
      </c>
      <c r="F256" s="860">
        <f>'SS INPUT'!J510</f>
        <v>558425.28309999965</v>
      </c>
      <c r="G256" s="861"/>
      <c r="H256" s="507"/>
      <c r="I256" s="860">
        <f t="shared" si="111"/>
        <v>558425.28309999965</v>
      </c>
      <c r="J256" s="894">
        <f t="shared" si="112"/>
        <v>558425.28309999965</v>
      </c>
      <c r="K256" s="892">
        <f>J256*(1+K4)</f>
        <v>560667.59853490989</v>
      </c>
      <c r="L256" s="785">
        <v>473082.04103488399</v>
      </c>
      <c r="M256" s="863">
        <f t="shared" si="107"/>
        <v>1.1851381999376458</v>
      </c>
      <c r="N256" s="942">
        <v>13935</v>
      </c>
      <c r="O256" s="943">
        <v>8538.7807183312907</v>
      </c>
      <c r="P256" s="736">
        <f t="shared" si="108"/>
        <v>65.661318287662922</v>
      </c>
      <c r="R256" s="379">
        <f t="shared" si="100"/>
        <v>0.61758070457115477</v>
      </c>
      <c r="S256" s="379">
        <v>907845.07091139595</v>
      </c>
      <c r="T256" s="379">
        <f t="shared" si="104"/>
        <v>0.61758070457115477</v>
      </c>
    </row>
    <row r="257" spans="1:25">
      <c r="A257" s="503">
        <v>55</v>
      </c>
      <c r="B257" s="1347"/>
      <c r="C257" s="507" t="s">
        <v>2449</v>
      </c>
      <c r="D257" s="948" t="s">
        <v>1885</v>
      </c>
      <c r="E257" s="878"/>
      <c r="F257" s="860">
        <f>'SS INPUT'!J512</f>
        <v>47973.213400000146</v>
      </c>
      <c r="G257" s="861"/>
      <c r="H257" s="507">
        <f>'11 KV HT'!L31</f>
        <v>14975</v>
      </c>
      <c r="I257" s="860">
        <f t="shared" si="111"/>
        <v>32998.213400000146</v>
      </c>
      <c r="J257" s="894">
        <f t="shared" si="112"/>
        <v>32773.588400000146</v>
      </c>
      <c r="K257" s="892">
        <f>J257*(1+K4)</f>
        <v>32905.188320975707</v>
      </c>
      <c r="L257" s="785">
        <v>41927.832543611701</v>
      </c>
      <c r="M257" s="863">
        <f t="shared" si="107"/>
        <v>0.78480537449077559</v>
      </c>
      <c r="N257" s="942">
        <v>2738</v>
      </c>
      <c r="O257" s="943">
        <v>21950.7729680798</v>
      </c>
      <c r="P257" s="736">
        <f t="shared" si="108"/>
        <v>1.4990446290354107</v>
      </c>
      <c r="R257" s="379">
        <f t="shared" si="100"/>
        <v>0.65777954256052718</v>
      </c>
      <c r="S257" s="379">
        <v>50024.645328564402</v>
      </c>
      <c r="T257" s="379">
        <f t="shared" si="104"/>
        <v>0.65777954256052718</v>
      </c>
    </row>
    <row r="258" spans="1:25">
      <c r="A258" s="507">
        <v>56</v>
      </c>
      <c r="B258" s="938"/>
      <c r="C258" s="507" t="s">
        <v>2450</v>
      </c>
      <c r="D258" s="725" t="s">
        <v>1785</v>
      </c>
      <c r="E258" s="949"/>
      <c r="F258" s="860">
        <f>'SS INPUT'!J406</f>
        <v>606199.99999999895</v>
      </c>
      <c r="G258" s="861"/>
      <c r="H258" s="507"/>
      <c r="I258" s="860">
        <f t="shared" si="111"/>
        <v>606199.99999999895</v>
      </c>
      <c r="J258" s="894">
        <f t="shared" si="112"/>
        <v>606199.99999999895</v>
      </c>
      <c r="K258" s="892">
        <f>J258*(1+K4)</f>
        <v>608634.15127820882</v>
      </c>
      <c r="L258" s="785">
        <v>418551.34924518003</v>
      </c>
      <c r="M258" s="863">
        <f t="shared" si="107"/>
        <v>1.4541445210386399</v>
      </c>
      <c r="N258" s="942">
        <v>370669</v>
      </c>
      <c r="O258" s="943">
        <v>443706.09623620001</v>
      </c>
      <c r="P258" s="736">
        <f t="shared" si="108"/>
        <v>1.3717056322665713</v>
      </c>
      <c r="R258" s="379">
        <f t="shared" si="100"/>
        <v>0.64704615594949455</v>
      </c>
      <c r="S258" s="379">
        <v>940634.83057878795</v>
      </c>
      <c r="T258" s="379">
        <f t="shared" si="104"/>
        <v>0.64704615594949455</v>
      </c>
    </row>
    <row r="259" spans="1:25" ht="18.75">
      <c r="A259" s="503"/>
      <c r="B259" s="923"/>
      <c r="C259" s="923"/>
      <c r="D259" s="899" t="s">
        <v>2451</v>
      </c>
      <c r="E259" s="891"/>
      <c r="F259" s="870">
        <f t="shared" ref="F259:Q259" si="113">SUM(F245:F258)</f>
        <v>7365606.4965000097</v>
      </c>
      <c r="G259" s="870">
        <f t="shared" si="113"/>
        <v>0</v>
      </c>
      <c r="H259" s="870">
        <f t="shared" si="113"/>
        <v>369364</v>
      </c>
      <c r="I259" s="870">
        <f t="shared" si="113"/>
        <v>6996242.4965000097</v>
      </c>
      <c r="J259" s="870">
        <f t="shared" si="113"/>
        <v>6990702.0365000097</v>
      </c>
      <c r="K259" s="870">
        <f t="shared" si="113"/>
        <v>7018772.6836424237</v>
      </c>
      <c r="L259" s="870">
        <f t="shared" si="113"/>
        <v>7624128.6241905047</v>
      </c>
      <c r="M259" s="870">
        <f t="shared" si="113"/>
        <v>13.381021036837327</v>
      </c>
      <c r="N259" s="870">
        <f t="shared" si="113"/>
        <v>4781046</v>
      </c>
      <c r="O259" s="870">
        <f t="shared" si="113"/>
        <v>5561728.8313186057</v>
      </c>
      <c r="P259" s="870">
        <f t="shared" si="113"/>
        <v>83.265163751681968</v>
      </c>
      <c r="Q259" s="870">
        <f t="shared" si="113"/>
        <v>0</v>
      </c>
      <c r="R259" s="379">
        <f t="shared" si="100"/>
        <v>0.6471894567597507</v>
      </c>
      <c r="S259" s="379">
        <v>10845004.674184499</v>
      </c>
      <c r="T259" s="379">
        <f t="shared" si="104"/>
        <v>0.6471894567597507</v>
      </c>
      <c r="U259" s="950">
        <f>(S259-K259)/S259</f>
        <v>0.35281054324024924</v>
      </c>
      <c r="V259" s="765">
        <f>K259-S259</f>
        <v>-3826231.9905420756</v>
      </c>
      <c r="W259" s="765">
        <v>472080</v>
      </c>
      <c r="X259" s="765">
        <f>K259-W259</f>
        <v>6546692.6836424237</v>
      </c>
      <c r="Y259" s="765">
        <f>X259-S259</f>
        <v>-4298311.9905420756</v>
      </c>
    </row>
    <row r="260" spans="1:25" s="386" customFormat="1" ht="21">
      <c r="A260" s="858"/>
      <c r="B260" s="934"/>
      <c r="C260" s="934"/>
      <c r="D260" s="890" t="s">
        <v>924</v>
      </c>
      <c r="E260" s="891"/>
      <c r="F260" s="858"/>
      <c r="G260" s="951"/>
      <c r="H260" s="858"/>
      <c r="I260" s="858">
        <f>F260-G260-H260</f>
        <v>0</v>
      </c>
      <c r="J260" s="914"/>
      <c r="K260" s="892"/>
      <c r="L260" s="952" t="s">
        <v>2452</v>
      </c>
      <c r="M260" s="863" t="e">
        <f>K260/#REF!</f>
        <v>#REF!</v>
      </c>
      <c r="N260" s="953">
        <f t="shared" ref="N260:N265" si="114">K260/O260</f>
        <v>0</v>
      </c>
      <c r="O260" s="386">
        <v>159080.07229182401</v>
      </c>
      <c r="T260" s="386" t="e">
        <f t="shared" si="104"/>
        <v>#DIV/0!</v>
      </c>
    </row>
    <row r="261" spans="1:25" ht="15" customHeight="1">
      <c r="A261" s="503">
        <v>57</v>
      </c>
      <c r="B261" s="1347" t="s">
        <v>158</v>
      </c>
      <c r="C261" s="507" t="s">
        <v>2453</v>
      </c>
      <c r="D261" s="511" t="s">
        <v>2454</v>
      </c>
      <c r="E261" s="954"/>
      <c r="F261" s="860">
        <f>'SS INPUT'!J275</f>
        <v>1034730</v>
      </c>
      <c r="G261" s="861"/>
      <c r="H261" s="507">
        <f>'11 KV HT'!L49</f>
        <v>171707</v>
      </c>
      <c r="I261" s="860">
        <f>F261+G261-H261</f>
        <v>863023</v>
      </c>
      <c r="J261" s="894">
        <f>F261+G261-(H261*1.015)</f>
        <v>860447.39500000002</v>
      </c>
      <c r="K261" s="862">
        <f>J261*(1+K4)</f>
        <v>863902.45789404761</v>
      </c>
      <c r="L261" s="785">
        <v>1455806.9864137301</v>
      </c>
      <c r="M261" s="863">
        <f>K261/L261</f>
        <v>0.59341826626495708</v>
      </c>
      <c r="N261" s="942">
        <f t="shared" si="114"/>
        <v>1.1863644049145534</v>
      </c>
      <c r="O261" s="736">
        <v>728193.17093070503</v>
      </c>
      <c r="P261" s="736">
        <f>K261/O261</f>
        <v>1.1863644049145534</v>
      </c>
      <c r="Q261" s="765">
        <f>K261-O261</f>
        <v>135709.28696334257</v>
      </c>
      <c r="S261" s="379">
        <v>1244628.35898254</v>
      </c>
      <c r="T261" s="379">
        <f t="shared" si="104"/>
        <v>0.69410475155834583</v>
      </c>
    </row>
    <row r="262" spans="1:25" ht="20.25" customHeight="1">
      <c r="A262" s="507">
        <v>58</v>
      </c>
      <c r="B262" s="1347"/>
      <c r="C262" s="507" t="s">
        <v>2455</v>
      </c>
      <c r="D262" s="511" t="s">
        <v>1622</v>
      </c>
      <c r="E262" s="876"/>
      <c r="F262" s="860">
        <f>'SS INPUT'!J276</f>
        <v>369555</v>
      </c>
      <c r="G262" s="861"/>
      <c r="H262" s="289">
        <f>'11 KV HT'!K45+'11 KV HT'!K46+'11 KV HT'!K47</f>
        <v>100251</v>
      </c>
      <c r="I262" s="860">
        <f>F262+G262-H262</f>
        <v>269304</v>
      </c>
      <c r="J262" s="894">
        <f>F262+G262-(H262*1.015)</f>
        <v>267800.23499999999</v>
      </c>
      <c r="K262" s="862">
        <f>J262*(1+K4)</f>
        <v>268875.56704277493</v>
      </c>
      <c r="L262" s="785">
        <v>385260.88699208299</v>
      </c>
      <c r="M262" s="863">
        <f>K262/L262</f>
        <v>0.69790517574212052</v>
      </c>
      <c r="N262" s="942">
        <f t="shared" si="114"/>
        <v>1.6394254789335465</v>
      </c>
      <c r="O262" s="736">
        <v>164005.97068778001</v>
      </c>
      <c r="P262" s="736">
        <f>K262/O262</f>
        <v>1.6394254789335465</v>
      </c>
      <c r="Q262" s="765">
        <f>K262-O262</f>
        <v>104869.59635499492</v>
      </c>
      <c r="S262" s="379">
        <v>420626.17944723403</v>
      </c>
      <c r="T262" s="379">
        <f t="shared" si="104"/>
        <v>0.63922689594860171</v>
      </c>
    </row>
    <row r="263" spans="1:25">
      <c r="A263" s="503">
        <v>59</v>
      </c>
      <c r="B263" s="1347"/>
      <c r="C263" s="507" t="s">
        <v>2456</v>
      </c>
      <c r="D263" s="511" t="s">
        <v>989</v>
      </c>
      <c r="E263" s="876"/>
      <c r="F263" s="860">
        <f>'SS INPUT'!J278</f>
        <v>1273860.0000000023</v>
      </c>
      <c r="G263" s="861"/>
      <c r="H263" s="507">
        <f>'11 KV HT'!L58</f>
        <v>22392</v>
      </c>
      <c r="I263" s="860">
        <f>F263+G263-H263</f>
        <v>1251468.0000000023</v>
      </c>
      <c r="J263" s="894">
        <f>F263+G263-(H263*1.015)</f>
        <v>1251132.1200000024</v>
      </c>
      <c r="K263" s="862">
        <f>J263*(1+K4)</f>
        <v>1256155.9485204702</v>
      </c>
      <c r="L263" s="785">
        <v>1301815.03667554</v>
      </c>
      <c r="M263" s="863">
        <f>K263/L263</f>
        <v>0.96492659335717157</v>
      </c>
      <c r="N263" s="942">
        <f t="shared" si="114"/>
        <v>1.5505129377799247</v>
      </c>
      <c r="O263" s="736">
        <v>810155.08991435799</v>
      </c>
      <c r="P263" s="736">
        <f>K263/O263</f>
        <v>1.5505129377799247</v>
      </c>
      <c r="Q263" s="765">
        <f>K263-O263</f>
        <v>446000.85860611219</v>
      </c>
      <c r="S263" s="379">
        <v>2113543.5993378502</v>
      </c>
      <c r="T263" s="379">
        <f t="shared" si="104"/>
        <v>0.59433642576098733</v>
      </c>
    </row>
    <row r="264" spans="1:25">
      <c r="A264" s="507">
        <v>60</v>
      </c>
      <c r="B264" s="1347"/>
      <c r="C264" s="507"/>
      <c r="D264" s="511" t="s">
        <v>2457</v>
      </c>
      <c r="E264" s="859"/>
      <c r="F264" s="860">
        <f>'SS INPUT'!J277</f>
        <v>42399.924000000239</v>
      </c>
      <c r="G264" s="861">
        <v>100000</v>
      </c>
      <c r="H264" s="860">
        <f>'11 KV HT'!L48</f>
        <v>32675</v>
      </c>
      <c r="I264" s="507">
        <v>0</v>
      </c>
      <c r="J264" s="894">
        <v>0</v>
      </c>
      <c r="K264" s="862">
        <f>J264*(1+K4)</f>
        <v>0</v>
      </c>
      <c r="L264" s="785">
        <v>0</v>
      </c>
      <c r="M264" s="863"/>
      <c r="N264" s="942" t="e">
        <f t="shared" si="114"/>
        <v>#DIV/0!</v>
      </c>
      <c r="O264" s="736">
        <v>0</v>
      </c>
      <c r="P264" s="736"/>
      <c r="Q264" s="765">
        <f>K264-O264</f>
        <v>0</v>
      </c>
      <c r="S264" s="379">
        <v>0</v>
      </c>
      <c r="T264" s="379" t="e">
        <f t="shared" si="104"/>
        <v>#DIV/0!</v>
      </c>
    </row>
    <row r="265" spans="1:25" ht="15" customHeight="1">
      <c r="A265" s="503">
        <v>61</v>
      </c>
      <c r="B265" s="1347" t="s">
        <v>924</v>
      </c>
      <c r="C265" s="507" t="s">
        <v>2458</v>
      </c>
      <c r="D265" s="511" t="s">
        <v>1610</v>
      </c>
      <c r="E265" s="876"/>
      <c r="F265" s="860">
        <f>'SS INPUT'!J267</f>
        <v>334480.47129999998</v>
      </c>
      <c r="G265" s="861">
        <v>-50000</v>
      </c>
      <c r="H265" s="507">
        <f>'11 KV HT'!K39+'11 KV HT'!K40+'11 KV HT'!K43+'11 KV HT'!K41</f>
        <v>116568</v>
      </c>
      <c r="I265" s="860">
        <f t="shared" ref="I265:I272" si="115">F265+G265-H265</f>
        <v>167912.47129999998</v>
      </c>
      <c r="J265" s="894">
        <f t="shared" ref="J265:J272" si="116">F265+G265-(H265*1.015)</f>
        <v>166163.95129999999</v>
      </c>
      <c r="K265" s="862">
        <f>J265*(1+K4)</f>
        <v>166831.17036045744</v>
      </c>
      <c r="L265" s="785">
        <v>410649.19074731303</v>
      </c>
      <c r="M265" s="863">
        <f>K265/L265</f>
        <v>0.40626202150027996</v>
      </c>
      <c r="N265" s="942">
        <f t="shared" si="114"/>
        <v>0.4511922619242934</v>
      </c>
      <c r="O265" s="736">
        <v>369756.27562613302</v>
      </c>
      <c r="P265" s="736">
        <f>K265/O265</f>
        <v>0.4511922619242934</v>
      </c>
      <c r="Q265" s="765">
        <f>K265-O265</f>
        <v>-202925.10526567558</v>
      </c>
      <c r="S265" s="379">
        <v>532533.33348740195</v>
      </c>
      <c r="T265" s="379">
        <f t="shared" si="104"/>
        <v>0.31327836187817554</v>
      </c>
    </row>
    <row r="266" spans="1:25">
      <c r="A266" s="507">
        <v>62</v>
      </c>
      <c r="B266" s="1347"/>
      <c r="C266" s="507" t="s">
        <v>2459</v>
      </c>
      <c r="D266" s="940" t="s">
        <v>169</v>
      </c>
      <c r="E266" s="955"/>
      <c r="F266" s="860">
        <f>'SS INPUT'!J266</f>
        <v>316020.40659999812</v>
      </c>
      <c r="G266" s="861">
        <v>-50000</v>
      </c>
      <c r="H266" s="507"/>
      <c r="I266" s="860">
        <f t="shared" si="115"/>
        <v>266020.40659999812</v>
      </c>
      <c r="J266" s="894">
        <f t="shared" si="116"/>
        <v>266020.40659999812</v>
      </c>
      <c r="K266" s="862">
        <f>J266*(1+K4)</f>
        <v>267088.59187343152</v>
      </c>
      <c r="L266" s="785">
        <v>913289.80330063205</v>
      </c>
      <c r="M266" s="863">
        <f>K288/L266</f>
        <v>0.84806307514125334</v>
      </c>
      <c r="N266" s="942">
        <f>K288/O266</f>
        <v>0.98516708859476565</v>
      </c>
      <c r="O266" s="736">
        <v>786188.82832054805</v>
      </c>
      <c r="P266" s="736">
        <f>K288/O266</f>
        <v>0.98516708859476565</v>
      </c>
      <c r="Q266" s="765">
        <f>K288-O266</f>
        <v>-11661.469238263671</v>
      </c>
      <c r="S266" s="379">
        <v>644848.06338606996</v>
      </c>
      <c r="T266" s="379">
        <f t="shared" si="104"/>
        <v>0.41418840660071243</v>
      </c>
    </row>
    <row r="267" spans="1:25" ht="30">
      <c r="A267" s="507">
        <v>63</v>
      </c>
      <c r="B267" s="507" t="s">
        <v>1323</v>
      </c>
      <c r="C267" s="507" t="s">
        <v>2460</v>
      </c>
      <c r="D267" s="940" t="s">
        <v>1653</v>
      </c>
      <c r="E267" s="876"/>
      <c r="F267" s="860">
        <f>'SS INPUT'!J299</f>
        <v>475679.99999999302</v>
      </c>
      <c r="G267" s="861"/>
      <c r="H267" s="507"/>
      <c r="I267" s="860">
        <f t="shared" si="115"/>
        <v>475679.99999999302</v>
      </c>
      <c r="J267" s="894">
        <f t="shared" si="116"/>
        <v>475679.99999999302</v>
      </c>
      <c r="K267" s="862">
        <f>J267*(1+K4)</f>
        <v>477590.05786871433</v>
      </c>
      <c r="L267" s="785">
        <v>321365.01789099298</v>
      </c>
      <c r="M267" s="863">
        <f>K267/L267</f>
        <v>1.486129576277381</v>
      </c>
      <c r="N267" s="942">
        <f>K267/O267</f>
        <v>1.7561196887102013</v>
      </c>
      <c r="O267" s="956">
        <v>271957.57836955</v>
      </c>
      <c r="P267" s="736">
        <f>K267/O267</f>
        <v>1.7561196887102013</v>
      </c>
      <c r="Q267" s="765">
        <f>K267-O267</f>
        <v>205632.47949916433</v>
      </c>
      <c r="S267" s="379">
        <v>691622.68846229196</v>
      </c>
      <c r="T267" s="379">
        <f t="shared" si="104"/>
        <v>0.69053555621571117</v>
      </c>
    </row>
    <row r="268" spans="1:25" ht="24" customHeight="1">
      <c r="A268" s="507">
        <v>64</v>
      </c>
      <c r="B268" s="1347" t="s">
        <v>1812</v>
      </c>
      <c r="C268" s="507" t="s">
        <v>2461</v>
      </c>
      <c r="D268" s="940" t="s">
        <v>1806</v>
      </c>
      <c r="E268" s="955"/>
      <c r="F268" s="860">
        <f>'SS INPUT'!J426</f>
        <v>471599.99999999854</v>
      </c>
      <c r="G268" s="861"/>
      <c r="H268" s="507"/>
      <c r="I268" s="860">
        <f t="shared" si="115"/>
        <v>471599.99999999854</v>
      </c>
      <c r="J268" s="894">
        <f t="shared" si="116"/>
        <v>471599.99999999854</v>
      </c>
      <c r="K268" s="862">
        <f>J268*(1+K4)</f>
        <v>473493.67493039079</v>
      </c>
      <c r="L268" s="785">
        <v>230763.01375186801</v>
      </c>
      <c r="M268" s="863">
        <f>K268/L268</f>
        <v>2.0518612026774932</v>
      </c>
      <c r="N268" s="942">
        <f>K268/O268</f>
        <v>2.2625131836423988</v>
      </c>
      <c r="O268" s="736">
        <v>209277.75287838001</v>
      </c>
      <c r="P268" s="736">
        <f>K268/O268</f>
        <v>2.2625131836423988</v>
      </c>
      <c r="Q268" s="765">
        <f>K268-O268</f>
        <v>264215.92205201078</v>
      </c>
      <c r="S268" s="379">
        <v>347415.75089603098</v>
      </c>
      <c r="T268" s="379">
        <f t="shared" si="104"/>
        <v>1.3629021531383889</v>
      </c>
    </row>
    <row r="269" spans="1:25">
      <c r="A269" s="503">
        <v>65</v>
      </c>
      <c r="B269" s="1347"/>
      <c r="C269" s="507" t="s">
        <v>2462</v>
      </c>
      <c r="D269" s="940" t="s">
        <v>2463</v>
      </c>
      <c r="E269" s="859"/>
      <c r="F269" s="860">
        <f>'SS INPUT'!J427</f>
        <v>614266.5131000058</v>
      </c>
      <c r="G269" s="861"/>
      <c r="H269" s="507"/>
      <c r="I269" s="860">
        <f t="shared" si="115"/>
        <v>614266.5131000058</v>
      </c>
      <c r="J269" s="894">
        <f t="shared" si="116"/>
        <v>614266.5131000058</v>
      </c>
      <c r="K269" s="862">
        <f>J269*(1+K4)</f>
        <v>616733.0548651393</v>
      </c>
      <c r="L269" s="785">
        <v>797665.77810205903</v>
      </c>
      <c r="M269" s="863">
        <f>K269/L269</f>
        <v>0.77317226311573073</v>
      </c>
      <c r="N269" s="942">
        <f>K269/O269</f>
        <v>1.3627275754095709</v>
      </c>
      <c r="O269" s="736">
        <v>452572.52145923499</v>
      </c>
      <c r="P269" s="736">
        <f>K269/O269</f>
        <v>1.3627275754095709</v>
      </c>
      <c r="Q269" s="765">
        <f>K269-O269</f>
        <v>164160.53340590431</v>
      </c>
      <c r="S269" s="379">
        <v>1075912.0979176201</v>
      </c>
      <c r="T269" s="379">
        <f t="shared" si="104"/>
        <v>0.57321881226059135</v>
      </c>
    </row>
    <row r="270" spans="1:25">
      <c r="A270" s="507">
        <v>66</v>
      </c>
      <c r="B270" s="1347"/>
      <c r="C270" s="507" t="s">
        <v>2464</v>
      </c>
      <c r="D270" s="940" t="s">
        <v>1812</v>
      </c>
      <c r="E270" s="859"/>
      <c r="F270" s="860">
        <f>'SS INPUT'!J428</f>
        <v>576199.99999999709</v>
      </c>
      <c r="G270" s="861"/>
      <c r="H270" s="507"/>
      <c r="I270" s="860">
        <f t="shared" si="115"/>
        <v>576199.99999999709</v>
      </c>
      <c r="J270" s="894">
        <f t="shared" si="116"/>
        <v>576199.99999999709</v>
      </c>
      <c r="K270" s="862">
        <f>J270*(1+K4)</f>
        <v>578513.68849637546</v>
      </c>
      <c r="L270" s="785">
        <v>677334.10247061704</v>
      </c>
      <c r="M270" s="863">
        <f>K270/L270</f>
        <v>0.85410388519670255</v>
      </c>
      <c r="N270" s="942">
        <f>K270/O270</f>
        <v>1.2295389635710903</v>
      </c>
      <c r="O270" s="736">
        <v>470512.69267313997</v>
      </c>
      <c r="P270" s="736">
        <f>K270/O270</f>
        <v>1.2295389635710903</v>
      </c>
      <c r="Q270" s="765">
        <f>K270-O270</f>
        <v>108000.99582323548</v>
      </c>
      <c r="S270" s="379">
        <v>1079683.40820206</v>
      </c>
      <c r="T270" s="379">
        <f t="shared" si="104"/>
        <v>0.53581789263553092</v>
      </c>
    </row>
    <row r="271" spans="1:25" ht="15" customHeight="1">
      <c r="A271" s="507">
        <v>67</v>
      </c>
      <c r="B271" s="1347" t="s">
        <v>1323</v>
      </c>
      <c r="C271" s="507" t="s">
        <v>2465</v>
      </c>
      <c r="D271" s="940" t="s">
        <v>1651</v>
      </c>
      <c r="E271" s="859"/>
      <c r="F271" s="860">
        <f>'SS INPUT'!J298</f>
        <v>666320.00000000698</v>
      </c>
      <c r="G271" s="861"/>
      <c r="H271" s="507"/>
      <c r="I271" s="860">
        <f t="shared" si="115"/>
        <v>666320.00000000698</v>
      </c>
      <c r="J271" s="894">
        <f t="shared" si="116"/>
        <v>666320.00000000698</v>
      </c>
      <c r="K271" s="892">
        <f>J271*(1+K4)</f>
        <v>668995.55869300745</v>
      </c>
      <c r="L271" s="785"/>
      <c r="M271" s="863"/>
      <c r="N271" s="942"/>
      <c r="O271" s="736"/>
      <c r="P271" s="736"/>
      <c r="Q271" s="765"/>
      <c r="S271" s="379">
        <v>1042782.05490975</v>
      </c>
      <c r="T271" s="379">
        <f t="shared" si="104"/>
        <v>0.64154878341371846</v>
      </c>
    </row>
    <row r="272" spans="1:25">
      <c r="A272" s="507">
        <v>68</v>
      </c>
      <c r="B272" s="1347"/>
      <c r="C272" s="507" t="s">
        <v>2466</v>
      </c>
      <c r="D272" s="439" t="s">
        <v>1657</v>
      </c>
      <c r="E272" s="859"/>
      <c r="F272" s="860">
        <f>'SS INPUT'!J301</f>
        <v>513199.99999999709</v>
      </c>
      <c r="G272" s="861"/>
      <c r="H272" s="507"/>
      <c r="I272" s="860">
        <f t="shared" si="115"/>
        <v>513199.99999999709</v>
      </c>
      <c r="J272" s="894">
        <f t="shared" si="116"/>
        <v>513199.99999999709</v>
      </c>
      <c r="K272" s="892">
        <f>J272*(1+K4)</f>
        <v>515260.71665452915</v>
      </c>
      <c r="L272" s="785"/>
      <c r="M272" s="863"/>
      <c r="N272" s="942"/>
      <c r="O272" s="736"/>
      <c r="P272" s="736"/>
      <c r="Q272" s="765"/>
      <c r="S272" s="379">
        <v>830588.98882070906</v>
      </c>
      <c r="T272" s="379">
        <f t="shared" si="104"/>
        <v>0.62035582410755186</v>
      </c>
      <c r="U272" s="379">
        <f>F272/100</f>
        <v>5131.9999999999709</v>
      </c>
      <c r="V272" s="379">
        <f>U272*39</f>
        <v>200147.99999999886</v>
      </c>
      <c r="W272" s="379">
        <f>V272/100</f>
        <v>2001.4799999999886</v>
      </c>
    </row>
    <row r="273" spans="1:24" ht="18.75">
      <c r="A273" s="503"/>
      <c r="B273" s="923"/>
      <c r="C273" s="923"/>
      <c r="D273" s="893" t="s">
        <v>2467</v>
      </c>
      <c r="E273" s="891"/>
      <c r="F273" s="911">
        <f t="shared" ref="F273:K273" si="117">SUM(F261:F272)</f>
        <v>6688312.3149999985</v>
      </c>
      <c r="G273" s="911">
        <f t="shared" si="117"/>
        <v>0</v>
      </c>
      <c r="H273" s="911">
        <f t="shared" si="117"/>
        <v>443593</v>
      </c>
      <c r="I273" s="911">
        <f t="shared" si="117"/>
        <v>6134994.3909999998</v>
      </c>
      <c r="J273" s="911">
        <f t="shared" si="117"/>
        <v>6128830.6209999984</v>
      </c>
      <c r="K273" s="911">
        <f t="shared" si="117"/>
        <v>6153440.4871993382</v>
      </c>
      <c r="L273" s="957"/>
      <c r="M273" s="863"/>
      <c r="N273" s="942"/>
      <c r="O273" s="736"/>
      <c r="P273" s="736"/>
      <c r="Q273" s="765"/>
      <c r="S273" s="379">
        <v>10024184.523849601</v>
      </c>
      <c r="T273" s="379">
        <f t="shared" si="104"/>
        <v>0.61385945884765336</v>
      </c>
      <c r="U273" s="950">
        <f>(S273-K273)/S273</f>
        <v>0.38614054115234658</v>
      </c>
      <c r="V273" s="765"/>
      <c r="X273" s="765"/>
    </row>
    <row r="274" spans="1:24" ht="21">
      <c r="A274" s="503"/>
      <c r="B274" s="923"/>
      <c r="C274" s="923"/>
      <c r="D274" s="890" t="s">
        <v>904</v>
      </c>
      <c r="E274" s="891"/>
      <c r="F274" s="911"/>
      <c r="G274" s="911"/>
      <c r="H274" s="911"/>
      <c r="I274" s="911"/>
      <c r="J274" s="913"/>
      <c r="K274" s="911"/>
      <c r="L274" s="957"/>
      <c r="M274" s="863"/>
      <c r="N274" s="942"/>
      <c r="O274" s="736"/>
      <c r="P274" s="736"/>
      <c r="Q274" s="765"/>
      <c r="V274" s="765"/>
      <c r="X274" s="765"/>
    </row>
    <row r="275" spans="1:24" ht="15" customHeight="1">
      <c r="A275" s="507">
        <v>69</v>
      </c>
      <c r="B275" s="1347" t="s">
        <v>904</v>
      </c>
      <c r="C275" s="507" t="s">
        <v>2468</v>
      </c>
      <c r="D275" s="511" t="s">
        <v>1668</v>
      </c>
      <c r="E275" s="876" t="s">
        <v>2469</v>
      </c>
      <c r="F275" s="860">
        <f>'SS INPUT'!J309</f>
        <v>605331.81999999995</v>
      </c>
      <c r="G275" s="861"/>
      <c r="H275" s="507">
        <f>'11 KV HT'!L59</f>
        <v>20531</v>
      </c>
      <c r="I275" s="860">
        <f>F275+G275-H275</f>
        <v>584800.81999999995</v>
      </c>
      <c r="J275" s="894">
        <f>F275+G275-(H275*1.015)</f>
        <v>584492.85499999998</v>
      </c>
      <c r="K275" s="862">
        <f>J275*(1+K4)</f>
        <v>586839.84284246585</v>
      </c>
      <c r="L275" s="957"/>
      <c r="M275" s="863"/>
      <c r="N275" s="942"/>
      <c r="O275" s="736"/>
      <c r="P275" s="736"/>
      <c r="Q275" s="765"/>
      <c r="S275" s="379">
        <v>433065.58400000399</v>
      </c>
      <c r="T275" s="379">
        <f t="shared" ref="T275:T309" si="118">K275/S275</f>
        <v>1.3550830740742041</v>
      </c>
      <c r="V275" s="765"/>
      <c r="X275" s="765"/>
    </row>
    <row r="276" spans="1:24" ht="33.75">
      <c r="A276" s="507">
        <v>70</v>
      </c>
      <c r="B276" s="1347"/>
      <c r="C276" s="507" t="s">
        <v>2470</v>
      </c>
      <c r="D276" s="511" t="s">
        <v>1665</v>
      </c>
      <c r="E276" s="958" t="s">
        <v>2471</v>
      </c>
      <c r="F276" s="860">
        <f>'SS INPUT'!J308</f>
        <v>353678.71110000001</v>
      </c>
      <c r="G276" s="959"/>
      <c r="H276" s="960"/>
      <c r="I276" s="860">
        <f>F276+G276-H276</f>
        <v>353678.71110000001</v>
      </c>
      <c r="J276" s="894">
        <f>F276+G276-(H276*1.015)</f>
        <v>353678.71110000001</v>
      </c>
      <c r="K276" s="862">
        <f>J276*(1+K4)</f>
        <v>355098.88181379036</v>
      </c>
      <c r="L276" s="957"/>
      <c r="M276" s="863"/>
      <c r="N276" s="942"/>
      <c r="O276" s="736"/>
      <c r="P276" s="736"/>
      <c r="Q276" s="765"/>
      <c r="R276" s="379">
        <v>389000</v>
      </c>
      <c r="S276" s="379">
        <v>183560.07250000001</v>
      </c>
      <c r="T276" s="379">
        <f t="shared" si="118"/>
        <v>1.9345104683034506</v>
      </c>
    </row>
    <row r="277" spans="1:24">
      <c r="A277" s="507">
        <v>71</v>
      </c>
      <c r="B277" s="1347"/>
      <c r="C277" s="507" t="s">
        <v>2472</v>
      </c>
      <c r="D277" s="511" t="s">
        <v>1662</v>
      </c>
      <c r="E277" s="876"/>
      <c r="F277" s="860">
        <f>'SS INPUT'!J307</f>
        <v>37770.000000000073</v>
      </c>
      <c r="G277" s="861"/>
      <c r="H277" s="507"/>
      <c r="I277" s="860">
        <v>0</v>
      </c>
      <c r="J277" s="894">
        <v>0</v>
      </c>
      <c r="K277" s="862">
        <v>0</v>
      </c>
      <c r="L277" s="957"/>
      <c r="M277" s="863"/>
      <c r="N277" s="942"/>
      <c r="O277" s="736"/>
      <c r="P277" s="736"/>
      <c r="Q277" s="765"/>
      <c r="S277" s="379">
        <v>44960</v>
      </c>
      <c r="T277" s="379">
        <f t="shared" si="118"/>
        <v>0</v>
      </c>
      <c r="V277" s="765"/>
      <c r="X277" s="765"/>
    </row>
    <row r="278" spans="1:24">
      <c r="A278" s="503">
        <v>72</v>
      </c>
      <c r="B278" s="1347"/>
      <c r="C278" s="507" t="s">
        <v>2473</v>
      </c>
      <c r="D278" s="511" t="s">
        <v>2474</v>
      </c>
      <c r="E278" s="926"/>
      <c r="F278" s="860">
        <f>'SS INPUT'!J310</f>
        <v>63424.990200000466</v>
      </c>
      <c r="G278" s="932"/>
      <c r="H278" s="507">
        <f>'11 KV HT'!L44</f>
        <v>27803</v>
      </c>
      <c r="I278" s="860">
        <f t="shared" ref="I278:I289" si="119">F278+G278-H278</f>
        <v>35621.990200000466</v>
      </c>
      <c r="J278" s="894">
        <f t="shared" ref="J278:J289" si="120">F278+G278-(H278*1.015)</f>
        <v>35204.945200000468</v>
      </c>
      <c r="K278" s="862">
        <f>J278*(1+K4)</f>
        <v>35346.30805443447</v>
      </c>
      <c r="L278" s="957"/>
      <c r="M278" s="863"/>
      <c r="N278" s="942"/>
      <c r="O278" s="736"/>
      <c r="P278" s="736"/>
      <c r="Q278" s="765"/>
      <c r="S278" s="379">
        <v>53983.934400000202</v>
      </c>
      <c r="T278" s="379">
        <f t="shared" si="118"/>
        <v>0.65475605746946708</v>
      </c>
      <c r="V278" s="765"/>
      <c r="X278" s="765"/>
    </row>
    <row r="279" spans="1:24">
      <c r="A279" s="507">
        <v>73</v>
      </c>
      <c r="B279" s="1347"/>
      <c r="C279" s="507" t="s">
        <v>2475</v>
      </c>
      <c r="D279" s="511" t="s">
        <v>1675</v>
      </c>
      <c r="E279" s="926"/>
      <c r="F279" s="860">
        <f>'SS INPUT'!J312</f>
        <v>307319.99999999971</v>
      </c>
      <c r="G279" s="932"/>
      <c r="H279" s="507"/>
      <c r="I279" s="860">
        <f t="shared" si="119"/>
        <v>307319.99999999971</v>
      </c>
      <c r="J279" s="894">
        <f t="shared" si="120"/>
        <v>307319.99999999971</v>
      </c>
      <c r="K279" s="862">
        <f>J279*(1+K4)</f>
        <v>308554.02073708229</v>
      </c>
      <c r="L279" s="957"/>
      <c r="M279" s="863"/>
      <c r="N279" s="942"/>
      <c r="O279" s="736"/>
      <c r="P279" s="736"/>
      <c r="Q279" s="765"/>
      <c r="S279" s="379">
        <v>221160</v>
      </c>
      <c r="T279" s="379">
        <f t="shared" si="118"/>
        <v>1.3951619675216236</v>
      </c>
      <c r="V279" s="765"/>
      <c r="X279" s="765"/>
    </row>
    <row r="280" spans="1:24">
      <c r="A280" s="507">
        <v>74</v>
      </c>
      <c r="B280" s="1347"/>
      <c r="C280" s="507" t="s">
        <v>2476</v>
      </c>
      <c r="D280" s="511" t="s">
        <v>1132</v>
      </c>
      <c r="E280" s="876"/>
      <c r="F280" s="860">
        <f>'SS INPUT'!J311</f>
        <v>424210.00000000023</v>
      </c>
      <c r="G280" s="861"/>
      <c r="H280" s="507">
        <f>'11 KV HT'!L61</f>
        <v>7182</v>
      </c>
      <c r="I280" s="860">
        <f t="shared" si="119"/>
        <v>417028.00000000023</v>
      </c>
      <c r="J280" s="894">
        <f t="shared" si="120"/>
        <v>416920.27000000025</v>
      </c>
      <c r="K280" s="862">
        <f>J280*(1+K4)</f>
        <v>418594.3825175392</v>
      </c>
      <c r="L280" s="957"/>
      <c r="M280" s="863"/>
      <c r="N280" s="942"/>
      <c r="O280" s="736"/>
      <c r="P280" s="736"/>
      <c r="Q280" s="765"/>
      <c r="S280" s="379">
        <v>324820</v>
      </c>
      <c r="T280" s="379">
        <f t="shared" si="118"/>
        <v>1.2886964550136666</v>
      </c>
      <c r="V280" s="765"/>
      <c r="X280" s="765"/>
    </row>
    <row r="281" spans="1:24" ht="15" customHeight="1">
      <c r="A281" s="507">
        <v>75</v>
      </c>
      <c r="B281" s="1347" t="s">
        <v>2123</v>
      </c>
      <c r="C281" s="507" t="s">
        <v>2477</v>
      </c>
      <c r="D281" s="739" t="s">
        <v>23</v>
      </c>
      <c r="E281" s="949"/>
      <c r="F281" s="860"/>
      <c r="G281" s="959"/>
      <c r="H281" s="961"/>
      <c r="I281" s="860">
        <f t="shared" si="119"/>
        <v>0</v>
      </c>
      <c r="J281" s="894">
        <f t="shared" si="120"/>
        <v>0</v>
      </c>
      <c r="K281" s="862">
        <f>J281*(1+K4)</f>
        <v>0</v>
      </c>
      <c r="L281" s="957"/>
      <c r="M281" s="863"/>
      <c r="N281" s="942"/>
      <c r="O281" s="736"/>
      <c r="P281" s="736"/>
      <c r="Q281" s="765"/>
      <c r="T281" s="379" t="e">
        <f t="shared" si="118"/>
        <v>#DIV/0!</v>
      </c>
      <c r="V281" s="765"/>
      <c r="X281" s="765"/>
    </row>
    <row r="282" spans="1:24">
      <c r="A282" s="507">
        <v>76</v>
      </c>
      <c r="B282" s="1347"/>
      <c r="C282" s="507" t="s">
        <v>2478</v>
      </c>
      <c r="D282" s="739" t="s">
        <v>1891</v>
      </c>
      <c r="E282" s="949"/>
      <c r="F282" s="860">
        <f>'SS INPUT'!J520</f>
        <v>31540</v>
      </c>
      <c r="G282" s="959"/>
      <c r="H282" s="961"/>
      <c r="I282" s="860">
        <f t="shared" si="119"/>
        <v>31540</v>
      </c>
      <c r="J282" s="894">
        <f t="shared" si="120"/>
        <v>31540</v>
      </c>
      <c r="K282" s="862">
        <f>J282*(1+K4)</f>
        <v>31666.646537965589</v>
      </c>
      <c r="L282" s="957"/>
      <c r="M282" s="863"/>
      <c r="N282" s="942"/>
      <c r="O282" s="736"/>
      <c r="P282" s="736"/>
      <c r="Q282" s="765"/>
      <c r="S282" s="379">
        <v>27520</v>
      </c>
      <c r="T282" s="379">
        <f t="shared" si="118"/>
        <v>1.1506775631528194</v>
      </c>
      <c r="V282" s="765"/>
      <c r="X282" s="765"/>
    </row>
    <row r="283" spans="1:24">
      <c r="A283" s="507">
        <v>77</v>
      </c>
      <c r="B283" s="1347"/>
      <c r="C283" s="507" t="s">
        <v>2479</v>
      </c>
      <c r="D283" s="739" t="s">
        <v>1893</v>
      </c>
      <c r="E283" s="949"/>
      <c r="F283" s="860">
        <f>'SS INPUT'!J521</f>
        <v>59860</v>
      </c>
      <c r="G283" s="959"/>
      <c r="H283" s="961"/>
      <c r="I283" s="860">
        <f t="shared" si="119"/>
        <v>59860</v>
      </c>
      <c r="J283" s="894">
        <f t="shared" si="120"/>
        <v>59860</v>
      </c>
      <c r="K283" s="862">
        <f>J283*(1+K4)</f>
        <v>60100.363404014592</v>
      </c>
      <c r="L283" s="957"/>
      <c r="M283" s="863"/>
      <c r="N283" s="942"/>
      <c r="O283" s="736"/>
      <c r="P283" s="736"/>
      <c r="Q283" s="765"/>
      <c r="R283" s="765">
        <f>G290-R276</f>
        <v>-389000</v>
      </c>
      <c r="S283" s="379">
        <v>62000</v>
      </c>
      <c r="T283" s="379">
        <f t="shared" si="118"/>
        <v>0.9693607000647515</v>
      </c>
      <c r="V283" s="765"/>
      <c r="X283" s="765"/>
    </row>
    <row r="284" spans="1:24" ht="15" customHeight="1">
      <c r="A284" s="507">
        <v>78</v>
      </c>
      <c r="B284" s="1347" t="s">
        <v>927</v>
      </c>
      <c r="C284" s="507" t="s">
        <v>2480</v>
      </c>
      <c r="D284" s="962" t="s">
        <v>2481</v>
      </c>
      <c r="E284" s="876" t="s">
        <v>2482</v>
      </c>
      <c r="F284" s="860">
        <f>'SS INPUT'!J471</f>
        <v>384959.99999999913</v>
      </c>
      <c r="G284" s="861"/>
      <c r="H284" s="961"/>
      <c r="I284" s="860">
        <f t="shared" si="119"/>
        <v>384959.99999999913</v>
      </c>
      <c r="J284" s="894">
        <f t="shared" si="120"/>
        <v>384959.99999999913</v>
      </c>
      <c r="K284" s="862">
        <f>J284*(1+K4)</f>
        <v>386505.77841646184</v>
      </c>
      <c r="L284" s="957"/>
      <c r="M284" s="863"/>
      <c r="N284" s="942"/>
      <c r="O284" s="736"/>
      <c r="P284" s="736"/>
      <c r="Q284" s="765"/>
      <c r="S284" s="379">
        <v>341760</v>
      </c>
      <c r="T284" s="379">
        <f t="shared" si="118"/>
        <v>1.1309274883440479</v>
      </c>
      <c r="V284" s="765"/>
      <c r="X284" s="765"/>
    </row>
    <row r="285" spans="1:24">
      <c r="A285" s="507">
        <v>79</v>
      </c>
      <c r="B285" s="1347"/>
      <c r="C285" s="507" t="s">
        <v>2483</v>
      </c>
      <c r="D285" s="962" t="s">
        <v>2484</v>
      </c>
      <c r="E285" s="876"/>
      <c r="F285" s="860">
        <f>'SS INPUT'!J472</f>
        <v>702060.00000000128</v>
      </c>
      <c r="G285" s="959"/>
      <c r="H285" s="961"/>
      <c r="I285" s="860">
        <f t="shared" si="119"/>
        <v>702060.00000000128</v>
      </c>
      <c r="J285" s="894">
        <f t="shared" si="120"/>
        <v>702060.00000000128</v>
      </c>
      <c r="K285" s="862">
        <f>J285*(1+K4)</f>
        <v>704879.07002042362</v>
      </c>
      <c r="L285" s="957"/>
      <c r="M285" s="863"/>
      <c r="N285" s="942"/>
      <c r="O285" s="736"/>
      <c r="P285" s="736"/>
      <c r="Q285" s="765"/>
      <c r="S285" s="379">
        <v>541620.00000000303</v>
      </c>
      <c r="T285" s="379">
        <f t="shared" si="118"/>
        <v>1.3014273291614411</v>
      </c>
      <c r="V285" s="765"/>
      <c r="X285" s="765"/>
    </row>
    <row r="286" spans="1:24">
      <c r="A286" s="507">
        <v>80</v>
      </c>
      <c r="B286" s="1347"/>
      <c r="C286" s="507" t="s">
        <v>2485</v>
      </c>
      <c r="D286" s="962" t="s">
        <v>2486</v>
      </c>
      <c r="E286" s="876" t="s">
        <v>2482</v>
      </c>
      <c r="F286" s="860">
        <f>'SS INPUT'!J474</f>
        <v>388619.99999999715</v>
      </c>
      <c r="G286" s="963"/>
      <c r="H286" s="961"/>
      <c r="I286" s="860">
        <f t="shared" si="119"/>
        <v>388619.99999999715</v>
      </c>
      <c r="J286" s="894">
        <f t="shared" si="120"/>
        <v>388619.99999999715</v>
      </c>
      <c r="K286" s="862">
        <f>J286*(1+K4)</f>
        <v>390180.47487584327</v>
      </c>
      <c r="L286" s="957"/>
      <c r="M286" s="863"/>
      <c r="N286" s="942"/>
      <c r="O286" s="736"/>
      <c r="P286" s="736"/>
      <c r="Q286" s="765"/>
      <c r="S286" s="379">
        <v>276000</v>
      </c>
      <c r="T286" s="379">
        <f t="shared" si="118"/>
        <v>1.4136973727385627</v>
      </c>
      <c r="V286" s="765"/>
      <c r="X286" s="765"/>
    </row>
    <row r="287" spans="1:24" ht="15" customHeight="1">
      <c r="A287" s="503">
        <v>81</v>
      </c>
      <c r="B287" s="1347" t="s">
        <v>924</v>
      </c>
      <c r="C287" s="507" t="s">
        <v>2487</v>
      </c>
      <c r="D287" s="940" t="s">
        <v>1605</v>
      </c>
      <c r="E287" s="955" t="s">
        <v>2454</v>
      </c>
      <c r="F287" s="860">
        <f>'SS INPUT'!J265</f>
        <v>273080.00000000029</v>
      </c>
      <c r="G287" s="861"/>
      <c r="H287" s="507"/>
      <c r="I287" s="860">
        <f t="shared" si="119"/>
        <v>273080.00000000029</v>
      </c>
      <c r="J287" s="894">
        <f t="shared" si="120"/>
        <v>273080.00000000029</v>
      </c>
      <c r="K287" s="862">
        <f>J287*(1+K4)</f>
        <v>274176.53254875244</v>
      </c>
      <c r="L287" s="957"/>
      <c r="M287" s="863"/>
      <c r="N287" s="942"/>
      <c r="O287" s="736"/>
      <c r="P287" s="736"/>
      <c r="Q287" s="765"/>
      <c r="S287" s="379">
        <v>184240</v>
      </c>
      <c r="T287" s="379">
        <f t="shared" si="118"/>
        <v>1.4881487871729941</v>
      </c>
      <c r="V287" s="765"/>
      <c r="X287" s="765"/>
    </row>
    <row r="288" spans="1:24">
      <c r="A288" s="507">
        <v>82</v>
      </c>
      <c r="B288" s="1347"/>
      <c r="C288" s="507" t="s">
        <v>2488</v>
      </c>
      <c r="D288" s="511" t="s">
        <v>2489</v>
      </c>
      <c r="E288" s="955"/>
      <c r="F288" s="860">
        <f>'SS INPUT'!J264</f>
        <v>790800.00000001746</v>
      </c>
      <c r="G288" s="861"/>
      <c r="H288" s="507">
        <f>'11 KV HT'!L62</f>
        <v>19084</v>
      </c>
      <c r="I288" s="860">
        <f t="shared" si="119"/>
        <v>771716.00000001746</v>
      </c>
      <c r="J288" s="894">
        <f t="shared" si="120"/>
        <v>771429.74000001745</v>
      </c>
      <c r="K288" s="862">
        <f>J288*(1+K4)</f>
        <v>774527.35908228438</v>
      </c>
      <c r="L288" s="957"/>
      <c r="M288" s="863"/>
      <c r="N288" s="942"/>
      <c r="O288" s="736"/>
      <c r="P288" s="736"/>
      <c r="Q288" s="765"/>
      <c r="S288" s="379">
        <v>570600.00000000605</v>
      </c>
      <c r="T288" s="379">
        <f t="shared" si="118"/>
        <v>1.3573910954824329</v>
      </c>
      <c r="V288" s="765"/>
      <c r="X288" s="765"/>
    </row>
    <row r="289" spans="1:24">
      <c r="A289" s="507">
        <v>83</v>
      </c>
      <c r="B289" s="507" t="s">
        <v>1817</v>
      </c>
      <c r="C289" s="507" t="s">
        <v>2490</v>
      </c>
      <c r="D289" s="511" t="s">
        <v>1817</v>
      </c>
      <c r="E289" s="955"/>
      <c r="F289" s="860">
        <f>'SS INPUT'!J434</f>
        <v>718600.00000000582</v>
      </c>
      <c r="G289" s="861"/>
      <c r="H289" s="507"/>
      <c r="I289" s="860">
        <f t="shared" si="119"/>
        <v>718600.00000000582</v>
      </c>
      <c r="J289" s="894">
        <f t="shared" si="120"/>
        <v>718600.00000000582</v>
      </c>
      <c r="K289" s="862">
        <f>J289*(1+K4)</f>
        <v>721485.48516747809</v>
      </c>
      <c r="L289" s="957"/>
      <c r="M289" s="863"/>
      <c r="N289" s="942"/>
      <c r="O289" s="736"/>
      <c r="P289" s="736"/>
      <c r="Q289" s="765"/>
      <c r="S289" s="379">
        <v>479200.00000001199</v>
      </c>
      <c r="T289" s="379">
        <f t="shared" si="118"/>
        <v>1.5056041009337646</v>
      </c>
      <c r="V289" s="765"/>
      <c r="X289" s="765"/>
    </row>
    <row r="290" spans="1:24" ht="18.75">
      <c r="A290" s="507"/>
      <c r="B290" s="923"/>
      <c r="C290" s="923"/>
      <c r="D290" s="893" t="s">
        <v>2467</v>
      </c>
      <c r="E290" s="891"/>
      <c r="F290" s="911">
        <f t="shared" ref="F290:K290" si="121">SUM(F275:F289)</f>
        <v>5141255.5213000216</v>
      </c>
      <c r="G290" s="911">
        <f t="shared" si="121"/>
        <v>0</v>
      </c>
      <c r="H290" s="911">
        <f t="shared" si="121"/>
        <v>74600</v>
      </c>
      <c r="I290" s="911">
        <f t="shared" si="121"/>
        <v>5028885.5213000216</v>
      </c>
      <c r="J290" s="911">
        <f t="shared" si="121"/>
        <v>5027766.5213000216</v>
      </c>
      <c r="K290" s="911">
        <f t="shared" si="121"/>
        <v>5047955.1460185358</v>
      </c>
      <c r="L290" s="957"/>
      <c r="M290" s="863"/>
      <c r="N290" s="942"/>
      <c r="O290" s="736"/>
      <c r="P290" s="736"/>
      <c r="Q290" s="765"/>
      <c r="S290" s="379">
        <v>3744489.5909000202</v>
      </c>
      <c r="T290" s="379">
        <f t="shared" si="118"/>
        <v>1.3481023310323095</v>
      </c>
      <c r="V290" s="765"/>
      <c r="X290" s="765"/>
    </row>
    <row r="291" spans="1:24" ht="18.75">
      <c r="A291" s="503"/>
      <c r="B291" s="503"/>
      <c r="C291" s="503"/>
      <c r="D291" s="899" t="s">
        <v>1068</v>
      </c>
      <c r="E291" s="891"/>
      <c r="F291" s="503"/>
      <c r="G291" s="908"/>
      <c r="H291" s="503"/>
      <c r="I291" s="507">
        <f>F291-G291-H291</f>
        <v>0</v>
      </c>
      <c r="J291" s="914"/>
      <c r="K291" s="892"/>
      <c r="L291" s="964"/>
      <c r="M291" s="863"/>
      <c r="O291" s="379">
        <v>1510691.4347244201</v>
      </c>
      <c r="S291" s="765"/>
      <c r="T291" s="379" t="e">
        <f t="shared" si="118"/>
        <v>#DIV/0!</v>
      </c>
    </row>
    <row r="292" spans="1:24" ht="15" customHeight="1">
      <c r="A292" s="507">
        <v>84</v>
      </c>
      <c r="B292" s="1347" t="s">
        <v>1068</v>
      </c>
      <c r="C292" s="507" t="s">
        <v>2491</v>
      </c>
      <c r="D292" s="586" t="s">
        <v>2492</v>
      </c>
      <c r="E292" s="878"/>
      <c r="F292" s="860">
        <f>'SS INPUT'!J334</f>
        <v>1677600.0000000058</v>
      </c>
      <c r="G292" s="908"/>
      <c r="H292" s="503"/>
      <c r="I292" s="860">
        <f t="shared" ref="I292:I306" si="122">F292+G292-H292</f>
        <v>1677600.0000000058</v>
      </c>
      <c r="J292" s="894">
        <f t="shared" ref="J292:J306" si="123">(F292+G292)-(H292*1.015)</f>
        <v>1677600.0000000058</v>
      </c>
      <c r="K292" s="892">
        <f>J292*(1+K4)</f>
        <v>1684336.2787600271</v>
      </c>
      <c r="L292" s="964"/>
      <c r="M292" s="863"/>
      <c r="O292" s="379">
        <v>275103.98968878301</v>
      </c>
      <c r="S292" s="379">
        <v>2053682.89749961</v>
      </c>
      <c r="T292" s="379">
        <f t="shared" si="118"/>
        <v>0.82015401735620042</v>
      </c>
    </row>
    <row r="293" spans="1:24" ht="18.75">
      <c r="A293" s="507">
        <v>85</v>
      </c>
      <c r="B293" s="1347"/>
      <c r="C293" s="507" t="s">
        <v>2493</v>
      </c>
      <c r="D293" s="586" t="s">
        <v>1700</v>
      </c>
      <c r="E293" s="878"/>
      <c r="F293" s="860">
        <f>'SS INPUT'!J335</f>
        <v>387466.56980000052</v>
      </c>
      <c r="G293" s="908"/>
      <c r="H293" s="503"/>
      <c r="I293" s="860">
        <f t="shared" si="122"/>
        <v>387466.56980000052</v>
      </c>
      <c r="J293" s="894">
        <f t="shared" si="123"/>
        <v>387466.56980000052</v>
      </c>
      <c r="K293" s="892">
        <f>J293*(1+K4)</f>
        <v>389022.413162162</v>
      </c>
      <c r="L293" s="911"/>
      <c r="M293" s="863"/>
      <c r="O293" s="379">
        <v>510049.834908324</v>
      </c>
      <c r="S293" s="379">
        <v>428479.60564084601</v>
      </c>
      <c r="T293" s="379">
        <f t="shared" si="118"/>
        <v>0.9079134876917403</v>
      </c>
    </row>
    <row r="294" spans="1:24">
      <c r="A294" s="507">
        <v>86</v>
      </c>
      <c r="B294" s="1347"/>
      <c r="C294" s="507" t="s">
        <v>2494</v>
      </c>
      <c r="D294" s="586" t="s">
        <v>1702</v>
      </c>
      <c r="E294" s="878"/>
      <c r="F294" s="860">
        <f>'SS INPUT'!J336</f>
        <v>626000</v>
      </c>
      <c r="G294" s="908"/>
      <c r="H294" s="503"/>
      <c r="I294" s="860">
        <f t="shared" si="122"/>
        <v>626000</v>
      </c>
      <c r="J294" s="894">
        <f t="shared" si="123"/>
        <v>626000</v>
      </c>
      <c r="K294" s="892">
        <f>J294*(1+K4)</f>
        <v>628513.65671421879</v>
      </c>
      <c r="L294" s="785"/>
      <c r="M294" s="863"/>
      <c r="O294" s="379">
        <v>276662.30681984202</v>
      </c>
      <c r="S294" s="379">
        <v>772793.574459375</v>
      </c>
      <c r="T294" s="379">
        <f t="shared" si="118"/>
        <v>0.81330083153694643</v>
      </c>
    </row>
    <row r="295" spans="1:24">
      <c r="A295" s="507">
        <v>87</v>
      </c>
      <c r="B295" s="1347"/>
      <c r="C295" s="507" t="s">
        <v>2495</v>
      </c>
      <c r="D295" s="586" t="s">
        <v>1067</v>
      </c>
      <c r="E295" s="878"/>
      <c r="F295" s="860">
        <f>'SS INPUT'!J337</f>
        <v>382500</v>
      </c>
      <c r="G295" s="908"/>
      <c r="H295" s="503">
        <f>'11 KV HT'!L6</f>
        <v>30533</v>
      </c>
      <c r="I295" s="860">
        <f t="shared" si="122"/>
        <v>351967</v>
      </c>
      <c r="J295" s="894">
        <f t="shared" si="123"/>
        <v>351509.005</v>
      </c>
      <c r="K295" s="892">
        <f>J295*(1+K4)</f>
        <v>352920.46341937158</v>
      </c>
      <c r="L295" s="785"/>
      <c r="M295" s="863"/>
      <c r="O295" s="379">
        <v>879546.16417430097</v>
      </c>
      <c r="S295" s="379">
        <v>389629.12508486101</v>
      </c>
      <c r="T295" s="379">
        <f t="shared" si="118"/>
        <v>0.90578563227917241</v>
      </c>
    </row>
    <row r="296" spans="1:24" ht="16.5" customHeight="1">
      <c r="A296" s="507">
        <v>88</v>
      </c>
      <c r="B296" s="1347" t="s">
        <v>167</v>
      </c>
      <c r="C296" s="507" t="s">
        <v>2496</v>
      </c>
      <c r="D296" s="586" t="s">
        <v>2497</v>
      </c>
      <c r="E296" s="878"/>
      <c r="F296" s="860">
        <f>'SS INPUT'!J395</f>
        <v>873399.99999999418</v>
      </c>
      <c r="G296" s="861"/>
      <c r="H296" s="503"/>
      <c r="I296" s="860">
        <f t="shared" si="122"/>
        <v>873399.99999999418</v>
      </c>
      <c r="J296" s="894">
        <f t="shared" si="123"/>
        <v>873399.99999999418</v>
      </c>
      <c r="K296" s="892">
        <f>J296*(1+K4)</f>
        <v>876907.0731217172</v>
      </c>
      <c r="L296" s="785"/>
      <c r="M296" s="863"/>
      <c r="O296" s="379">
        <v>1314444.37872406</v>
      </c>
      <c r="S296" s="379">
        <v>1097462.00151349</v>
      </c>
      <c r="T296" s="379">
        <f t="shared" si="118"/>
        <v>0.7990318315462317</v>
      </c>
    </row>
    <row r="297" spans="1:24">
      <c r="A297" s="507">
        <v>89</v>
      </c>
      <c r="B297" s="1347"/>
      <c r="C297" s="507" t="s">
        <v>2498</v>
      </c>
      <c r="D297" s="586" t="s">
        <v>2499</v>
      </c>
      <c r="E297" s="878"/>
      <c r="F297" s="860">
        <f>'SS INPUT'!J393</f>
        <v>1580549.9999999956</v>
      </c>
      <c r="G297" s="908"/>
      <c r="H297" s="503"/>
      <c r="I297" s="860">
        <f t="shared" si="122"/>
        <v>1580549.9999999956</v>
      </c>
      <c r="J297" s="894">
        <f t="shared" si="123"/>
        <v>1580549.9999999956</v>
      </c>
      <c r="K297" s="892">
        <f>J297*(1+K4)</f>
        <v>1586896.5816607918</v>
      </c>
      <c r="L297" s="785">
        <v>487281.277992455</v>
      </c>
      <c r="M297" s="863">
        <f t="shared" ref="M297:M313" si="124">K297/L297</f>
        <v>3.2566335981522423</v>
      </c>
      <c r="O297" s="379">
        <v>584466.60262323299</v>
      </c>
      <c r="S297" s="379">
        <v>1506265.0461134601</v>
      </c>
      <c r="T297" s="379">
        <f t="shared" si="118"/>
        <v>1.0535307751815532</v>
      </c>
    </row>
    <row r="298" spans="1:24">
      <c r="A298" s="507">
        <v>90</v>
      </c>
      <c r="B298" s="1347"/>
      <c r="C298" s="507" t="s">
        <v>2500</v>
      </c>
      <c r="D298" s="586" t="s">
        <v>1773</v>
      </c>
      <c r="E298" s="878"/>
      <c r="F298" s="860">
        <f>'SS INPUT'!J396</f>
        <v>209400.00000000146</v>
      </c>
      <c r="G298" s="908"/>
      <c r="H298" s="503"/>
      <c r="I298" s="860">
        <f t="shared" si="122"/>
        <v>209400.00000000146</v>
      </c>
      <c r="J298" s="894">
        <f t="shared" si="123"/>
        <v>209400.00000000146</v>
      </c>
      <c r="K298" s="892">
        <f>J298*(1+K4)</f>
        <v>210240.83021718581</v>
      </c>
      <c r="L298" s="785">
        <v>1139520.6913928699</v>
      </c>
      <c r="M298" s="863">
        <f t="shared" si="124"/>
        <v>0.18449935293426065</v>
      </c>
      <c r="O298" s="379">
        <v>560392.41601616901</v>
      </c>
      <c r="S298" s="379">
        <v>746220.39428329305</v>
      </c>
      <c r="T298" s="379">
        <f t="shared" si="118"/>
        <v>0.28174093314497456</v>
      </c>
    </row>
    <row r="299" spans="1:24" ht="13.5" customHeight="1">
      <c r="A299" s="507">
        <v>91</v>
      </c>
      <c r="B299" s="1347"/>
      <c r="C299" s="507" t="s">
        <v>2501</v>
      </c>
      <c r="D299" s="586" t="s">
        <v>1769</v>
      </c>
      <c r="E299" s="906"/>
      <c r="F299" s="860">
        <f>'SS INPUT'!J394</f>
        <v>632130.00000000827</v>
      </c>
      <c r="G299" s="907"/>
      <c r="H299" s="503"/>
      <c r="I299" s="860">
        <f t="shared" si="122"/>
        <v>632130.00000000827</v>
      </c>
      <c r="J299" s="894">
        <f t="shared" si="123"/>
        <v>632130.00000000827</v>
      </c>
      <c r="K299" s="892">
        <f>J299*(1+K4)</f>
        <v>634668.27127598133</v>
      </c>
      <c r="L299" s="785">
        <v>1408162.2250639</v>
      </c>
      <c r="M299" s="863">
        <f t="shared" si="124"/>
        <v>0.45070678646217849</v>
      </c>
      <c r="O299" s="379">
        <v>362665.30469130998</v>
      </c>
      <c r="S299" s="379">
        <v>646255.60597887496</v>
      </c>
      <c r="T299" s="379">
        <f t="shared" si="118"/>
        <v>0.98207004380976715</v>
      </c>
    </row>
    <row r="300" spans="1:24" ht="15" customHeight="1">
      <c r="A300" s="507">
        <v>92</v>
      </c>
      <c r="B300" s="1347" t="s">
        <v>1817</v>
      </c>
      <c r="C300" s="507" t="s">
        <v>2502</v>
      </c>
      <c r="D300" s="586" t="s">
        <v>1819</v>
      </c>
      <c r="E300" s="878"/>
      <c r="F300" s="860">
        <f>'SS INPUT'!J435</f>
        <v>357599.99999999854</v>
      </c>
      <c r="G300" s="908"/>
      <c r="H300" s="503"/>
      <c r="I300" s="860">
        <f t="shared" si="122"/>
        <v>357599.99999999854</v>
      </c>
      <c r="J300" s="894">
        <f t="shared" si="123"/>
        <v>357599.99999999854</v>
      </c>
      <c r="K300" s="892">
        <f>J300*(1+K4)</f>
        <v>359035.91635943082</v>
      </c>
      <c r="L300" s="785">
        <v>797122.15305837104</v>
      </c>
      <c r="M300" s="863">
        <f t="shared" si="124"/>
        <v>0.45041517787693403</v>
      </c>
      <c r="O300" s="379">
        <v>12834.0461705829</v>
      </c>
      <c r="S300" s="379">
        <v>414210.738464583</v>
      </c>
      <c r="T300" s="379">
        <f t="shared" si="118"/>
        <v>0.86679528804666683</v>
      </c>
    </row>
    <row r="301" spans="1:24">
      <c r="A301" s="507">
        <v>93</v>
      </c>
      <c r="B301" s="1347"/>
      <c r="C301" s="507" t="s">
        <v>2503</v>
      </c>
      <c r="D301" s="586" t="s">
        <v>2504</v>
      </c>
      <c r="E301" s="906"/>
      <c r="F301" s="860">
        <f>'SS INPUT'!J436</f>
        <v>23079.999999999982</v>
      </c>
      <c r="G301" s="907"/>
      <c r="H301" s="503"/>
      <c r="I301" s="860">
        <f t="shared" si="122"/>
        <v>23079.999999999982</v>
      </c>
      <c r="J301" s="894">
        <f t="shared" si="123"/>
        <v>23079.999999999982</v>
      </c>
      <c r="K301" s="892">
        <f>J301*(1+K4)</f>
        <v>23172.676033489068</v>
      </c>
      <c r="L301" s="785">
        <v>632211.83663605002</v>
      </c>
      <c r="M301" s="863">
        <f t="shared" si="124"/>
        <v>3.6653341001631784E-2</v>
      </c>
      <c r="O301" s="379">
        <v>56718.189864638203</v>
      </c>
      <c r="S301" s="379">
        <v>17060.6020585761</v>
      </c>
      <c r="T301" s="379">
        <f t="shared" si="118"/>
        <v>1.3582566402948555</v>
      </c>
    </row>
    <row r="302" spans="1:24" ht="15" customHeight="1">
      <c r="A302" s="507">
        <v>94</v>
      </c>
      <c r="B302" s="1347" t="s">
        <v>2505</v>
      </c>
      <c r="C302" s="507" t="s">
        <v>2506</v>
      </c>
      <c r="D302" s="586" t="s">
        <v>2507</v>
      </c>
      <c r="E302" s="878"/>
      <c r="F302" s="860">
        <f>'SS INPUT'!J442</f>
        <v>51066.653900000245</v>
      </c>
      <c r="G302" s="908"/>
      <c r="H302" s="503"/>
      <c r="I302" s="860">
        <f t="shared" si="122"/>
        <v>51066.653900000245</v>
      </c>
      <c r="J302" s="894">
        <f t="shared" si="123"/>
        <v>51066.653900000245</v>
      </c>
      <c r="K302" s="892">
        <f>J302*(1+K4)</f>
        <v>51271.708272921045</v>
      </c>
      <c r="L302" s="785">
        <v>431153.07873129699</v>
      </c>
      <c r="M302" s="863">
        <f t="shared" si="124"/>
        <v>0.11891764387672289</v>
      </c>
      <c r="O302" s="379">
        <v>171810.61809006101</v>
      </c>
      <c r="S302" s="379">
        <v>68793.844839752594</v>
      </c>
      <c r="T302" s="379">
        <f t="shared" si="118"/>
        <v>0.74529499539315813</v>
      </c>
    </row>
    <row r="303" spans="1:24">
      <c r="A303" s="507">
        <v>95</v>
      </c>
      <c r="B303" s="1347"/>
      <c r="C303" s="507" t="s">
        <v>2508</v>
      </c>
      <c r="D303" s="586" t="s">
        <v>2509</v>
      </c>
      <c r="E303" s="878"/>
      <c r="F303" s="860">
        <f>'SS INPUT'!J443</f>
        <v>177399.82259999905</v>
      </c>
      <c r="G303" s="908"/>
      <c r="H303" s="503"/>
      <c r="I303" s="860">
        <f t="shared" si="122"/>
        <v>177399.82259999905</v>
      </c>
      <c r="J303" s="894">
        <f t="shared" si="123"/>
        <v>177399.82259999905</v>
      </c>
      <c r="K303" s="892">
        <f>J303*(1+K4)</f>
        <v>178112.15847089316</v>
      </c>
      <c r="L303" s="785">
        <v>22319.003108006102</v>
      </c>
      <c r="M303" s="863">
        <f t="shared" si="124"/>
        <v>7.9802918440834008</v>
      </c>
      <c r="O303" s="379">
        <v>51474.134118605602</v>
      </c>
      <c r="S303" s="379">
        <v>213550.27201504601</v>
      </c>
      <c r="T303" s="379">
        <f t="shared" si="118"/>
        <v>0.8340525946899473</v>
      </c>
    </row>
    <row r="304" spans="1:24">
      <c r="A304" s="507">
        <v>96</v>
      </c>
      <c r="B304" s="1347"/>
      <c r="C304" s="507" t="s">
        <v>2510</v>
      </c>
      <c r="D304" s="586" t="s">
        <v>2511</v>
      </c>
      <c r="E304" s="878"/>
      <c r="F304" s="860">
        <f>'SS INPUT'!J444</f>
        <v>628265.09599999967</v>
      </c>
      <c r="G304" s="908"/>
      <c r="H304" s="503"/>
      <c r="I304" s="860">
        <f t="shared" si="122"/>
        <v>628265.09599999967</v>
      </c>
      <c r="J304" s="894">
        <f t="shared" si="123"/>
        <v>628265.09599999967</v>
      </c>
      <c r="K304" s="892">
        <f>J304*(1+K4)</f>
        <v>630787.84803972766</v>
      </c>
      <c r="L304" s="785">
        <v>96715.659345341599</v>
      </c>
      <c r="M304" s="863">
        <f t="shared" si="124"/>
        <v>6.5220860025094805</v>
      </c>
      <c r="O304" s="379">
        <v>55818.439411822299</v>
      </c>
      <c r="S304" s="379">
        <v>86164.441449853402</v>
      </c>
      <c r="T304" s="379">
        <f t="shared" si="118"/>
        <v>7.3207443514484813</v>
      </c>
    </row>
    <row r="305" spans="1:29" ht="15.75">
      <c r="A305" s="507">
        <v>97</v>
      </c>
      <c r="B305" s="1347"/>
      <c r="C305" s="507" t="s">
        <v>2512</v>
      </c>
      <c r="D305" s="586" t="s">
        <v>2513</v>
      </c>
      <c r="E305" s="878"/>
      <c r="F305" s="860">
        <f>'SS INPUT'!J445</f>
        <v>147185.32965370032</v>
      </c>
      <c r="G305" s="908"/>
      <c r="H305" s="503"/>
      <c r="I305" s="860">
        <f t="shared" si="122"/>
        <v>147185.32965370032</v>
      </c>
      <c r="J305" s="894">
        <f t="shared" si="123"/>
        <v>147185.32965370032</v>
      </c>
      <c r="K305" s="892">
        <f>J305*(1+K4)</f>
        <v>147776.34146219637</v>
      </c>
      <c r="L305" s="785">
        <v>291189.98447454598</v>
      </c>
      <c r="M305" s="863">
        <f t="shared" si="124"/>
        <v>0.50749115471419681</v>
      </c>
      <c r="O305" s="965">
        <v>1064811.830669</v>
      </c>
      <c r="S305" s="379">
        <v>98562.714543914306</v>
      </c>
      <c r="T305" s="379">
        <f t="shared" si="118"/>
        <v>1.4993128197210426</v>
      </c>
    </row>
    <row r="306" spans="1:29">
      <c r="A306" s="507">
        <v>98</v>
      </c>
      <c r="B306" s="507" t="s">
        <v>1841</v>
      </c>
      <c r="C306" s="507" t="s">
        <v>2514</v>
      </c>
      <c r="D306" s="439" t="s">
        <v>1842</v>
      </c>
      <c r="E306" s="878" t="s">
        <v>2515</v>
      </c>
      <c r="F306" s="860">
        <f>'SS INPUT'!J458</f>
        <v>791066.46889999427</v>
      </c>
      <c r="G306" s="908"/>
      <c r="H306" s="503"/>
      <c r="I306" s="860">
        <f t="shared" si="122"/>
        <v>791066.46889999427</v>
      </c>
      <c r="J306" s="894">
        <f t="shared" si="123"/>
        <v>791066.46889999427</v>
      </c>
      <c r="K306" s="892">
        <f>J306*(1+K4)</f>
        <v>794242.93781524</v>
      </c>
      <c r="L306" s="785">
        <v>90388.390503983406</v>
      </c>
      <c r="M306" s="863">
        <f t="shared" si="124"/>
        <v>8.787001664558213</v>
      </c>
      <c r="O306" s="379">
        <v>7687489.6906951498</v>
      </c>
      <c r="S306" s="379">
        <v>1142129.7596305001</v>
      </c>
      <c r="T306" s="379">
        <f t="shared" si="118"/>
        <v>0.69540516838663946</v>
      </c>
    </row>
    <row r="307" spans="1:29" ht="15.75">
      <c r="A307" s="184"/>
      <c r="B307" s="896"/>
      <c r="C307" s="896"/>
      <c r="D307" s="915" t="s">
        <v>2516</v>
      </c>
      <c r="E307" s="891"/>
      <c r="F307" s="966">
        <f t="shared" ref="F307:K307" si="125">SUM(F292:F306)</f>
        <v>8544709.9408536982</v>
      </c>
      <c r="G307" s="966">
        <f t="shared" si="125"/>
        <v>0</v>
      </c>
      <c r="H307" s="966">
        <f t="shared" si="125"/>
        <v>30533</v>
      </c>
      <c r="I307" s="966">
        <f t="shared" si="125"/>
        <v>8514176.9408536982</v>
      </c>
      <c r="J307" s="966">
        <f t="shared" si="125"/>
        <v>8513718.9458536971</v>
      </c>
      <c r="K307" s="966">
        <f t="shared" si="125"/>
        <v>8547905.1547853556</v>
      </c>
      <c r="L307" s="785">
        <v>78608.778514062506</v>
      </c>
      <c r="M307" s="863">
        <f t="shared" si="124"/>
        <v>108.73982927054644</v>
      </c>
      <c r="O307" s="379">
        <v>40273555.6822569</v>
      </c>
      <c r="P307" s="965"/>
      <c r="Q307" s="965"/>
      <c r="S307" s="379">
        <v>9681260.6235760394</v>
      </c>
      <c r="T307" s="379">
        <f t="shared" si="118"/>
        <v>0.88293306906430047</v>
      </c>
    </row>
    <row r="308" spans="1:29" ht="18.75">
      <c r="A308" s="202"/>
      <c r="B308" s="923"/>
      <c r="C308" s="923"/>
      <c r="D308" s="899" t="s">
        <v>2517</v>
      </c>
      <c r="E308" s="891"/>
      <c r="F308" s="911">
        <f t="shared" ref="F308:K308" si="126">F212+F227+F243+F259+F273+F307+F290</f>
        <v>51581787.298246101</v>
      </c>
      <c r="G308" s="911">
        <f t="shared" si="126"/>
        <v>-2.9103830456733704E-10</v>
      </c>
      <c r="H308" s="911">
        <f t="shared" si="126"/>
        <v>1673267</v>
      </c>
      <c r="I308" s="911">
        <f t="shared" si="126"/>
        <v>49761025.374246106</v>
      </c>
      <c r="J308" s="911">
        <f t="shared" si="126"/>
        <v>49737296.919246092</v>
      </c>
      <c r="K308" s="911">
        <f t="shared" si="126"/>
        <v>49937013.357501939</v>
      </c>
      <c r="L308" s="785">
        <v>1305768.44057529</v>
      </c>
      <c r="M308" s="863">
        <f t="shared" si="124"/>
        <v>38.243391252051474</v>
      </c>
      <c r="O308" s="379">
        <v>111616245.22499999</v>
      </c>
      <c r="P308" s="379">
        <v>52638855</v>
      </c>
      <c r="Q308" s="379">
        <f>K308/P308</f>
        <v>0.94867210461743401</v>
      </c>
      <c r="S308" s="379">
        <v>56033185.908421099</v>
      </c>
      <c r="T308" s="379">
        <f t="shared" si="118"/>
        <v>0.89120424883777705</v>
      </c>
    </row>
    <row r="309" spans="1:29" s="965" customFormat="1" ht="25.5" customHeight="1">
      <c r="A309" s="967"/>
      <c r="B309" s="924"/>
      <c r="C309" s="924"/>
      <c r="D309" s="868" t="s">
        <v>2518</v>
      </c>
      <c r="E309" s="869"/>
      <c r="F309" s="870">
        <f t="shared" ref="F309:K309" si="127">F64+F110+F192+F308</f>
        <v>135006078.32266611</v>
      </c>
      <c r="G309" s="871">
        <f t="shared" si="127"/>
        <v>-333304.98050000047</v>
      </c>
      <c r="H309" s="870">
        <f t="shared" si="127"/>
        <v>4161112</v>
      </c>
      <c r="I309" s="870">
        <f t="shared" si="127"/>
        <v>130364166.4181661</v>
      </c>
      <c r="J309" s="870">
        <f t="shared" si="127"/>
        <v>130304748.20816611</v>
      </c>
      <c r="K309" s="870">
        <f t="shared" si="127"/>
        <v>130827977.29000004</v>
      </c>
      <c r="L309" s="785">
        <v>9919283.5295255296</v>
      </c>
      <c r="M309" s="863">
        <f t="shared" si="124"/>
        <v>13.189256754339187</v>
      </c>
      <c r="O309" s="379">
        <v>35273105.879678398</v>
      </c>
      <c r="P309" s="379">
        <v>143638207</v>
      </c>
      <c r="Q309" s="379">
        <f>K309/P309</f>
        <v>0.91081600099616977</v>
      </c>
      <c r="S309" s="379">
        <v>145946612.625</v>
      </c>
      <c r="T309" s="379">
        <f t="shared" si="118"/>
        <v>0.89640982368089428</v>
      </c>
    </row>
    <row r="310" spans="1:29">
      <c r="B310" s="735"/>
      <c r="C310" s="735"/>
      <c r="E310" s="968"/>
      <c r="F310" s="785">
        <f>F309-G309</f>
        <v>135339383.30316612</v>
      </c>
      <c r="G310" s="969"/>
      <c r="H310" s="785">
        <f>H309*1.015</f>
        <v>4223528.68</v>
      </c>
      <c r="I310" s="970">
        <f>F310-H310</f>
        <v>131115854.62316611</v>
      </c>
      <c r="J310" s="785">
        <f>J309</f>
        <v>130304748.20816611</v>
      </c>
      <c r="K310" s="892">
        <f>J310*(1+K4)</f>
        <v>130827977.29000004</v>
      </c>
      <c r="L310" s="785">
        <v>58294750.822978899</v>
      </c>
      <c r="M310" s="863">
        <f t="shared" si="124"/>
        <v>2.2442497041848517</v>
      </c>
      <c r="O310" s="379">
        <v>95959823.999999896</v>
      </c>
    </row>
    <row r="311" spans="1:29">
      <c r="B311" s="735"/>
      <c r="C311" s="735"/>
      <c r="E311" s="968" t="s">
        <v>2519</v>
      </c>
      <c r="F311" s="735" t="s">
        <v>2520</v>
      </c>
      <c r="G311" s="971"/>
      <c r="H311" s="735" t="s">
        <v>2521</v>
      </c>
      <c r="I311" s="735"/>
      <c r="J311" s="735" t="s">
        <v>2522</v>
      </c>
      <c r="K311" s="188"/>
      <c r="L311" s="785">
        <v>155973365.1575</v>
      </c>
      <c r="M311" s="863">
        <f t="shared" si="124"/>
        <v>0</v>
      </c>
      <c r="O311" s="972"/>
      <c r="S311" s="379">
        <v>149930081.50999999</v>
      </c>
    </row>
    <row r="312" spans="1:29" ht="15.75">
      <c r="B312" s="735"/>
      <c r="C312" s="735"/>
      <c r="D312" s="1243">
        <f>'CIRCLE INPUT'!T32/100000</f>
        <v>1509.4357615000004</v>
      </c>
      <c r="E312" s="973">
        <f>('33 KV HT'!R139*1.015)/100000</f>
        <v>158.92070179999999</v>
      </c>
      <c r="F312" s="974">
        <f>H309*1.015/100000</f>
        <v>42.235286799999997</v>
      </c>
      <c r="G312" s="975"/>
      <c r="H312" s="975">
        <f>D312-E312-F312-G312</f>
        <v>1308.2797729000004</v>
      </c>
      <c r="I312" s="974"/>
      <c r="J312" s="975">
        <f>J309/100000</f>
        <v>1303.047482081661</v>
      </c>
      <c r="K312" s="976"/>
      <c r="L312" s="977">
        <v>143638207.22499999</v>
      </c>
      <c r="M312" s="863">
        <f t="shared" si="124"/>
        <v>0</v>
      </c>
      <c r="O312" s="972"/>
    </row>
    <row r="313" spans="1:29">
      <c r="D313" s="978"/>
      <c r="E313" s="979"/>
      <c r="F313" s="980"/>
      <c r="G313" s="981"/>
      <c r="H313" s="980"/>
      <c r="I313" s="980"/>
      <c r="J313" s="982">
        <f>(H312-J312)/J312</f>
        <v>4.0154260610523749E-3</v>
      </c>
      <c r="K313" s="972"/>
      <c r="M313" s="863" t="e">
        <f t="shared" si="124"/>
        <v>#DIV/0!</v>
      </c>
      <c r="O313" s="972"/>
      <c r="P313" s="972"/>
      <c r="Q313" s="972"/>
      <c r="S313" s="765">
        <f>S311-K309</f>
        <v>19102104.219999954</v>
      </c>
      <c r="V313" s="379" t="s">
        <v>2518</v>
      </c>
      <c r="X313" s="379">
        <v>148407089.60880399</v>
      </c>
      <c r="Y313" s="379">
        <v>-151952</v>
      </c>
      <c r="Z313" s="379">
        <v>4155828</v>
      </c>
      <c r="AA313" s="379">
        <v>144026380.357804</v>
      </c>
      <c r="AB313" s="379">
        <v>143967366.99780399</v>
      </c>
      <c r="AC313" s="379">
        <v>150503203.69499999</v>
      </c>
    </row>
    <row r="314" spans="1:29">
      <c r="D314" s="983"/>
      <c r="E314" s="984"/>
      <c r="F314" s="765"/>
      <c r="G314" s="985"/>
      <c r="H314" s="986"/>
      <c r="I314" s="986"/>
      <c r="K314" s="987"/>
      <c r="O314" s="972"/>
      <c r="P314" s="972"/>
      <c r="Q314" s="972"/>
    </row>
    <row r="315" spans="1:29" s="972" customFormat="1" ht="18.75">
      <c r="D315" s="988"/>
      <c r="E315" s="989"/>
      <c r="F315" s="765"/>
      <c r="G315" s="990"/>
      <c r="H315" s="987"/>
      <c r="I315" s="991"/>
      <c r="J315" s="972">
        <f>J313*10</f>
        <v>4.0154260610523747E-2</v>
      </c>
      <c r="K315" s="987"/>
      <c r="L315" s="379"/>
      <c r="R315" s="972">
        <v>9827929896</v>
      </c>
    </row>
    <row r="316" spans="1:29" s="972" customFormat="1">
      <c r="D316" s="988"/>
      <c r="E316" s="989"/>
      <c r="G316" s="990"/>
      <c r="I316" s="992">
        <f>H312-J312</f>
        <v>5.2322908183393793</v>
      </c>
      <c r="L316" s="379"/>
    </row>
    <row r="317" spans="1:29" s="972" customFormat="1">
      <c r="D317" s="988"/>
      <c r="E317" s="993"/>
      <c r="G317" s="990"/>
      <c r="I317" s="992"/>
      <c r="L317" s="379"/>
    </row>
    <row r="318" spans="1:29" s="972" customFormat="1">
      <c r="D318" s="988"/>
      <c r="E318" s="989"/>
      <c r="G318" s="990"/>
      <c r="H318" s="972">
        <v>1733455</v>
      </c>
      <c r="I318" s="992"/>
    </row>
    <row r="319" spans="1:29" s="972" customFormat="1">
      <c r="D319" s="988"/>
      <c r="E319" s="989"/>
      <c r="G319" s="990"/>
      <c r="H319" s="987">
        <f>H318-H308</f>
        <v>60188</v>
      </c>
      <c r="I319" s="992"/>
    </row>
    <row r="320" spans="1:29" s="972" customFormat="1">
      <c r="D320" s="988"/>
      <c r="E320" s="989"/>
      <c r="G320" s="990"/>
    </row>
    <row r="321" spans="4:10" s="972" customFormat="1">
      <c r="D321" s="988"/>
      <c r="E321" s="989"/>
      <c r="G321" s="990"/>
    </row>
    <row r="322" spans="4:10" s="972" customFormat="1">
      <c r="D322" s="988">
        <f>500000/20000000</f>
        <v>2.5000000000000001E-2</v>
      </c>
      <c r="E322" s="989"/>
      <c r="G322" s="990"/>
    </row>
    <row r="323" spans="4:10" s="972" customFormat="1">
      <c r="D323" s="988"/>
      <c r="E323" s="989"/>
      <c r="G323" s="990"/>
    </row>
    <row r="324" spans="4:10" s="972" customFormat="1">
      <c r="D324" s="988"/>
      <c r="E324" s="989"/>
      <c r="G324" s="990"/>
      <c r="I324" s="972">
        <f>H325-J325</f>
        <v>78.726406566870082</v>
      </c>
    </row>
    <row r="325" spans="4:10" s="972" customFormat="1">
      <c r="D325" s="988">
        <v>1906.8503032000001</v>
      </c>
      <c r="E325" s="989">
        <v>146.89617949999999</v>
      </c>
      <c r="F325" s="972">
        <v>40.948885949999998</v>
      </c>
      <c r="G325" s="990"/>
      <c r="H325" s="972">
        <v>1719.0052377500001</v>
      </c>
      <c r="J325" s="972">
        <v>1640.27883118313</v>
      </c>
    </row>
    <row r="326" spans="4:10" s="972" customFormat="1">
      <c r="D326" s="988"/>
      <c r="E326" s="989"/>
      <c r="G326" s="990"/>
    </row>
    <row r="327" spans="4:10" s="972" customFormat="1">
      <c r="D327" s="988"/>
      <c r="E327" s="989"/>
      <c r="G327" s="990"/>
    </row>
    <row r="328" spans="4:10" s="972" customFormat="1">
      <c r="D328" s="994">
        <f t="shared" ref="D328:J328" si="128">D312-D325</f>
        <v>-397.41454169999975</v>
      </c>
      <c r="E328" s="994">
        <f t="shared" si="128"/>
        <v>12.024522300000001</v>
      </c>
      <c r="F328" s="994">
        <f t="shared" si="128"/>
        <v>1.2864008499999997</v>
      </c>
      <c r="G328" s="994">
        <f t="shared" si="128"/>
        <v>0</v>
      </c>
      <c r="H328" s="994">
        <f t="shared" si="128"/>
        <v>-410.72546484999975</v>
      </c>
      <c r="I328" s="994">
        <f t="shared" si="128"/>
        <v>0</v>
      </c>
      <c r="J328" s="994">
        <f t="shared" si="128"/>
        <v>-337.23134910146905</v>
      </c>
    </row>
    <row r="329" spans="4:10" s="972" customFormat="1">
      <c r="D329" s="988"/>
      <c r="E329" s="989"/>
      <c r="G329" s="990"/>
    </row>
    <row r="330" spans="4:10" s="972" customFormat="1">
      <c r="D330" s="988"/>
      <c r="E330" s="989"/>
      <c r="G330" s="990"/>
    </row>
    <row r="331" spans="4:10" s="972" customFormat="1">
      <c r="D331" s="988"/>
      <c r="E331" s="989"/>
      <c r="G331" s="990"/>
    </row>
    <row r="332" spans="4:10" s="972" customFormat="1">
      <c r="D332" s="988"/>
      <c r="E332" s="989"/>
      <c r="G332" s="990"/>
    </row>
    <row r="333" spans="4:10" s="972" customFormat="1">
      <c r="D333" s="988"/>
      <c r="E333" s="989"/>
      <c r="G333" s="990"/>
    </row>
    <row r="334" spans="4:10" s="972" customFormat="1">
      <c r="D334" s="988"/>
      <c r="E334" s="989"/>
      <c r="G334" s="990"/>
    </row>
    <row r="335" spans="4:10" s="972" customFormat="1">
      <c r="D335" s="988"/>
      <c r="E335" s="989"/>
      <c r="G335" s="990"/>
    </row>
    <row r="336" spans="4:10" s="972" customFormat="1">
      <c r="D336" s="988"/>
      <c r="E336" s="989"/>
      <c r="G336" s="990"/>
    </row>
    <row r="337" spans="4:7" s="972" customFormat="1">
      <c r="D337" s="988"/>
      <c r="E337" s="989"/>
      <c r="G337" s="990"/>
    </row>
    <row r="338" spans="4:7" s="972" customFormat="1">
      <c r="D338" s="988"/>
      <c r="E338" s="989"/>
      <c r="G338" s="990"/>
    </row>
    <row r="339" spans="4:7" s="972" customFormat="1">
      <c r="D339" s="988"/>
      <c r="E339" s="989"/>
      <c r="G339" s="990"/>
    </row>
    <row r="340" spans="4:7" s="972" customFormat="1">
      <c r="D340" s="988"/>
      <c r="E340" s="989"/>
      <c r="G340" s="990"/>
    </row>
    <row r="341" spans="4:7" s="972" customFormat="1">
      <c r="D341" s="988"/>
      <c r="E341" s="989"/>
      <c r="G341" s="990"/>
    </row>
    <row r="342" spans="4:7" s="972" customFormat="1">
      <c r="D342" s="988"/>
      <c r="E342" s="989"/>
      <c r="G342" s="990"/>
    </row>
    <row r="343" spans="4:7" s="972" customFormat="1">
      <c r="D343" s="988"/>
      <c r="E343" s="989"/>
      <c r="G343" s="990"/>
    </row>
    <row r="344" spans="4:7" s="972" customFormat="1">
      <c r="D344" s="988"/>
      <c r="E344" s="989"/>
      <c r="G344" s="990"/>
    </row>
    <row r="345" spans="4:7" s="972" customFormat="1">
      <c r="D345" s="988"/>
      <c r="E345" s="989"/>
      <c r="G345" s="990"/>
    </row>
    <row r="346" spans="4:7" s="972" customFormat="1">
      <c r="D346" s="988"/>
      <c r="E346" s="989"/>
      <c r="G346" s="990"/>
    </row>
    <row r="347" spans="4:7" s="972" customFormat="1">
      <c r="D347" s="988"/>
      <c r="E347" s="989"/>
      <c r="G347" s="990"/>
    </row>
    <row r="348" spans="4:7" s="972" customFormat="1">
      <c r="D348" s="988"/>
      <c r="E348" s="989"/>
      <c r="G348" s="990"/>
    </row>
    <row r="349" spans="4:7" s="972" customFormat="1">
      <c r="D349" s="988"/>
      <c r="E349" s="989"/>
      <c r="G349" s="990"/>
    </row>
    <row r="350" spans="4:7" s="972" customFormat="1">
      <c r="D350" s="988"/>
      <c r="E350" s="989"/>
      <c r="G350" s="990"/>
    </row>
    <row r="351" spans="4:7" s="972" customFormat="1">
      <c r="D351" s="988"/>
      <c r="E351" s="989"/>
      <c r="G351" s="990"/>
    </row>
    <row r="352" spans="4:7" s="972" customFormat="1">
      <c r="D352" s="988"/>
      <c r="E352" s="989"/>
      <c r="G352" s="990"/>
    </row>
    <row r="353" spans="4:7" s="972" customFormat="1">
      <c r="D353" s="988"/>
      <c r="E353" s="989"/>
      <c r="G353" s="990"/>
    </row>
    <row r="354" spans="4:7" s="972" customFormat="1">
      <c r="D354" s="988"/>
      <c r="E354" s="989"/>
      <c r="G354" s="990"/>
    </row>
    <row r="355" spans="4:7" s="972" customFormat="1">
      <c r="D355" s="988"/>
      <c r="E355" s="989"/>
      <c r="G355" s="990"/>
    </row>
    <row r="356" spans="4:7" s="972" customFormat="1">
      <c r="D356" s="988"/>
      <c r="E356" s="989"/>
      <c r="G356" s="990"/>
    </row>
    <row r="357" spans="4:7" s="972" customFormat="1">
      <c r="D357" s="988"/>
      <c r="E357" s="989"/>
      <c r="G357" s="990"/>
    </row>
    <row r="358" spans="4:7" s="972" customFormat="1">
      <c r="D358" s="988"/>
      <c r="E358" s="989"/>
      <c r="G358" s="990"/>
    </row>
    <row r="359" spans="4:7" s="972" customFormat="1">
      <c r="D359" s="988"/>
      <c r="E359" s="989"/>
      <c r="G359" s="990"/>
    </row>
    <row r="360" spans="4:7" s="972" customFormat="1">
      <c r="D360" s="988"/>
      <c r="E360" s="989"/>
      <c r="G360" s="990"/>
    </row>
    <row r="361" spans="4:7" s="972" customFormat="1">
      <c r="D361" s="988"/>
      <c r="E361" s="989"/>
      <c r="G361" s="990"/>
    </row>
    <row r="362" spans="4:7" s="972" customFormat="1">
      <c r="D362" s="988"/>
      <c r="E362" s="989"/>
      <c r="G362" s="990"/>
    </row>
    <row r="363" spans="4:7" s="972" customFormat="1">
      <c r="D363" s="988"/>
      <c r="E363" s="989"/>
      <c r="G363" s="990"/>
    </row>
    <row r="364" spans="4:7" s="972" customFormat="1">
      <c r="D364" s="988"/>
      <c r="E364" s="989"/>
      <c r="G364" s="990"/>
    </row>
    <row r="365" spans="4:7" s="972" customFormat="1">
      <c r="D365" s="988"/>
      <c r="E365" s="989"/>
      <c r="G365" s="990"/>
    </row>
    <row r="366" spans="4:7" s="972" customFormat="1">
      <c r="D366" s="988"/>
      <c r="E366" s="989"/>
      <c r="G366" s="990"/>
    </row>
    <row r="367" spans="4:7" s="972" customFormat="1">
      <c r="D367" s="988"/>
      <c r="E367" s="989"/>
      <c r="G367" s="990"/>
    </row>
    <row r="368" spans="4:7" s="972" customFormat="1">
      <c r="D368" s="988"/>
      <c r="E368" s="989"/>
      <c r="G368" s="990"/>
    </row>
    <row r="369" spans="4:7" s="972" customFormat="1">
      <c r="D369" s="988"/>
      <c r="E369" s="989"/>
      <c r="G369" s="990"/>
    </row>
    <row r="370" spans="4:7" s="972" customFormat="1">
      <c r="D370" s="988"/>
      <c r="E370" s="989"/>
      <c r="G370" s="990"/>
    </row>
    <row r="371" spans="4:7" s="972" customFormat="1">
      <c r="D371" s="988"/>
      <c r="E371" s="989"/>
      <c r="G371" s="990"/>
    </row>
    <row r="372" spans="4:7" s="972" customFormat="1">
      <c r="D372" s="988"/>
      <c r="E372" s="989"/>
      <c r="G372" s="990"/>
    </row>
    <row r="373" spans="4:7" s="972" customFormat="1">
      <c r="D373" s="988"/>
      <c r="E373" s="989"/>
      <c r="G373" s="990"/>
    </row>
    <row r="374" spans="4:7" s="972" customFormat="1">
      <c r="D374" s="988"/>
      <c r="E374" s="989"/>
      <c r="G374" s="990"/>
    </row>
    <row r="375" spans="4:7" s="972" customFormat="1">
      <c r="D375" s="988"/>
      <c r="E375" s="989"/>
      <c r="G375" s="990"/>
    </row>
    <row r="376" spans="4:7" s="972" customFormat="1">
      <c r="D376" s="988"/>
      <c r="E376" s="989"/>
      <c r="G376" s="990"/>
    </row>
    <row r="377" spans="4:7" s="972" customFormat="1">
      <c r="D377" s="988"/>
      <c r="E377" s="989"/>
      <c r="G377" s="990"/>
    </row>
    <row r="378" spans="4:7" s="972" customFormat="1">
      <c r="D378" s="988"/>
      <c r="E378" s="989"/>
      <c r="G378" s="990"/>
    </row>
    <row r="379" spans="4:7" s="972" customFormat="1">
      <c r="D379" s="988"/>
      <c r="E379" s="989"/>
      <c r="G379" s="990"/>
    </row>
    <row r="380" spans="4:7" s="972" customFormat="1">
      <c r="D380" s="988"/>
      <c r="E380" s="989"/>
      <c r="G380" s="990"/>
    </row>
    <row r="381" spans="4:7" s="972" customFormat="1">
      <c r="D381" s="988"/>
      <c r="E381" s="989"/>
      <c r="G381" s="990"/>
    </row>
    <row r="382" spans="4:7" s="972" customFormat="1">
      <c r="D382" s="988"/>
      <c r="E382" s="989"/>
      <c r="G382" s="990"/>
    </row>
    <row r="383" spans="4:7" s="972" customFormat="1">
      <c r="D383" s="988"/>
      <c r="E383" s="989"/>
      <c r="G383" s="990"/>
    </row>
    <row r="384" spans="4:7" s="972" customFormat="1">
      <c r="D384" s="988"/>
      <c r="E384" s="989"/>
      <c r="G384" s="990"/>
    </row>
    <row r="385" spans="4:7" s="972" customFormat="1">
      <c r="D385" s="988"/>
      <c r="E385" s="989"/>
      <c r="G385" s="990"/>
    </row>
    <row r="386" spans="4:7" s="972" customFormat="1">
      <c r="D386" s="988"/>
      <c r="E386" s="989"/>
      <c r="G386" s="990"/>
    </row>
    <row r="387" spans="4:7" s="972" customFormat="1">
      <c r="D387" s="988"/>
      <c r="E387" s="989"/>
      <c r="G387" s="990"/>
    </row>
    <row r="388" spans="4:7" s="972" customFormat="1">
      <c r="D388" s="988"/>
      <c r="E388" s="989"/>
      <c r="G388" s="990"/>
    </row>
    <row r="389" spans="4:7" s="972" customFormat="1">
      <c r="D389" s="988"/>
      <c r="E389" s="989"/>
      <c r="G389" s="990"/>
    </row>
    <row r="390" spans="4:7" s="972" customFormat="1">
      <c r="D390" s="988"/>
      <c r="E390" s="989"/>
      <c r="G390" s="990"/>
    </row>
    <row r="391" spans="4:7" s="972" customFormat="1">
      <c r="D391" s="988"/>
      <c r="E391" s="989"/>
      <c r="G391" s="990"/>
    </row>
    <row r="392" spans="4:7" s="972" customFormat="1">
      <c r="D392" s="988"/>
      <c r="E392" s="989"/>
      <c r="G392" s="990"/>
    </row>
    <row r="393" spans="4:7" s="972" customFormat="1">
      <c r="D393" s="988"/>
      <c r="E393" s="989"/>
      <c r="G393" s="990"/>
    </row>
    <row r="394" spans="4:7" s="972" customFormat="1">
      <c r="D394" s="988"/>
      <c r="E394" s="989"/>
      <c r="G394" s="990"/>
    </row>
    <row r="395" spans="4:7" s="972" customFormat="1">
      <c r="D395" s="988"/>
      <c r="E395" s="989"/>
      <c r="G395" s="990"/>
    </row>
    <row r="396" spans="4:7" s="972" customFormat="1">
      <c r="D396" s="988"/>
      <c r="E396" s="989"/>
      <c r="G396" s="990"/>
    </row>
    <row r="397" spans="4:7" s="972" customFormat="1">
      <c r="D397" s="988"/>
      <c r="E397" s="989"/>
      <c r="G397" s="990"/>
    </row>
    <row r="398" spans="4:7" s="972" customFormat="1">
      <c r="D398" s="988"/>
      <c r="E398" s="989"/>
      <c r="G398" s="990"/>
    </row>
    <row r="399" spans="4:7" s="972" customFormat="1">
      <c r="D399" s="988"/>
      <c r="E399" s="989"/>
      <c r="G399" s="990"/>
    </row>
    <row r="400" spans="4:7" s="972" customFormat="1">
      <c r="D400" s="988"/>
      <c r="E400" s="989"/>
      <c r="G400" s="990"/>
    </row>
    <row r="401" spans="4:7" s="972" customFormat="1">
      <c r="D401" s="988"/>
      <c r="E401" s="989"/>
      <c r="G401" s="990"/>
    </row>
    <row r="402" spans="4:7" s="972" customFormat="1">
      <c r="D402" s="988"/>
      <c r="E402" s="989"/>
      <c r="G402" s="990"/>
    </row>
    <row r="403" spans="4:7" s="972" customFormat="1">
      <c r="D403" s="988"/>
      <c r="E403" s="989"/>
      <c r="G403" s="990"/>
    </row>
    <row r="404" spans="4:7" s="972" customFormat="1">
      <c r="D404" s="988"/>
      <c r="E404" s="989"/>
      <c r="G404" s="990"/>
    </row>
    <row r="405" spans="4:7" s="972" customFormat="1">
      <c r="D405" s="988"/>
      <c r="E405" s="989"/>
      <c r="G405" s="990"/>
    </row>
    <row r="406" spans="4:7" s="972" customFormat="1">
      <c r="D406" s="988"/>
      <c r="E406" s="989"/>
      <c r="G406" s="990"/>
    </row>
    <row r="407" spans="4:7" s="972" customFormat="1">
      <c r="D407" s="988"/>
      <c r="E407" s="989"/>
      <c r="G407" s="990"/>
    </row>
    <row r="408" spans="4:7" s="972" customFormat="1">
      <c r="D408" s="988"/>
      <c r="E408" s="989"/>
      <c r="G408" s="990"/>
    </row>
    <row r="409" spans="4:7" s="972" customFormat="1">
      <c r="D409" s="988"/>
      <c r="E409" s="989"/>
      <c r="G409" s="990"/>
    </row>
    <row r="410" spans="4:7" s="972" customFormat="1">
      <c r="D410" s="988"/>
      <c r="E410" s="989"/>
      <c r="G410" s="990"/>
    </row>
    <row r="411" spans="4:7" s="972" customFormat="1">
      <c r="D411" s="988"/>
      <c r="E411" s="989"/>
      <c r="G411" s="990"/>
    </row>
    <row r="412" spans="4:7" s="972" customFormat="1">
      <c r="D412" s="988"/>
      <c r="E412" s="989"/>
      <c r="G412" s="990"/>
    </row>
    <row r="413" spans="4:7" s="972" customFormat="1">
      <c r="D413" s="988"/>
      <c r="E413" s="989"/>
      <c r="G413" s="990"/>
    </row>
    <row r="414" spans="4:7" s="972" customFormat="1">
      <c r="D414" s="988"/>
      <c r="E414" s="989"/>
      <c r="G414" s="990"/>
    </row>
    <row r="415" spans="4:7" s="972" customFormat="1">
      <c r="D415" s="988"/>
      <c r="E415" s="989"/>
      <c r="G415" s="990"/>
    </row>
    <row r="416" spans="4:7" s="972" customFormat="1">
      <c r="D416" s="988"/>
      <c r="E416" s="989"/>
      <c r="G416" s="990"/>
    </row>
    <row r="417" spans="4:7" s="972" customFormat="1">
      <c r="D417" s="988"/>
      <c r="E417" s="989"/>
      <c r="G417" s="990"/>
    </row>
    <row r="418" spans="4:7" s="972" customFormat="1">
      <c r="D418" s="988"/>
      <c r="E418" s="989"/>
      <c r="G418" s="990"/>
    </row>
    <row r="419" spans="4:7" s="972" customFormat="1">
      <c r="D419" s="988"/>
      <c r="E419" s="989"/>
      <c r="G419" s="990"/>
    </row>
    <row r="420" spans="4:7" s="972" customFormat="1">
      <c r="D420" s="988"/>
      <c r="E420" s="989"/>
      <c r="G420" s="990"/>
    </row>
    <row r="421" spans="4:7" s="972" customFormat="1">
      <c r="D421" s="988"/>
      <c r="E421" s="989"/>
      <c r="G421" s="990"/>
    </row>
    <row r="422" spans="4:7" s="972" customFormat="1">
      <c r="D422" s="988"/>
      <c r="E422" s="989"/>
      <c r="G422" s="990"/>
    </row>
    <row r="423" spans="4:7" s="972" customFormat="1">
      <c r="D423" s="988"/>
      <c r="E423" s="989"/>
      <c r="G423" s="990"/>
    </row>
    <row r="424" spans="4:7" s="972" customFormat="1">
      <c r="D424" s="988"/>
      <c r="E424" s="989"/>
      <c r="G424" s="990"/>
    </row>
    <row r="425" spans="4:7" s="972" customFormat="1">
      <c r="D425" s="988"/>
      <c r="E425" s="989"/>
      <c r="G425" s="990"/>
    </row>
    <row r="426" spans="4:7" s="972" customFormat="1">
      <c r="D426" s="988"/>
      <c r="E426" s="989"/>
      <c r="G426" s="990"/>
    </row>
    <row r="427" spans="4:7" s="972" customFormat="1">
      <c r="D427" s="988"/>
      <c r="E427" s="989"/>
      <c r="G427" s="990"/>
    </row>
    <row r="428" spans="4:7" s="972" customFormat="1">
      <c r="D428" s="988"/>
      <c r="E428" s="989"/>
      <c r="G428" s="990"/>
    </row>
    <row r="429" spans="4:7" s="972" customFormat="1">
      <c r="D429" s="988"/>
      <c r="E429" s="989"/>
      <c r="G429" s="990"/>
    </row>
    <row r="430" spans="4:7" s="972" customFormat="1">
      <c r="D430" s="988"/>
      <c r="E430" s="989"/>
      <c r="G430" s="990"/>
    </row>
    <row r="431" spans="4:7" s="972" customFormat="1">
      <c r="D431" s="988"/>
      <c r="E431" s="989"/>
      <c r="G431" s="990"/>
    </row>
    <row r="432" spans="4:7" s="972" customFormat="1">
      <c r="D432" s="988"/>
      <c r="E432" s="989"/>
      <c r="G432" s="990"/>
    </row>
    <row r="433" spans="4:7" s="972" customFormat="1">
      <c r="D433" s="988"/>
      <c r="E433" s="989"/>
      <c r="G433" s="990"/>
    </row>
    <row r="434" spans="4:7" s="972" customFormat="1">
      <c r="D434" s="988"/>
      <c r="E434" s="989"/>
      <c r="G434" s="990"/>
    </row>
    <row r="435" spans="4:7" s="972" customFormat="1">
      <c r="D435" s="988"/>
      <c r="E435" s="989"/>
      <c r="G435" s="990"/>
    </row>
    <row r="436" spans="4:7" s="972" customFormat="1">
      <c r="D436" s="988"/>
      <c r="E436" s="989"/>
      <c r="G436" s="990"/>
    </row>
    <row r="437" spans="4:7" s="972" customFormat="1">
      <c r="D437" s="988"/>
      <c r="E437" s="989"/>
      <c r="G437" s="990"/>
    </row>
    <row r="438" spans="4:7" s="972" customFormat="1">
      <c r="D438" s="988"/>
      <c r="E438" s="989"/>
      <c r="G438" s="990"/>
    </row>
    <row r="439" spans="4:7" s="972" customFormat="1">
      <c r="D439" s="988"/>
      <c r="E439" s="989"/>
      <c r="G439" s="990"/>
    </row>
    <row r="440" spans="4:7" s="972" customFormat="1">
      <c r="D440" s="988"/>
      <c r="E440" s="989"/>
      <c r="G440" s="990"/>
    </row>
    <row r="441" spans="4:7" s="972" customFormat="1">
      <c r="D441" s="988"/>
      <c r="E441" s="989"/>
      <c r="G441" s="990"/>
    </row>
    <row r="442" spans="4:7" s="972" customFormat="1">
      <c r="D442" s="988"/>
      <c r="E442" s="989"/>
      <c r="G442" s="990"/>
    </row>
    <row r="443" spans="4:7" s="972" customFormat="1">
      <c r="D443" s="988"/>
      <c r="E443" s="989"/>
      <c r="G443" s="990"/>
    </row>
    <row r="444" spans="4:7" s="972" customFormat="1">
      <c r="D444" s="988"/>
      <c r="E444" s="989"/>
      <c r="G444" s="990"/>
    </row>
    <row r="445" spans="4:7" s="972" customFormat="1">
      <c r="D445" s="988"/>
      <c r="E445" s="989"/>
      <c r="G445" s="990"/>
    </row>
    <row r="446" spans="4:7" s="972" customFormat="1">
      <c r="D446" s="988"/>
      <c r="E446" s="989"/>
      <c r="G446" s="990"/>
    </row>
    <row r="447" spans="4:7" s="972" customFormat="1">
      <c r="D447" s="988"/>
      <c r="E447" s="989"/>
      <c r="G447" s="990"/>
    </row>
    <row r="448" spans="4:7" s="972" customFormat="1">
      <c r="D448" s="988"/>
      <c r="E448" s="989"/>
      <c r="G448" s="990"/>
    </row>
    <row r="449" spans="4:7" s="972" customFormat="1">
      <c r="D449" s="988"/>
      <c r="E449" s="989"/>
      <c r="G449" s="990"/>
    </row>
    <row r="450" spans="4:7" s="972" customFormat="1">
      <c r="D450" s="988"/>
      <c r="E450" s="989"/>
      <c r="G450" s="990"/>
    </row>
    <row r="451" spans="4:7" s="972" customFormat="1">
      <c r="D451" s="988"/>
      <c r="E451" s="989"/>
      <c r="G451" s="990"/>
    </row>
    <row r="452" spans="4:7" s="972" customFormat="1">
      <c r="D452" s="988"/>
      <c r="E452" s="989"/>
      <c r="G452" s="990"/>
    </row>
    <row r="453" spans="4:7" s="972" customFormat="1">
      <c r="D453" s="988"/>
      <c r="E453" s="989"/>
      <c r="G453" s="990"/>
    </row>
    <row r="454" spans="4:7" s="972" customFormat="1">
      <c r="D454" s="988"/>
      <c r="E454" s="989"/>
      <c r="G454" s="990"/>
    </row>
    <row r="455" spans="4:7" s="972" customFormat="1">
      <c r="D455" s="988"/>
      <c r="E455" s="989"/>
      <c r="G455" s="990"/>
    </row>
    <row r="456" spans="4:7" s="972" customFormat="1">
      <c r="D456" s="988"/>
      <c r="E456" s="989"/>
      <c r="G456" s="990"/>
    </row>
    <row r="457" spans="4:7" s="972" customFormat="1">
      <c r="D457" s="988"/>
      <c r="E457" s="989"/>
      <c r="G457" s="990"/>
    </row>
    <row r="458" spans="4:7" s="972" customFormat="1">
      <c r="D458" s="988"/>
      <c r="E458" s="989"/>
      <c r="G458" s="990"/>
    </row>
    <row r="459" spans="4:7" s="972" customFormat="1">
      <c r="D459" s="988"/>
      <c r="E459" s="989"/>
      <c r="G459" s="990"/>
    </row>
    <row r="460" spans="4:7" s="972" customFormat="1">
      <c r="D460" s="988"/>
      <c r="E460" s="989"/>
      <c r="G460" s="990"/>
    </row>
    <row r="461" spans="4:7" s="972" customFormat="1">
      <c r="D461" s="988"/>
      <c r="E461" s="989"/>
      <c r="G461" s="990"/>
    </row>
    <row r="462" spans="4:7" s="972" customFormat="1">
      <c r="D462" s="988"/>
      <c r="E462" s="989"/>
      <c r="G462" s="990"/>
    </row>
    <row r="463" spans="4:7" s="972" customFormat="1">
      <c r="D463" s="988"/>
      <c r="E463" s="989"/>
      <c r="G463" s="990"/>
    </row>
    <row r="464" spans="4:7" s="972" customFormat="1">
      <c r="D464" s="988"/>
      <c r="E464" s="989"/>
      <c r="G464" s="990"/>
    </row>
    <row r="465" spans="4:7" s="972" customFormat="1">
      <c r="D465" s="988"/>
      <c r="E465" s="989"/>
      <c r="G465" s="990"/>
    </row>
    <row r="466" spans="4:7" s="972" customFormat="1">
      <c r="D466" s="988"/>
      <c r="E466" s="989"/>
      <c r="G466" s="990"/>
    </row>
    <row r="467" spans="4:7" s="972" customFormat="1">
      <c r="D467" s="988"/>
      <c r="E467" s="989"/>
      <c r="G467" s="990"/>
    </row>
    <row r="468" spans="4:7" s="972" customFormat="1">
      <c r="D468" s="988"/>
      <c r="E468" s="989"/>
      <c r="G468" s="990"/>
    </row>
    <row r="469" spans="4:7" s="972" customFormat="1">
      <c r="D469" s="988"/>
      <c r="E469" s="989"/>
      <c r="G469" s="990"/>
    </row>
    <row r="470" spans="4:7" s="972" customFormat="1">
      <c r="D470" s="988"/>
      <c r="E470" s="989"/>
      <c r="G470" s="990"/>
    </row>
    <row r="471" spans="4:7" s="972" customFormat="1">
      <c r="D471" s="988"/>
      <c r="E471" s="989"/>
      <c r="G471" s="990"/>
    </row>
    <row r="472" spans="4:7" s="972" customFormat="1">
      <c r="D472" s="988"/>
      <c r="E472" s="989"/>
      <c r="G472" s="990"/>
    </row>
    <row r="473" spans="4:7" s="972" customFormat="1">
      <c r="D473" s="988"/>
      <c r="E473" s="989"/>
      <c r="G473" s="990"/>
    </row>
    <row r="474" spans="4:7" s="972" customFormat="1">
      <c r="D474" s="988"/>
      <c r="E474" s="989"/>
      <c r="G474" s="990"/>
    </row>
    <row r="475" spans="4:7" s="972" customFormat="1">
      <c r="D475" s="988"/>
      <c r="E475" s="989"/>
      <c r="G475" s="990"/>
    </row>
    <row r="476" spans="4:7" s="972" customFormat="1">
      <c r="D476" s="988"/>
      <c r="E476" s="989"/>
      <c r="G476" s="990"/>
    </row>
    <row r="477" spans="4:7" s="972" customFormat="1">
      <c r="D477" s="988"/>
      <c r="E477" s="989"/>
      <c r="G477" s="990"/>
    </row>
    <row r="478" spans="4:7" s="972" customFormat="1">
      <c r="D478" s="988"/>
      <c r="E478" s="989"/>
      <c r="G478" s="990"/>
    </row>
    <row r="479" spans="4:7" s="972" customFormat="1">
      <c r="D479" s="988"/>
      <c r="E479" s="989"/>
      <c r="G479" s="990"/>
    </row>
    <row r="480" spans="4:7" s="972" customFormat="1">
      <c r="D480" s="988"/>
      <c r="E480" s="989"/>
      <c r="G480" s="990"/>
    </row>
    <row r="481" spans="4:7" s="972" customFormat="1">
      <c r="D481" s="988"/>
      <c r="E481" s="989"/>
      <c r="G481" s="990"/>
    </row>
    <row r="482" spans="4:7" s="972" customFormat="1">
      <c r="D482" s="988"/>
      <c r="E482" s="989"/>
      <c r="G482" s="990"/>
    </row>
    <row r="483" spans="4:7" s="972" customFormat="1">
      <c r="D483" s="988"/>
      <c r="E483" s="989"/>
      <c r="G483" s="990"/>
    </row>
    <row r="484" spans="4:7" s="972" customFormat="1">
      <c r="D484" s="988"/>
      <c r="E484" s="989"/>
      <c r="G484" s="990"/>
    </row>
    <row r="485" spans="4:7" s="972" customFormat="1">
      <c r="D485" s="988"/>
      <c r="E485" s="989"/>
      <c r="G485" s="990"/>
    </row>
    <row r="486" spans="4:7" s="972" customFormat="1">
      <c r="D486" s="988"/>
      <c r="E486" s="989"/>
      <c r="G486" s="990"/>
    </row>
    <row r="487" spans="4:7" s="972" customFormat="1">
      <c r="D487" s="988"/>
      <c r="E487" s="989"/>
      <c r="G487" s="990"/>
    </row>
    <row r="488" spans="4:7" s="972" customFormat="1">
      <c r="D488" s="988"/>
      <c r="E488" s="989"/>
      <c r="G488" s="990"/>
    </row>
    <row r="489" spans="4:7" s="972" customFormat="1">
      <c r="D489" s="988"/>
      <c r="E489" s="989"/>
      <c r="G489" s="990"/>
    </row>
    <row r="490" spans="4:7" s="972" customFormat="1">
      <c r="D490" s="988"/>
      <c r="E490" s="989"/>
      <c r="G490" s="990"/>
    </row>
    <row r="491" spans="4:7" s="972" customFormat="1">
      <c r="D491" s="988"/>
      <c r="E491" s="989"/>
      <c r="G491" s="990"/>
    </row>
    <row r="492" spans="4:7" s="972" customFormat="1">
      <c r="D492" s="988"/>
      <c r="E492" s="989"/>
      <c r="G492" s="990"/>
    </row>
    <row r="493" spans="4:7" s="972" customFormat="1">
      <c r="D493" s="988"/>
      <c r="E493" s="989"/>
      <c r="G493" s="990"/>
    </row>
    <row r="494" spans="4:7" s="972" customFormat="1">
      <c r="D494" s="988"/>
      <c r="E494" s="989"/>
      <c r="G494" s="990"/>
    </row>
    <row r="495" spans="4:7" s="972" customFormat="1">
      <c r="D495" s="988"/>
      <c r="E495" s="989"/>
      <c r="G495" s="990"/>
    </row>
    <row r="496" spans="4:7" s="972" customFormat="1">
      <c r="D496" s="988"/>
      <c r="E496" s="989"/>
      <c r="G496" s="990"/>
    </row>
    <row r="497" spans="4:15" s="972" customFormat="1">
      <c r="D497" s="988"/>
      <c r="E497" s="989"/>
      <c r="G497" s="990"/>
    </row>
    <row r="498" spans="4:15" s="972" customFormat="1">
      <c r="D498" s="988"/>
      <c r="E498" s="989"/>
      <c r="G498" s="990"/>
    </row>
    <row r="499" spans="4:15" s="972" customFormat="1">
      <c r="D499" s="988"/>
      <c r="E499" s="989"/>
      <c r="G499" s="990"/>
    </row>
    <row r="500" spans="4:15" s="972" customFormat="1">
      <c r="D500" s="988"/>
      <c r="E500" s="989"/>
      <c r="G500" s="990"/>
    </row>
    <row r="501" spans="4:15" s="972" customFormat="1">
      <c r="D501" s="988"/>
      <c r="E501" s="989"/>
      <c r="G501" s="990"/>
    </row>
    <row r="502" spans="4:15" s="972" customFormat="1">
      <c r="D502" s="988"/>
      <c r="E502" s="989"/>
      <c r="G502" s="990"/>
    </row>
    <row r="503" spans="4:15" s="972" customFormat="1">
      <c r="D503" s="988"/>
      <c r="E503" s="989"/>
      <c r="G503" s="990"/>
    </row>
    <row r="504" spans="4:15" s="972" customFormat="1">
      <c r="D504" s="988"/>
      <c r="E504" s="989"/>
      <c r="G504" s="990"/>
    </row>
    <row r="505" spans="4:15" s="972" customFormat="1">
      <c r="D505" s="988"/>
      <c r="E505" s="989"/>
      <c r="G505" s="990"/>
    </row>
    <row r="506" spans="4:15" s="972" customFormat="1">
      <c r="D506" s="988"/>
      <c r="E506" s="989"/>
      <c r="G506" s="990"/>
    </row>
    <row r="507" spans="4:15" s="972" customFormat="1">
      <c r="D507" s="988"/>
      <c r="E507" s="989"/>
      <c r="G507" s="990"/>
    </row>
    <row r="508" spans="4:15" s="972" customFormat="1">
      <c r="D508" s="988"/>
      <c r="E508" s="989"/>
      <c r="G508" s="990"/>
    </row>
    <row r="509" spans="4:15" s="972" customFormat="1">
      <c r="D509" s="988"/>
      <c r="E509" s="989"/>
      <c r="G509" s="990"/>
    </row>
    <row r="510" spans="4:15" s="972" customFormat="1">
      <c r="D510" s="988"/>
      <c r="E510" s="989"/>
      <c r="G510" s="990"/>
    </row>
    <row r="511" spans="4:15" s="972" customFormat="1">
      <c r="D511" s="988"/>
      <c r="E511" s="989"/>
      <c r="G511" s="990"/>
      <c r="K511" s="987" t="e">
        <f>K275+K281+K301+K310+#REF!+K331+K340+K361+K370+K382+K392+K402+K413+K421+K429+K438+K450+K457+K465+K472+K480+K492+K500+K508-K410</f>
        <v>#REF!</v>
      </c>
      <c r="O511" s="972" t="e">
        <f>#REF!</f>
        <v>#REF!</v>
      </c>
    </row>
    <row r="512" spans="4:15" s="972" customFormat="1">
      <c r="D512" s="988"/>
      <c r="E512" s="989"/>
      <c r="G512" s="990"/>
    </row>
    <row r="513" spans="4:7" s="972" customFormat="1">
      <c r="D513" s="988"/>
      <c r="E513" s="989"/>
      <c r="G513" s="990"/>
    </row>
    <row r="514" spans="4:7" s="972" customFormat="1">
      <c r="D514" s="988"/>
      <c r="E514" s="989"/>
      <c r="G514" s="990"/>
    </row>
    <row r="515" spans="4:7" s="972" customFormat="1">
      <c r="D515" s="988"/>
      <c r="E515" s="989"/>
      <c r="G515" s="990"/>
    </row>
    <row r="516" spans="4:7" s="972" customFormat="1">
      <c r="D516" s="988"/>
      <c r="E516" s="989"/>
      <c r="G516" s="990"/>
    </row>
    <row r="517" spans="4:7" s="972" customFormat="1">
      <c r="D517" s="988"/>
      <c r="E517" s="989"/>
      <c r="G517" s="990"/>
    </row>
    <row r="518" spans="4:7" s="972" customFormat="1">
      <c r="D518" s="988"/>
      <c r="E518" s="989"/>
      <c r="G518" s="990"/>
    </row>
    <row r="519" spans="4:7" s="972" customFormat="1">
      <c r="D519" s="988"/>
      <c r="E519" s="989"/>
      <c r="G519" s="990"/>
    </row>
    <row r="520" spans="4:7" s="972" customFormat="1">
      <c r="D520" s="988"/>
      <c r="E520" s="989"/>
      <c r="G520" s="990"/>
    </row>
    <row r="521" spans="4:7" s="972" customFormat="1">
      <c r="D521" s="988"/>
      <c r="E521" s="989"/>
      <c r="G521" s="990"/>
    </row>
    <row r="522" spans="4:7" s="972" customFormat="1">
      <c r="D522" s="988"/>
      <c r="E522" s="989"/>
      <c r="G522" s="990"/>
    </row>
    <row r="523" spans="4:7" s="972" customFormat="1">
      <c r="D523" s="988"/>
      <c r="E523" s="989"/>
      <c r="G523" s="990"/>
    </row>
    <row r="524" spans="4:7" s="972" customFormat="1">
      <c r="D524" s="988"/>
      <c r="E524" s="989"/>
      <c r="G524" s="990"/>
    </row>
    <row r="525" spans="4:7" s="972" customFormat="1">
      <c r="D525" s="988"/>
      <c r="E525" s="989"/>
      <c r="G525" s="990"/>
    </row>
    <row r="526" spans="4:7" s="972" customFormat="1">
      <c r="D526" s="988"/>
      <c r="E526" s="989"/>
      <c r="G526" s="990"/>
    </row>
    <row r="527" spans="4:7" s="972" customFormat="1">
      <c r="D527" s="988"/>
      <c r="E527" s="989"/>
      <c r="G527" s="990"/>
    </row>
    <row r="528" spans="4:7" s="972" customFormat="1">
      <c r="D528" s="988"/>
      <c r="E528" s="989"/>
      <c r="G528" s="990"/>
    </row>
    <row r="529" spans="4:7" s="972" customFormat="1">
      <c r="D529" s="988"/>
      <c r="E529" s="989"/>
      <c r="G529" s="990"/>
    </row>
    <row r="530" spans="4:7" s="972" customFormat="1">
      <c r="D530" s="988"/>
      <c r="E530" s="989"/>
      <c r="G530" s="990"/>
    </row>
    <row r="531" spans="4:7" s="972" customFormat="1">
      <c r="D531" s="988"/>
      <c r="E531" s="989"/>
      <c r="G531" s="990"/>
    </row>
    <row r="532" spans="4:7" s="972" customFormat="1">
      <c r="D532" s="988"/>
      <c r="E532" s="989"/>
      <c r="G532" s="990"/>
    </row>
    <row r="533" spans="4:7" s="972" customFormat="1">
      <c r="D533" s="988"/>
      <c r="E533" s="989"/>
      <c r="G533" s="990"/>
    </row>
    <row r="534" spans="4:7" s="972" customFormat="1">
      <c r="D534" s="988"/>
      <c r="E534" s="989"/>
      <c r="G534" s="990"/>
    </row>
    <row r="535" spans="4:7" s="972" customFormat="1">
      <c r="D535" s="988"/>
      <c r="E535" s="989"/>
      <c r="G535" s="990"/>
    </row>
    <row r="536" spans="4:7" s="972" customFormat="1">
      <c r="D536" s="988"/>
      <c r="E536" s="989"/>
      <c r="G536" s="990"/>
    </row>
    <row r="537" spans="4:7" s="972" customFormat="1">
      <c r="D537" s="988"/>
      <c r="E537" s="989"/>
      <c r="G537" s="990"/>
    </row>
    <row r="538" spans="4:7" s="972" customFormat="1">
      <c r="D538" s="988"/>
      <c r="E538" s="989"/>
      <c r="G538" s="990"/>
    </row>
    <row r="539" spans="4:7" s="972" customFormat="1">
      <c r="D539" s="988"/>
      <c r="E539" s="989"/>
      <c r="G539" s="990"/>
    </row>
    <row r="540" spans="4:7" s="972" customFormat="1">
      <c r="D540" s="988"/>
      <c r="E540" s="989"/>
      <c r="G540" s="990"/>
    </row>
    <row r="541" spans="4:7" s="972" customFormat="1">
      <c r="D541" s="988"/>
      <c r="E541" s="989"/>
      <c r="G541" s="990"/>
    </row>
    <row r="542" spans="4:7" s="972" customFormat="1">
      <c r="D542" s="988"/>
      <c r="E542" s="989"/>
      <c r="G542" s="990"/>
    </row>
    <row r="543" spans="4:7" s="972" customFormat="1">
      <c r="D543" s="988"/>
      <c r="E543" s="989"/>
      <c r="G543" s="990"/>
    </row>
    <row r="544" spans="4:7" s="972" customFormat="1">
      <c r="D544" s="988"/>
      <c r="E544" s="989"/>
      <c r="G544" s="990"/>
    </row>
    <row r="545" spans="4:7" s="972" customFormat="1">
      <c r="D545" s="988"/>
      <c r="E545" s="989"/>
      <c r="G545" s="990"/>
    </row>
    <row r="546" spans="4:7" s="972" customFormat="1">
      <c r="D546" s="988"/>
      <c r="E546" s="989"/>
      <c r="G546" s="990"/>
    </row>
    <row r="547" spans="4:7" s="972" customFormat="1">
      <c r="D547" s="988"/>
      <c r="E547" s="989"/>
      <c r="G547" s="990"/>
    </row>
    <row r="548" spans="4:7" s="972" customFormat="1">
      <c r="D548" s="988"/>
      <c r="E548" s="989"/>
      <c r="G548" s="990"/>
    </row>
    <row r="549" spans="4:7" s="972" customFormat="1">
      <c r="D549" s="988"/>
      <c r="E549" s="989"/>
      <c r="G549" s="990"/>
    </row>
    <row r="550" spans="4:7" s="972" customFormat="1">
      <c r="D550" s="988"/>
      <c r="E550" s="989"/>
      <c r="G550" s="990"/>
    </row>
    <row r="551" spans="4:7" s="972" customFormat="1">
      <c r="D551" s="988"/>
      <c r="E551" s="989"/>
      <c r="G551" s="990"/>
    </row>
    <row r="552" spans="4:7" s="972" customFormat="1">
      <c r="D552" s="988"/>
      <c r="E552" s="989"/>
      <c r="G552" s="990"/>
    </row>
    <row r="553" spans="4:7" s="972" customFormat="1">
      <c r="D553" s="988"/>
      <c r="E553" s="989"/>
      <c r="G553" s="990"/>
    </row>
    <row r="554" spans="4:7" s="972" customFormat="1">
      <c r="D554" s="988"/>
      <c r="E554" s="989"/>
      <c r="G554" s="990"/>
    </row>
    <row r="555" spans="4:7" s="972" customFormat="1">
      <c r="D555" s="988"/>
      <c r="E555" s="989"/>
      <c r="G555" s="990"/>
    </row>
    <row r="556" spans="4:7" s="972" customFormat="1">
      <c r="D556" s="988"/>
      <c r="E556" s="989"/>
      <c r="G556" s="990"/>
    </row>
    <row r="557" spans="4:7" s="972" customFormat="1">
      <c r="D557" s="988"/>
      <c r="E557" s="989"/>
      <c r="G557" s="990"/>
    </row>
    <row r="558" spans="4:7" s="972" customFormat="1">
      <c r="D558" s="988"/>
      <c r="E558" s="989"/>
      <c r="G558" s="990"/>
    </row>
    <row r="559" spans="4:7" s="972" customFormat="1">
      <c r="D559" s="988"/>
      <c r="E559" s="989"/>
      <c r="G559" s="990"/>
    </row>
    <row r="560" spans="4:7" s="972" customFormat="1">
      <c r="D560" s="988"/>
      <c r="E560" s="989"/>
      <c r="G560" s="990"/>
    </row>
    <row r="561" spans="4:7" s="972" customFormat="1">
      <c r="D561" s="988"/>
      <c r="E561" s="989"/>
      <c r="G561" s="990"/>
    </row>
    <row r="562" spans="4:7" s="972" customFormat="1">
      <c r="D562" s="988"/>
      <c r="E562" s="989"/>
      <c r="G562" s="990"/>
    </row>
    <row r="563" spans="4:7" s="972" customFormat="1">
      <c r="D563" s="988"/>
      <c r="E563" s="989"/>
      <c r="G563" s="990"/>
    </row>
    <row r="564" spans="4:7" s="972" customFormat="1">
      <c r="D564" s="988"/>
      <c r="E564" s="989"/>
      <c r="G564" s="990"/>
    </row>
    <row r="565" spans="4:7" s="972" customFormat="1">
      <c r="D565" s="988"/>
      <c r="E565" s="989"/>
      <c r="G565" s="990"/>
    </row>
    <row r="566" spans="4:7" s="972" customFormat="1">
      <c r="D566" s="988"/>
      <c r="E566" s="989"/>
      <c r="G566" s="990"/>
    </row>
    <row r="567" spans="4:7" s="972" customFormat="1">
      <c r="D567" s="988"/>
      <c r="E567" s="989"/>
      <c r="G567" s="990"/>
    </row>
    <row r="568" spans="4:7" s="972" customFormat="1">
      <c r="D568" s="988"/>
      <c r="E568" s="989"/>
      <c r="G568" s="990"/>
    </row>
    <row r="569" spans="4:7" s="972" customFormat="1">
      <c r="D569" s="988"/>
      <c r="E569" s="989"/>
      <c r="G569" s="990"/>
    </row>
    <row r="570" spans="4:7" s="972" customFormat="1">
      <c r="D570" s="988"/>
      <c r="E570" s="989"/>
      <c r="G570" s="990"/>
    </row>
    <row r="571" spans="4:7" s="972" customFormat="1">
      <c r="D571" s="988"/>
      <c r="E571" s="989"/>
      <c r="G571" s="990"/>
    </row>
    <row r="572" spans="4:7" s="972" customFormat="1">
      <c r="D572" s="988"/>
      <c r="E572" s="989"/>
      <c r="G572" s="990"/>
    </row>
    <row r="573" spans="4:7" s="972" customFormat="1">
      <c r="D573" s="988"/>
      <c r="E573" s="989"/>
      <c r="G573" s="990"/>
    </row>
    <row r="574" spans="4:7" s="972" customFormat="1">
      <c r="D574" s="988"/>
      <c r="E574" s="989"/>
      <c r="G574" s="990"/>
    </row>
    <row r="575" spans="4:7" s="972" customFormat="1">
      <c r="D575" s="988"/>
      <c r="E575" s="989"/>
      <c r="G575" s="990"/>
    </row>
    <row r="576" spans="4:7" s="972" customFormat="1">
      <c r="D576" s="988"/>
      <c r="E576" s="989"/>
      <c r="G576" s="990"/>
    </row>
    <row r="577" spans="4:7" s="972" customFormat="1">
      <c r="D577" s="988"/>
      <c r="E577" s="989"/>
      <c r="G577" s="990"/>
    </row>
    <row r="578" spans="4:7" s="972" customFormat="1">
      <c r="D578" s="988"/>
      <c r="E578" s="989"/>
      <c r="G578" s="990"/>
    </row>
    <row r="579" spans="4:7" s="972" customFormat="1">
      <c r="D579" s="988"/>
      <c r="E579" s="989"/>
      <c r="G579" s="990"/>
    </row>
    <row r="580" spans="4:7" s="972" customFormat="1">
      <c r="D580" s="988"/>
      <c r="E580" s="989"/>
      <c r="G580" s="990"/>
    </row>
    <row r="581" spans="4:7" s="972" customFormat="1">
      <c r="D581" s="988"/>
      <c r="E581" s="989"/>
      <c r="G581" s="990"/>
    </row>
    <row r="582" spans="4:7" s="972" customFormat="1">
      <c r="D582" s="988"/>
      <c r="E582" s="989"/>
      <c r="G582" s="990"/>
    </row>
    <row r="583" spans="4:7" s="972" customFormat="1">
      <c r="D583" s="988"/>
      <c r="E583" s="989"/>
      <c r="G583" s="990"/>
    </row>
    <row r="584" spans="4:7" s="972" customFormat="1">
      <c r="D584" s="988"/>
      <c r="E584" s="989"/>
      <c r="G584" s="990"/>
    </row>
    <row r="585" spans="4:7" s="972" customFormat="1">
      <c r="D585" s="988"/>
      <c r="E585" s="989"/>
      <c r="G585" s="990"/>
    </row>
    <row r="586" spans="4:7" s="972" customFormat="1">
      <c r="D586" s="988"/>
      <c r="E586" s="989"/>
      <c r="G586" s="990"/>
    </row>
    <row r="587" spans="4:7" s="972" customFormat="1">
      <c r="D587" s="988"/>
      <c r="E587" s="989"/>
      <c r="G587" s="990"/>
    </row>
    <row r="588" spans="4:7" s="972" customFormat="1">
      <c r="D588" s="988"/>
      <c r="E588" s="989"/>
      <c r="G588" s="990"/>
    </row>
    <row r="589" spans="4:7" s="972" customFormat="1">
      <c r="D589" s="988"/>
      <c r="E589" s="989"/>
      <c r="G589" s="990"/>
    </row>
    <row r="590" spans="4:7" s="972" customFormat="1">
      <c r="D590" s="988"/>
      <c r="E590" s="989"/>
      <c r="G590" s="990"/>
    </row>
    <row r="591" spans="4:7" s="972" customFormat="1">
      <c r="D591" s="988"/>
      <c r="E591" s="989"/>
      <c r="G591" s="990"/>
    </row>
    <row r="592" spans="4:7" s="972" customFormat="1">
      <c r="D592" s="988"/>
      <c r="E592" s="989"/>
      <c r="G592" s="990"/>
    </row>
    <row r="593" spans="4:7" s="972" customFormat="1">
      <c r="D593" s="988"/>
      <c r="E593" s="989"/>
      <c r="G593" s="990"/>
    </row>
    <row r="594" spans="4:7" s="972" customFormat="1">
      <c r="D594" s="988"/>
      <c r="E594" s="989"/>
      <c r="G594" s="990"/>
    </row>
    <row r="595" spans="4:7" s="972" customFormat="1">
      <c r="D595" s="988"/>
      <c r="E595" s="989"/>
      <c r="G595" s="990"/>
    </row>
    <row r="596" spans="4:7" s="972" customFormat="1">
      <c r="D596" s="988"/>
      <c r="E596" s="989"/>
      <c r="G596" s="990"/>
    </row>
    <row r="597" spans="4:7" s="972" customFormat="1">
      <c r="D597" s="988"/>
      <c r="E597" s="989"/>
      <c r="G597" s="990"/>
    </row>
    <row r="598" spans="4:7" s="972" customFormat="1">
      <c r="D598" s="988"/>
      <c r="E598" s="989"/>
      <c r="G598" s="990"/>
    </row>
    <row r="599" spans="4:7" s="972" customFormat="1">
      <c r="D599" s="988"/>
      <c r="E599" s="989"/>
      <c r="G599" s="990"/>
    </row>
    <row r="600" spans="4:7" s="972" customFormat="1">
      <c r="D600" s="988"/>
      <c r="E600" s="989"/>
      <c r="G600" s="990"/>
    </row>
    <row r="601" spans="4:7" s="972" customFormat="1">
      <c r="D601" s="988"/>
      <c r="E601" s="989"/>
      <c r="G601" s="990"/>
    </row>
    <row r="602" spans="4:7" s="972" customFormat="1">
      <c r="D602" s="988"/>
      <c r="E602" s="989"/>
      <c r="G602" s="990"/>
    </row>
    <row r="603" spans="4:7" s="972" customFormat="1">
      <c r="D603" s="988"/>
      <c r="E603" s="989"/>
      <c r="G603" s="990"/>
    </row>
    <row r="604" spans="4:7" s="972" customFormat="1">
      <c r="D604" s="988"/>
      <c r="E604" s="989"/>
      <c r="G604" s="990"/>
    </row>
    <row r="605" spans="4:7" s="972" customFormat="1">
      <c r="D605" s="988"/>
      <c r="E605" s="989"/>
      <c r="G605" s="990"/>
    </row>
    <row r="606" spans="4:7" s="972" customFormat="1">
      <c r="D606" s="988"/>
      <c r="E606" s="989"/>
      <c r="G606" s="990"/>
    </row>
    <row r="607" spans="4:7" s="972" customFormat="1">
      <c r="D607" s="988"/>
      <c r="E607" s="989"/>
      <c r="G607" s="990"/>
    </row>
    <row r="608" spans="4:7" s="972" customFormat="1">
      <c r="D608" s="988"/>
      <c r="E608" s="989"/>
      <c r="G608" s="990"/>
    </row>
    <row r="609" spans="4:7" s="972" customFormat="1">
      <c r="D609" s="988"/>
      <c r="E609" s="989"/>
      <c r="G609" s="990"/>
    </row>
    <row r="610" spans="4:7" s="972" customFormat="1">
      <c r="D610" s="988"/>
      <c r="E610" s="989"/>
      <c r="G610" s="990"/>
    </row>
    <row r="611" spans="4:7" s="972" customFormat="1">
      <c r="D611" s="988"/>
      <c r="E611" s="989"/>
      <c r="G611" s="990"/>
    </row>
    <row r="612" spans="4:7" s="972" customFormat="1">
      <c r="D612" s="988"/>
      <c r="E612" s="989"/>
      <c r="G612" s="990"/>
    </row>
    <row r="613" spans="4:7" s="972" customFormat="1">
      <c r="D613" s="988"/>
      <c r="E613" s="989"/>
      <c r="G613" s="990"/>
    </row>
    <row r="614" spans="4:7" s="972" customFormat="1">
      <c r="D614" s="988"/>
      <c r="E614" s="989"/>
      <c r="G614" s="990"/>
    </row>
    <row r="615" spans="4:7" s="972" customFormat="1">
      <c r="D615" s="988"/>
      <c r="E615" s="989"/>
      <c r="G615" s="990"/>
    </row>
    <row r="616" spans="4:7" s="972" customFormat="1">
      <c r="D616" s="988"/>
      <c r="E616" s="989"/>
      <c r="G616" s="990"/>
    </row>
    <row r="617" spans="4:7" s="972" customFormat="1">
      <c r="D617" s="988"/>
      <c r="E617" s="989"/>
      <c r="G617" s="990"/>
    </row>
    <row r="618" spans="4:7" s="972" customFormat="1">
      <c r="D618" s="988"/>
      <c r="E618" s="989"/>
      <c r="G618" s="990"/>
    </row>
    <row r="619" spans="4:7" s="972" customFormat="1">
      <c r="D619" s="988"/>
      <c r="E619" s="989"/>
      <c r="G619" s="990"/>
    </row>
    <row r="620" spans="4:7" s="972" customFormat="1">
      <c r="D620" s="988"/>
      <c r="E620" s="989"/>
      <c r="G620" s="990"/>
    </row>
    <row r="621" spans="4:7" s="972" customFormat="1">
      <c r="D621" s="988"/>
      <c r="E621" s="989"/>
      <c r="G621" s="990"/>
    </row>
    <row r="622" spans="4:7" s="972" customFormat="1">
      <c r="D622" s="988"/>
      <c r="E622" s="989"/>
      <c r="G622" s="990"/>
    </row>
    <row r="623" spans="4:7" s="972" customFormat="1">
      <c r="D623" s="988"/>
      <c r="E623" s="989"/>
      <c r="G623" s="990"/>
    </row>
    <row r="624" spans="4:7" s="972" customFormat="1">
      <c r="D624" s="988"/>
      <c r="E624" s="989"/>
      <c r="G624" s="990"/>
    </row>
    <row r="625" spans="4:7" s="972" customFormat="1">
      <c r="D625" s="988"/>
      <c r="E625" s="989"/>
      <c r="G625" s="990"/>
    </row>
    <row r="626" spans="4:7" s="972" customFormat="1">
      <c r="D626" s="988"/>
      <c r="E626" s="989"/>
      <c r="G626" s="990"/>
    </row>
    <row r="627" spans="4:7" s="972" customFormat="1">
      <c r="D627" s="988"/>
      <c r="E627" s="989"/>
      <c r="G627" s="990"/>
    </row>
    <row r="628" spans="4:7" s="972" customFormat="1">
      <c r="D628" s="988"/>
      <c r="E628" s="989"/>
      <c r="G628" s="990"/>
    </row>
    <row r="629" spans="4:7" s="972" customFormat="1">
      <c r="D629" s="988"/>
      <c r="E629" s="989"/>
      <c r="G629" s="990"/>
    </row>
    <row r="630" spans="4:7" s="972" customFormat="1">
      <c r="D630" s="988"/>
      <c r="E630" s="989"/>
      <c r="G630" s="990"/>
    </row>
    <row r="631" spans="4:7" s="972" customFormat="1">
      <c r="D631" s="988"/>
      <c r="E631" s="989"/>
      <c r="G631" s="990"/>
    </row>
    <row r="632" spans="4:7" s="972" customFormat="1">
      <c r="D632" s="988"/>
      <c r="E632" s="989"/>
      <c r="G632" s="990"/>
    </row>
    <row r="633" spans="4:7" s="972" customFormat="1">
      <c r="D633" s="988"/>
      <c r="E633" s="989"/>
      <c r="G633" s="990"/>
    </row>
    <row r="634" spans="4:7" s="972" customFormat="1">
      <c r="D634" s="988"/>
      <c r="E634" s="989"/>
      <c r="G634" s="990"/>
    </row>
    <row r="635" spans="4:7" s="972" customFormat="1">
      <c r="D635" s="988"/>
      <c r="E635" s="989"/>
      <c r="G635" s="990"/>
    </row>
    <row r="636" spans="4:7" s="972" customFormat="1">
      <c r="D636" s="988"/>
      <c r="E636" s="989"/>
      <c r="G636" s="990"/>
    </row>
    <row r="637" spans="4:7" s="972" customFormat="1">
      <c r="D637" s="988"/>
      <c r="E637" s="989"/>
      <c r="G637" s="990"/>
    </row>
    <row r="638" spans="4:7" s="972" customFormat="1">
      <c r="D638" s="988"/>
      <c r="E638" s="989"/>
      <c r="G638" s="990"/>
    </row>
    <row r="639" spans="4:7" s="972" customFormat="1">
      <c r="D639" s="988"/>
      <c r="E639" s="989"/>
      <c r="G639" s="990"/>
    </row>
    <row r="640" spans="4:7" s="972" customFormat="1">
      <c r="D640" s="988"/>
      <c r="E640" s="989"/>
      <c r="G640" s="990"/>
    </row>
    <row r="641" spans="4:7" s="972" customFormat="1">
      <c r="D641" s="988"/>
      <c r="E641" s="989"/>
      <c r="G641" s="990"/>
    </row>
    <row r="642" spans="4:7" s="972" customFormat="1">
      <c r="D642" s="988"/>
      <c r="E642" s="989"/>
      <c r="G642" s="990"/>
    </row>
    <row r="643" spans="4:7" s="972" customFormat="1">
      <c r="D643" s="988"/>
      <c r="E643" s="989"/>
      <c r="G643" s="990"/>
    </row>
    <row r="644" spans="4:7" s="972" customFormat="1">
      <c r="D644" s="988"/>
      <c r="E644" s="989"/>
      <c r="G644" s="990"/>
    </row>
    <row r="645" spans="4:7" s="972" customFormat="1">
      <c r="D645" s="988"/>
      <c r="E645" s="989"/>
      <c r="G645" s="990"/>
    </row>
    <row r="646" spans="4:7" s="972" customFormat="1">
      <c r="D646" s="988"/>
      <c r="E646" s="989"/>
      <c r="G646" s="990"/>
    </row>
    <row r="647" spans="4:7" s="972" customFormat="1">
      <c r="D647" s="988"/>
      <c r="E647" s="989"/>
      <c r="G647" s="990"/>
    </row>
    <row r="648" spans="4:7" s="972" customFormat="1">
      <c r="D648" s="988"/>
      <c r="E648" s="989"/>
      <c r="G648" s="990"/>
    </row>
    <row r="649" spans="4:7" s="972" customFormat="1">
      <c r="D649" s="988"/>
      <c r="E649" s="989"/>
      <c r="G649" s="990"/>
    </row>
    <row r="650" spans="4:7" s="972" customFormat="1">
      <c r="D650" s="988"/>
      <c r="E650" s="989"/>
      <c r="G650" s="990"/>
    </row>
    <row r="651" spans="4:7" s="972" customFormat="1">
      <c r="D651" s="988"/>
      <c r="E651" s="989"/>
      <c r="G651" s="990"/>
    </row>
    <row r="652" spans="4:7" s="972" customFormat="1">
      <c r="D652" s="988"/>
      <c r="E652" s="989"/>
      <c r="G652" s="990"/>
    </row>
    <row r="653" spans="4:7" s="972" customFormat="1">
      <c r="D653" s="988"/>
      <c r="E653" s="989"/>
      <c r="G653" s="990"/>
    </row>
    <row r="654" spans="4:7" s="972" customFormat="1">
      <c r="D654" s="988"/>
      <c r="E654" s="989"/>
      <c r="G654" s="990"/>
    </row>
    <row r="655" spans="4:7" s="972" customFormat="1">
      <c r="D655" s="988"/>
      <c r="E655" s="989"/>
      <c r="G655" s="990"/>
    </row>
    <row r="656" spans="4:7" s="972" customFormat="1">
      <c r="D656" s="988"/>
      <c r="E656" s="989"/>
      <c r="G656" s="990"/>
    </row>
    <row r="657" spans="4:7" s="972" customFormat="1">
      <c r="D657" s="988"/>
      <c r="E657" s="989"/>
      <c r="G657" s="990"/>
    </row>
    <row r="658" spans="4:7" s="972" customFormat="1">
      <c r="D658" s="988"/>
      <c r="E658" s="989"/>
      <c r="G658" s="990"/>
    </row>
    <row r="659" spans="4:7" s="972" customFormat="1">
      <c r="D659" s="988"/>
      <c r="E659" s="989"/>
      <c r="G659" s="990"/>
    </row>
    <row r="660" spans="4:7" s="972" customFormat="1">
      <c r="D660" s="988"/>
      <c r="E660" s="989"/>
      <c r="G660" s="990"/>
    </row>
    <row r="661" spans="4:7" s="972" customFormat="1">
      <c r="D661" s="988"/>
      <c r="E661" s="989"/>
      <c r="G661" s="990"/>
    </row>
    <row r="662" spans="4:7" s="972" customFormat="1">
      <c r="D662" s="988"/>
      <c r="E662" s="989"/>
      <c r="G662" s="990"/>
    </row>
    <row r="663" spans="4:7" s="972" customFormat="1">
      <c r="D663" s="988"/>
      <c r="E663" s="989"/>
      <c r="G663" s="990"/>
    </row>
    <row r="664" spans="4:7" s="972" customFormat="1">
      <c r="D664" s="988"/>
      <c r="E664" s="989"/>
      <c r="G664" s="990"/>
    </row>
    <row r="665" spans="4:7" s="972" customFormat="1">
      <c r="D665" s="988"/>
      <c r="E665" s="989"/>
      <c r="G665" s="990"/>
    </row>
    <row r="666" spans="4:7" s="972" customFormat="1">
      <c r="D666" s="988"/>
      <c r="E666" s="989"/>
      <c r="G666" s="990"/>
    </row>
    <row r="667" spans="4:7" s="972" customFormat="1">
      <c r="D667" s="988"/>
      <c r="E667" s="989"/>
      <c r="G667" s="990"/>
    </row>
    <row r="668" spans="4:7" s="972" customFormat="1">
      <c r="D668" s="988"/>
      <c r="E668" s="989"/>
      <c r="G668" s="990"/>
    </row>
    <row r="669" spans="4:7" s="972" customFormat="1">
      <c r="D669" s="988"/>
      <c r="E669" s="989"/>
      <c r="G669" s="990"/>
    </row>
    <row r="670" spans="4:7" s="972" customFormat="1">
      <c r="D670" s="988"/>
      <c r="E670" s="989"/>
      <c r="G670" s="990"/>
    </row>
    <row r="671" spans="4:7" s="972" customFormat="1">
      <c r="D671" s="988"/>
      <c r="E671" s="989"/>
      <c r="G671" s="990"/>
    </row>
    <row r="672" spans="4:7" s="972" customFormat="1">
      <c r="D672" s="988"/>
      <c r="E672" s="989"/>
      <c r="G672" s="990"/>
    </row>
    <row r="673" spans="4:7" s="972" customFormat="1">
      <c r="D673" s="988"/>
      <c r="E673" s="989"/>
      <c r="G673" s="990"/>
    </row>
    <row r="674" spans="4:7" s="972" customFormat="1">
      <c r="D674" s="988"/>
      <c r="E674" s="989"/>
      <c r="G674" s="990"/>
    </row>
    <row r="675" spans="4:7" s="972" customFormat="1">
      <c r="D675" s="988"/>
      <c r="E675" s="989"/>
      <c r="G675" s="990"/>
    </row>
    <row r="676" spans="4:7" s="972" customFormat="1">
      <c r="D676" s="988"/>
      <c r="E676" s="989"/>
      <c r="G676" s="990"/>
    </row>
    <row r="677" spans="4:7" s="972" customFormat="1">
      <c r="D677" s="988"/>
      <c r="E677" s="989"/>
      <c r="G677" s="990"/>
    </row>
    <row r="678" spans="4:7" s="972" customFormat="1">
      <c r="D678" s="988"/>
      <c r="E678" s="989"/>
      <c r="G678" s="990"/>
    </row>
    <row r="679" spans="4:7" s="972" customFormat="1">
      <c r="D679" s="988"/>
      <c r="E679" s="989"/>
      <c r="G679" s="990"/>
    </row>
    <row r="680" spans="4:7" s="972" customFormat="1">
      <c r="D680" s="988"/>
      <c r="E680" s="989"/>
      <c r="G680" s="990"/>
    </row>
    <row r="681" spans="4:7" s="972" customFormat="1">
      <c r="D681" s="988"/>
      <c r="E681" s="989"/>
      <c r="G681" s="990"/>
    </row>
    <row r="682" spans="4:7" s="972" customFormat="1">
      <c r="D682" s="988"/>
      <c r="E682" s="989"/>
      <c r="G682" s="990"/>
    </row>
    <row r="683" spans="4:7" s="972" customFormat="1">
      <c r="D683" s="988"/>
      <c r="E683" s="989"/>
      <c r="G683" s="990"/>
    </row>
    <row r="684" spans="4:7" s="972" customFormat="1">
      <c r="D684" s="988"/>
      <c r="E684" s="989"/>
      <c r="G684" s="990"/>
    </row>
    <row r="685" spans="4:7" s="972" customFormat="1">
      <c r="D685" s="988"/>
      <c r="E685" s="989"/>
      <c r="G685" s="990"/>
    </row>
    <row r="686" spans="4:7" s="972" customFormat="1">
      <c r="D686" s="988"/>
      <c r="E686" s="989"/>
      <c r="G686" s="990"/>
    </row>
    <row r="687" spans="4:7" s="972" customFormat="1">
      <c r="D687" s="988"/>
      <c r="E687" s="989"/>
      <c r="G687" s="990"/>
    </row>
    <row r="688" spans="4:7" s="972" customFormat="1">
      <c r="D688" s="988"/>
      <c r="E688" s="989"/>
      <c r="G688" s="990"/>
    </row>
    <row r="689" spans="4:7" s="972" customFormat="1">
      <c r="D689" s="988"/>
      <c r="E689" s="989"/>
      <c r="G689" s="990"/>
    </row>
    <row r="690" spans="4:7" s="972" customFormat="1">
      <c r="D690" s="988"/>
      <c r="E690" s="989"/>
      <c r="G690" s="990"/>
    </row>
    <row r="691" spans="4:7" s="972" customFormat="1">
      <c r="D691" s="988"/>
      <c r="E691" s="989"/>
      <c r="G691" s="990"/>
    </row>
    <row r="692" spans="4:7" s="972" customFormat="1">
      <c r="D692" s="988"/>
      <c r="E692" s="989"/>
      <c r="G692" s="990"/>
    </row>
    <row r="693" spans="4:7" s="972" customFormat="1">
      <c r="D693" s="988"/>
      <c r="E693" s="989"/>
      <c r="G693" s="990"/>
    </row>
    <row r="694" spans="4:7" s="972" customFormat="1">
      <c r="D694" s="988"/>
      <c r="E694" s="989"/>
      <c r="G694" s="990"/>
    </row>
    <row r="695" spans="4:7" s="972" customFormat="1">
      <c r="D695" s="988"/>
      <c r="E695" s="989"/>
      <c r="G695" s="990"/>
    </row>
    <row r="696" spans="4:7" s="972" customFormat="1">
      <c r="D696" s="988"/>
      <c r="E696" s="989"/>
      <c r="G696" s="990"/>
    </row>
    <row r="697" spans="4:7" s="972" customFormat="1">
      <c r="D697" s="988"/>
      <c r="E697" s="989"/>
      <c r="G697" s="990"/>
    </row>
    <row r="698" spans="4:7" s="972" customFormat="1">
      <c r="D698" s="988"/>
      <c r="E698" s="989"/>
      <c r="G698" s="990"/>
    </row>
    <row r="699" spans="4:7" s="972" customFormat="1">
      <c r="D699" s="988"/>
      <c r="E699" s="989"/>
      <c r="G699" s="990"/>
    </row>
    <row r="700" spans="4:7" s="972" customFormat="1">
      <c r="D700" s="988"/>
      <c r="E700" s="989"/>
      <c r="G700" s="990"/>
    </row>
    <row r="701" spans="4:7" s="972" customFormat="1">
      <c r="D701" s="988"/>
      <c r="E701" s="989"/>
      <c r="G701" s="990"/>
    </row>
    <row r="702" spans="4:7" s="972" customFormat="1">
      <c r="D702" s="988"/>
      <c r="E702" s="989"/>
      <c r="G702" s="990"/>
    </row>
    <row r="703" spans="4:7" s="972" customFormat="1">
      <c r="D703" s="988"/>
      <c r="E703" s="989"/>
      <c r="G703" s="990"/>
    </row>
    <row r="704" spans="4:7" s="972" customFormat="1">
      <c r="D704" s="988"/>
      <c r="E704" s="989"/>
      <c r="G704" s="990"/>
    </row>
    <row r="705" spans="4:7" s="972" customFormat="1">
      <c r="D705" s="988"/>
      <c r="E705" s="989"/>
      <c r="G705" s="990"/>
    </row>
    <row r="706" spans="4:7" s="972" customFormat="1">
      <c r="D706" s="988"/>
      <c r="E706" s="989"/>
      <c r="G706" s="990"/>
    </row>
    <row r="707" spans="4:7" s="972" customFormat="1">
      <c r="D707" s="988"/>
      <c r="E707" s="989"/>
      <c r="G707" s="990"/>
    </row>
    <row r="708" spans="4:7" s="972" customFormat="1">
      <c r="D708" s="988"/>
      <c r="E708" s="989"/>
      <c r="G708" s="990"/>
    </row>
    <row r="709" spans="4:7" s="972" customFormat="1">
      <c r="D709" s="988"/>
      <c r="E709" s="989"/>
      <c r="G709" s="990"/>
    </row>
    <row r="710" spans="4:7" s="972" customFormat="1">
      <c r="D710" s="988"/>
      <c r="E710" s="989"/>
      <c r="G710" s="990"/>
    </row>
    <row r="711" spans="4:7" s="972" customFormat="1">
      <c r="D711" s="988"/>
      <c r="E711" s="989"/>
      <c r="G711" s="990"/>
    </row>
    <row r="712" spans="4:7" s="972" customFormat="1">
      <c r="D712" s="988"/>
      <c r="E712" s="989"/>
      <c r="G712" s="990"/>
    </row>
    <row r="713" spans="4:7" s="972" customFormat="1">
      <c r="D713" s="988"/>
      <c r="E713" s="989"/>
      <c r="G713" s="990"/>
    </row>
    <row r="714" spans="4:7" s="972" customFormat="1">
      <c r="D714" s="988"/>
      <c r="E714" s="989"/>
      <c r="G714" s="990"/>
    </row>
    <row r="715" spans="4:7" s="972" customFormat="1">
      <c r="D715" s="988"/>
      <c r="E715" s="989"/>
      <c r="G715" s="990"/>
    </row>
    <row r="716" spans="4:7" s="972" customFormat="1">
      <c r="D716" s="988"/>
      <c r="E716" s="989"/>
      <c r="G716" s="990"/>
    </row>
    <row r="717" spans="4:7" s="972" customFormat="1">
      <c r="D717" s="988"/>
      <c r="E717" s="989"/>
      <c r="G717" s="990"/>
    </row>
    <row r="718" spans="4:7" s="972" customFormat="1">
      <c r="D718" s="988"/>
      <c r="E718" s="989"/>
      <c r="G718" s="990"/>
    </row>
    <row r="719" spans="4:7" s="972" customFormat="1">
      <c r="D719" s="988"/>
      <c r="E719" s="989"/>
      <c r="G719" s="990"/>
    </row>
    <row r="720" spans="4:7" s="972" customFormat="1">
      <c r="D720" s="988"/>
      <c r="E720" s="989"/>
      <c r="G720" s="990"/>
    </row>
    <row r="721" spans="4:7" s="972" customFormat="1">
      <c r="D721" s="988"/>
      <c r="E721" s="989"/>
      <c r="G721" s="990"/>
    </row>
    <row r="722" spans="4:7" s="972" customFormat="1">
      <c r="D722" s="988"/>
      <c r="E722" s="989"/>
      <c r="G722" s="990"/>
    </row>
    <row r="723" spans="4:7" s="972" customFormat="1">
      <c r="D723" s="988"/>
      <c r="E723" s="989"/>
      <c r="G723" s="990"/>
    </row>
    <row r="724" spans="4:7" s="972" customFormat="1">
      <c r="D724" s="988"/>
      <c r="E724" s="989"/>
      <c r="G724" s="990"/>
    </row>
    <row r="725" spans="4:7" s="972" customFormat="1">
      <c r="D725" s="988"/>
      <c r="E725" s="989"/>
      <c r="G725" s="990"/>
    </row>
    <row r="726" spans="4:7" s="972" customFormat="1">
      <c r="D726" s="988"/>
      <c r="E726" s="989"/>
      <c r="G726" s="990"/>
    </row>
    <row r="727" spans="4:7" s="972" customFormat="1">
      <c r="D727" s="988"/>
      <c r="E727" s="989"/>
      <c r="G727" s="990"/>
    </row>
    <row r="728" spans="4:7" s="972" customFormat="1">
      <c r="D728" s="988"/>
      <c r="E728" s="989"/>
      <c r="G728" s="990"/>
    </row>
    <row r="729" spans="4:7" s="972" customFormat="1">
      <c r="D729" s="988"/>
      <c r="E729" s="989"/>
      <c r="G729" s="990"/>
    </row>
    <row r="730" spans="4:7" s="972" customFormat="1">
      <c r="D730" s="988"/>
      <c r="E730" s="989"/>
      <c r="G730" s="990"/>
    </row>
    <row r="731" spans="4:7" s="972" customFormat="1">
      <c r="D731" s="988"/>
      <c r="E731" s="989"/>
      <c r="G731" s="990"/>
    </row>
    <row r="732" spans="4:7" s="972" customFormat="1">
      <c r="D732" s="988"/>
      <c r="E732" s="989"/>
      <c r="G732" s="990"/>
    </row>
    <row r="733" spans="4:7" s="972" customFormat="1">
      <c r="D733" s="988"/>
      <c r="E733" s="989"/>
      <c r="G733" s="990"/>
    </row>
    <row r="734" spans="4:7" s="972" customFormat="1">
      <c r="D734" s="988"/>
      <c r="E734" s="989"/>
      <c r="G734" s="990"/>
    </row>
    <row r="735" spans="4:7" s="972" customFormat="1">
      <c r="D735" s="988"/>
      <c r="E735" s="989"/>
      <c r="G735" s="990"/>
    </row>
    <row r="736" spans="4:7" s="972" customFormat="1">
      <c r="D736" s="988"/>
      <c r="E736" s="989"/>
      <c r="G736" s="990"/>
    </row>
    <row r="737" spans="4:7" s="972" customFormat="1">
      <c r="D737" s="988"/>
      <c r="E737" s="989"/>
      <c r="G737" s="990"/>
    </row>
    <row r="738" spans="4:7" s="972" customFormat="1">
      <c r="D738" s="988"/>
      <c r="E738" s="989"/>
      <c r="G738" s="990"/>
    </row>
    <row r="739" spans="4:7" s="972" customFormat="1">
      <c r="D739" s="988"/>
      <c r="E739" s="989"/>
      <c r="G739" s="990"/>
    </row>
    <row r="740" spans="4:7" s="972" customFormat="1">
      <c r="D740" s="988"/>
      <c r="E740" s="989"/>
      <c r="G740" s="990"/>
    </row>
    <row r="741" spans="4:7" s="972" customFormat="1">
      <c r="D741" s="988"/>
      <c r="E741" s="989"/>
      <c r="G741" s="990"/>
    </row>
    <row r="742" spans="4:7" s="972" customFormat="1">
      <c r="D742" s="988"/>
      <c r="E742" s="989"/>
      <c r="G742" s="990"/>
    </row>
    <row r="743" spans="4:7" s="972" customFormat="1">
      <c r="D743" s="988"/>
      <c r="E743" s="989"/>
      <c r="G743" s="990"/>
    </row>
    <row r="744" spans="4:7" s="972" customFormat="1">
      <c r="D744" s="988"/>
      <c r="E744" s="989"/>
      <c r="G744" s="990"/>
    </row>
    <row r="745" spans="4:7" s="972" customFormat="1">
      <c r="D745" s="988"/>
      <c r="E745" s="989"/>
      <c r="G745" s="990"/>
    </row>
    <row r="746" spans="4:7" s="972" customFormat="1">
      <c r="D746" s="988"/>
      <c r="E746" s="989"/>
      <c r="G746" s="990"/>
    </row>
    <row r="747" spans="4:7" s="972" customFormat="1">
      <c r="D747" s="988"/>
      <c r="E747" s="989"/>
      <c r="G747" s="990"/>
    </row>
    <row r="748" spans="4:7" s="972" customFormat="1">
      <c r="D748" s="988"/>
      <c r="E748" s="989"/>
      <c r="G748" s="990"/>
    </row>
    <row r="749" spans="4:7" s="972" customFormat="1">
      <c r="D749" s="988"/>
      <c r="E749" s="989"/>
      <c r="G749" s="990"/>
    </row>
    <row r="750" spans="4:7" s="972" customFormat="1">
      <c r="D750" s="988"/>
      <c r="E750" s="989"/>
      <c r="G750" s="990"/>
    </row>
    <row r="751" spans="4:7" s="972" customFormat="1">
      <c r="D751" s="988"/>
      <c r="E751" s="989"/>
      <c r="G751" s="990"/>
    </row>
    <row r="752" spans="4:7" s="972" customFormat="1">
      <c r="D752" s="988"/>
      <c r="E752" s="989"/>
      <c r="G752" s="990"/>
    </row>
    <row r="753" spans="4:7" s="972" customFormat="1">
      <c r="D753" s="988"/>
      <c r="E753" s="989"/>
      <c r="G753" s="990"/>
    </row>
    <row r="754" spans="4:7" s="972" customFormat="1">
      <c r="D754" s="988"/>
      <c r="E754" s="989"/>
      <c r="G754" s="990"/>
    </row>
    <row r="755" spans="4:7" s="972" customFormat="1">
      <c r="D755" s="988"/>
      <c r="E755" s="989"/>
      <c r="G755" s="990"/>
    </row>
    <row r="756" spans="4:7" s="972" customFormat="1">
      <c r="D756" s="988"/>
      <c r="E756" s="989"/>
      <c r="G756" s="990"/>
    </row>
    <row r="757" spans="4:7" s="972" customFormat="1">
      <c r="D757" s="988"/>
      <c r="E757" s="989"/>
      <c r="G757" s="990"/>
    </row>
    <row r="758" spans="4:7" s="972" customFormat="1">
      <c r="D758" s="988"/>
      <c r="E758" s="989"/>
      <c r="G758" s="990"/>
    </row>
    <row r="759" spans="4:7" s="972" customFormat="1">
      <c r="D759" s="988"/>
      <c r="E759" s="989"/>
      <c r="G759" s="990"/>
    </row>
    <row r="760" spans="4:7" s="972" customFormat="1">
      <c r="D760" s="988"/>
      <c r="E760" s="989"/>
      <c r="G760" s="990"/>
    </row>
    <row r="761" spans="4:7" s="972" customFormat="1">
      <c r="D761" s="988"/>
      <c r="E761" s="989"/>
      <c r="G761" s="990"/>
    </row>
    <row r="762" spans="4:7" s="972" customFormat="1">
      <c r="D762" s="988"/>
      <c r="E762" s="989"/>
      <c r="G762" s="990"/>
    </row>
    <row r="763" spans="4:7" s="972" customFormat="1">
      <c r="D763" s="988"/>
      <c r="E763" s="989"/>
      <c r="G763" s="990"/>
    </row>
    <row r="764" spans="4:7" s="972" customFormat="1">
      <c r="D764" s="988"/>
      <c r="E764" s="989"/>
      <c r="G764" s="990"/>
    </row>
    <row r="765" spans="4:7" s="972" customFormat="1">
      <c r="D765" s="988"/>
      <c r="E765" s="989"/>
      <c r="G765" s="990"/>
    </row>
    <row r="766" spans="4:7" s="972" customFormat="1">
      <c r="D766" s="988"/>
      <c r="E766" s="989"/>
      <c r="G766" s="990"/>
    </row>
    <row r="767" spans="4:7" s="972" customFormat="1">
      <c r="D767" s="988"/>
      <c r="E767" s="989"/>
      <c r="G767" s="990"/>
    </row>
    <row r="768" spans="4:7" s="972" customFormat="1">
      <c r="D768" s="988"/>
      <c r="E768" s="989"/>
      <c r="G768" s="990"/>
    </row>
    <row r="769" spans="4:7" s="972" customFormat="1">
      <c r="D769" s="988"/>
      <c r="E769" s="989"/>
      <c r="G769" s="990"/>
    </row>
    <row r="770" spans="4:7" s="972" customFormat="1">
      <c r="D770" s="988"/>
      <c r="E770" s="989"/>
      <c r="G770" s="990"/>
    </row>
    <row r="771" spans="4:7" s="972" customFormat="1">
      <c r="D771" s="988"/>
      <c r="E771" s="989"/>
      <c r="G771" s="990"/>
    </row>
    <row r="772" spans="4:7" s="972" customFormat="1">
      <c r="D772" s="988"/>
      <c r="E772" s="989"/>
      <c r="G772" s="990"/>
    </row>
    <row r="773" spans="4:7" s="972" customFormat="1">
      <c r="D773" s="988"/>
      <c r="E773" s="989"/>
      <c r="G773" s="990"/>
    </row>
    <row r="774" spans="4:7" s="972" customFormat="1">
      <c r="D774" s="988"/>
      <c r="E774" s="989"/>
      <c r="G774" s="990"/>
    </row>
    <row r="775" spans="4:7" s="972" customFormat="1">
      <c r="D775" s="988"/>
      <c r="E775" s="989"/>
      <c r="G775" s="990"/>
    </row>
    <row r="776" spans="4:7" s="972" customFormat="1">
      <c r="D776" s="988"/>
      <c r="E776" s="989"/>
      <c r="G776" s="990"/>
    </row>
    <row r="777" spans="4:7" s="972" customFormat="1">
      <c r="D777" s="988"/>
      <c r="E777" s="989"/>
      <c r="G777" s="990"/>
    </row>
    <row r="778" spans="4:7" s="972" customFormat="1">
      <c r="D778" s="988"/>
      <c r="E778" s="989"/>
      <c r="G778" s="990"/>
    </row>
    <row r="779" spans="4:7" s="972" customFormat="1">
      <c r="D779" s="988"/>
      <c r="E779" s="989"/>
      <c r="G779" s="990"/>
    </row>
    <row r="780" spans="4:7" s="972" customFormat="1">
      <c r="D780" s="988"/>
      <c r="E780" s="989"/>
      <c r="G780" s="990"/>
    </row>
    <row r="781" spans="4:7" s="972" customFormat="1">
      <c r="D781" s="988"/>
      <c r="E781" s="989"/>
      <c r="G781" s="990"/>
    </row>
    <row r="782" spans="4:7" s="972" customFormat="1">
      <c r="D782" s="988"/>
      <c r="E782" s="989"/>
      <c r="G782" s="990"/>
    </row>
    <row r="783" spans="4:7" s="972" customFormat="1">
      <c r="D783" s="988"/>
      <c r="E783" s="989"/>
      <c r="G783" s="990"/>
    </row>
    <row r="784" spans="4:7" s="972" customFormat="1">
      <c r="D784" s="988"/>
      <c r="E784" s="989"/>
      <c r="G784" s="990"/>
    </row>
    <row r="785" spans="4:7" s="972" customFormat="1">
      <c r="D785" s="988"/>
      <c r="E785" s="989"/>
      <c r="G785" s="990"/>
    </row>
    <row r="786" spans="4:7" s="972" customFormat="1">
      <c r="D786" s="988"/>
      <c r="E786" s="989"/>
      <c r="G786" s="990"/>
    </row>
    <row r="787" spans="4:7" s="972" customFormat="1">
      <c r="D787" s="988"/>
      <c r="E787" s="989"/>
      <c r="G787" s="990"/>
    </row>
    <row r="788" spans="4:7" s="972" customFormat="1">
      <c r="D788" s="988"/>
      <c r="E788" s="989"/>
      <c r="G788" s="990"/>
    </row>
    <row r="789" spans="4:7" s="972" customFormat="1">
      <c r="D789" s="988"/>
      <c r="E789" s="989"/>
      <c r="G789" s="990"/>
    </row>
    <row r="790" spans="4:7" s="972" customFormat="1">
      <c r="D790" s="988"/>
      <c r="E790" s="989"/>
      <c r="G790" s="990"/>
    </row>
    <row r="791" spans="4:7" s="972" customFormat="1">
      <c r="D791" s="988"/>
      <c r="E791" s="989"/>
      <c r="G791" s="990"/>
    </row>
    <row r="792" spans="4:7" s="972" customFormat="1">
      <c r="D792" s="988"/>
      <c r="E792" s="989"/>
      <c r="G792" s="990"/>
    </row>
    <row r="793" spans="4:7" s="972" customFormat="1">
      <c r="D793" s="988"/>
      <c r="E793" s="989"/>
      <c r="G793" s="990"/>
    </row>
    <row r="794" spans="4:7" s="972" customFormat="1">
      <c r="D794" s="988"/>
      <c r="E794" s="989"/>
      <c r="G794" s="990"/>
    </row>
    <row r="795" spans="4:7" s="972" customFormat="1">
      <c r="D795" s="988"/>
      <c r="E795" s="989"/>
      <c r="G795" s="990"/>
    </row>
    <row r="796" spans="4:7" s="972" customFormat="1">
      <c r="D796" s="988"/>
      <c r="E796" s="989"/>
      <c r="G796" s="990"/>
    </row>
    <row r="797" spans="4:7" s="972" customFormat="1">
      <c r="D797" s="988"/>
      <c r="E797" s="989"/>
      <c r="G797" s="990"/>
    </row>
    <row r="798" spans="4:7" s="972" customFormat="1">
      <c r="D798" s="988"/>
      <c r="E798" s="989"/>
      <c r="G798" s="990"/>
    </row>
    <row r="799" spans="4:7" s="972" customFormat="1">
      <c r="D799" s="988"/>
      <c r="E799" s="989"/>
      <c r="G799" s="990"/>
    </row>
    <row r="800" spans="4:7" s="972" customFormat="1">
      <c r="D800" s="988"/>
      <c r="E800" s="989"/>
      <c r="G800" s="990"/>
    </row>
    <row r="801" spans="4:7" s="972" customFormat="1">
      <c r="D801" s="988"/>
      <c r="E801" s="989"/>
      <c r="G801" s="990"/>
    </row>
    <row r="802" spans="4:7" s="972" customFormat="1">
      <c r="D802" s="988"/>
      <c r="E802" s="989"/>
      <c r="G802" s="990"/>
    </row>
    <row r="803" spans="4:7" s="972" customFormat="1">
      <c r="D803" s="988"/>
      <c r="E803" s="989"/>
      <c r="G803" s="990"/>
    </row>
    <row r="804" spans="4:7" s="972" customFormat="1">
      <c r="D804" s="988"/>
      <c r="E804" s="989"/>
      <c r="G804" s="990"/>
    </row>
    <row r="805" spans="4:7" s="972" customFormat="1">
      <c r="D805" s="988"/>
      <c r="E805" s="989"/>
      <c r="G805" s="990"/>
    </row>
    <row r="806" spans="4:7" s="972" customFormat="1">
      <c r="D806" s="988"/>
      <c r="E806" s="989"/>
      <c r="G806" s="990"/>
    </row>
    <row r="807" spans="4:7" s="972" customFormat="1">
      <c r="D807" s="988"/>
      <c r="E807" s="989"/>
      <c r="G807" s="990"/>
    </row>
    <row r="808" spans="4:7" s="972" customFormat="1">
      <c r="D808" s="988"/>
      <c r="E808" s="989"/>
      <c r="G808" s="990"/>
    </row>
    <row r="809" spans="4:7" s="972" customFormat="1">
      <c r="D809" s="988"/>
      <c r="E809" s="989"/>
      <c r="G809" s="990"/>
    </row>
    <row r="810" spans="4:7" s="972" customFormat="1">
      <c r="D810" s="988"/>
      <c r="E810" s="989"/>
      <c r="G810" s="990"/>
    </row>
    <row r="811" spans="4:7" s="972" customFormat="1">
      <c r="D811" s="988"/>
      <c r="E811" s="989"/>
      <c r="G811" s="990"/>
    </row>
    <row r="812" spans="4:7" s="972" customFormat="1">
      <c r="D812" s="988"/>
      <c r="E812" s="989"/>
      <c r="G812" s="990"/>
    </row>
    <row r="813" spans="4:7" s="972" customFormat="1">
      <c r="D813" s="988"/>
      <c r="E813" s="989"/>
      <c r="G813" s="990"/>
    </row>
    <row r="814" spans="4:7" s="972" customFormat="1">
      <c r="D814" s="988"/>
      <c r="E814" s="989"/>
      <c r="G814" s="990"/>
    </row>
    <row r="815" spans="4:7" s="972" customFormat="1">
      <c r="D815" s="988"/>
      <c r="E815" s="989"/>
      <c r="G815" s="990"/>
    </row>
    <row r="816" spans="4:7" s="972" customFormat="1">
      <c r="D816" s="988"/>
      <c r="E816" s="989"/>
      <c r="G816" s="990"/>
    </row>
    <row r="817" spans="4:7" s="972" customFormat="1">
      <c r="D817" s="988"/>
      <c r="E817" s="989"/>
      <c r="G817" s="990"/>
    </row>
    <row r="818" spans="4:7" s="972" customFormat="1">
      <c r="D818" s="988"/>
      <c r="E818" s="989"/>
      <c r="G818" s="990"/>
    </row>
    <row r="819" spans="4:7" s="972" customFormat="1">
      <c r="D819" s="988"/>
      <c r="E819" s="989"/>
      <c r="G819" s="990"/>
    </row>
    <row r="820" spans="4:7" s="972" customFormat="1">
      <c r="D820" s="988"/>
      <c r="E820" s="989"/>
      <c r="G820" s="990"/>
    </row>
    <row r="821" spans="4:7" s="972" customFormat="1">
      <c r="D821" s="988"/>
      <c r="E821" s="989"/>
      <c r="G821" s="990"/>
    </row>
    <row r="822" spans="4:7" s="972" customFormat="1">
      <c r="D822" s="988"/>
      <c r="E822" s="989"/>
      <c r="G822" s="990"/>
    </row>
    <row r="823" spans="4:7" s="972" customFormat="1">
      <c r="D823" s="988"/>
      <c r="E823" s="989"/>
      <c r="G823" s="990"/>
    </row>
    <row r="824" spans="4:7" s="972" customFormat="1">
      <c r="D824" s="988"/>
      <c r="E824" s="989"/>
      <c r="G824" s="990"/>
    </row>
    <row r="825" spans="4:7" s="972" customFormat="1">
      <c r="D825" s="988"/>
      <c r="E825" s="989"/>
      <c r="G825" s="990"/>
    </row>
    <row r="826" spans="4:7" s="972" customFormat="1">
      <c r="D826" s="988"/>
      <c r="E826" s="989"/>
      <c r="G826" s="990"/>
    </row>
    <row r="827" spans="4:7" s="972" customFormat="1">
      <c r="D827" s="988"/>
      <c r="E827" s="989"/>
      <c r="G827" s="990"/>
    </row>
    <row r="828" spans="4:7" s="972" customFormat="1">
      <c r="D828" s="988"/>
      <c r="E828" s="989"/>
      <c r="G828" s="990"/>
    </row>
    <row r="829" spans="4:7" s="972" customFormat="1">
      <c r="D829" s="988"/>
      <c r="E829" s="989"/>
      <c r="G829" s="990"/>
    </row>
    <row r="830" spans="4:7" s="972" customFormat="1">
      <c r="D830" s="988"/>
      <c r="E830" s="989"/>
      <c r="G830" s="990"/>
    </row>
    <row r="831" spans="4:7" s="972" customFormat="1">
      <c r="D831" s="988"/>
      <c r="E831" s="989"/>
      <c r="G831" s="990"/>
    </row>
    <row r="832" spans="4:7" s="972" customFormat="1">
      <c r="D832" s="988"/>
      <c r="E832" s="989"/>
      <c r="G832" s="990"/>
    </row>
    <row r="833" spans="4:7" s="972" customFormat="1">
      <c r="D833" s="988"/>
      <c r="E833" s="989"/>
      <c r="G833" s="990"/>
    </row>
    <row r="834" spans="4:7" s="972" customFormat="1">
      <c r="D834" s="988"/>
      <c r="E834" s="989"/>
      <c r="G834" s="990"/>
    </row>
    <row r="835" spans="4:7" s="972" customFormat="1">
      <c r="D835" s="988"/>
      <c r="E835" s="989"/>
      <c r="G835" s="990"/>
    </row>
    <row r="836" spans="4:7" s="972" customFormat="1">
      <c r="D836" s="988"/>
      <c r="E836" s="989"/>
      <c r="G836" s="990"/>
    </row>
    <row r="837" spans="4:7" s="972" customFormat="1">
      <c r="D837" s="988"/>
      <c r="E837" s="989"/>
      <c r="G837" s="990"/>
    </row>
    <row r="838" spans="4:7" s="972" customFormat="1">
      <c r="D838" s="988"/>
      <c r="E838" s="989"/>
      <c r="G838" s="990"/>
    </row>
    <row r="839" spans="4:7" s="972" customFormat="1">
      <c r="D839" s="988"/>
      <c r="E839" s="989"/>
      <c r="G839" s="990"/>
    </row>
    <row r="840" spans="4:7" s="972" customFormat="1">
      <c r="D840" s="988"/>
      <c r="E840" s="989"/>
      <c r="G840" s="990"/>
    </row>
    <row r="841" spans="4:7" s="972" customFormat="1">
      <c r="D841" s="988"/>
      <c r="E841" s="989"/>
      <c r="G841" s="990"/>
    </row>
    <row r="842" spans="4:7" s="972" customFormat="1">
      <c r="D842" s="988"/>
      <c r="E842" s="989"/>
      <c r="G842" s="990"/>
    </row>
    <row r="843" spans="4:7" s="972" customFormat="1">
      <c r="D843" s="988"/>
      <c r="E843" s="989"/>
      <c r="G843" s="990"/>
    </row>
    <row r="844" spans="4:7" s="972" customFormat="1">
      <c r="D844" s="988"/>
      <c r="E844" s="989"/>
      <c r="G844" s="990"/>
    </row>
    <row r="845" spans="4:7" s="972" customFormat="1">
      <c r="D845" s="988"/>
      <c r="E845" s="989"/>
      <c r="G845" s="990"/>
    </row>
    <row r="846" spans="4:7" s="972" customFormat="1">
      <c r="D846" s="988"/>
      <c r="E846" s="989"/>
      <c r="G846" s="990"/>
    </row>
    <row r="847" spans="4:7" s="972" customFormat="1">
      <c r="D847" s="988"/>
      <c r="E847" s="989"/>
      <c r="G847" s="990"/>
    </row>
    <row r="848" spans="4:7" s="972" customFormat="1">
      <c r="D848" s="988"/>
      <c r="E848" s="989"/>
      <c r="G848" s="990"/>
    </row>
    <row r="849" spans="4:7" s="972" customFormat="1">
      <c r="D849" s="988"/>
      <c r="E849" s="989"/>
      <c r="G849" s="990"/>
    </row>
    <row r="850" spans="4:7" s="972" customFormat="1">
      <c r="D850" s="988"/>
      <c r="E850" s="989"/>
      <c r="G850" s="990"/>
    </row>
    <row r="851" spans="4:7" s="972" customFormat="1">
      <c r="D851" s="988"/>
      <c r="E851" s="989"/>
      <c r="G851" s="990"/>
    </row>
    <row r="852" spans="4:7" s="972" customFormat="1">
      <c r="D852" s="988"/>
      <c r="E852" s="989"/>
      <c r="G852" s="990"/>
    </row>
    <row r="853" spans="4:7" s="972" customFormat="1">
      <c r="D853" s="988"/>
      <c r="E853" s="989"/>
      <c r="G853" s="990"/>
    </row>
    <row r="854" spans="4:7" s="972" customFormat="1">
      <c r="D854" s="988"/>
      <c r="E854" s="989"/>
      <c r="G854" s="990"/>
    </row>
    <row r="855" spans="4:7" s="972" customFormat="1">
      <c r="D855" s="988"/>
      <c r="E855" s="989"/>
      <c r="G855" s="990"/>
    </row>
    <row r="856" spans="4:7" s="972" customFormat="1">
      <c r="D856" s="988"/>
      <c r="E856" s="989"/>
      <c r="G856" s="990"/>
    </row>
    <row r="857" spans="4:7" s="972" customFormat="1">
      <c r="D857" s="988"/>
      <c r="E857" s="989"/>
      <c r="G857" s="990"/>
    </row>
    <row r="858" spans="4:7" s="972" customFormat="1">
      <c r="D858" s="988"/>
      <c r="E858" s="989"/>
      <c r="G858" s="990"/>
    </row>
    <row r="859" spans="4:7" s="972" customFormat="1">
      <c r="D859" s="988"/>
      <c r="E859" s="989"/>
      <c r="G859" s="990"/>
    </row>
    <row r="860" spans="4:7" s="972" customFormat="1">
      <c r="D860" s="988"/>
      <c r="E860" s="989"/>
      <c r="G860" s="990"/>
    </row>
    <row r="861" spans="4:7" s="972" customFormat="1">
      <c r="D861" s="988"/>
      <c r="E861" s="989"/>
      <c r="G861" s="990"/>
    </row>
    <row r="862" spans="4:7" s="972" customFormat="1">
      <c r="D862" s="988"/>
      <c r="E862" s="989"/>
      <c r="G862" s="990"/>
    </row>
    <row r="863" spans="4:7" s="972" customFormat="1">
      <c r="D863" s="988"/>
      <c r="E863" s="989"/>
      <c r="G863" s="990"/>
    </row>
    <row r="864" spans="4:7" s="972" customFormat="1">
      <c r="D864" s="988"/>
      <c r="E864" s="989"/>
      <c r="G864" s="990"/>
    </row>
    <row r="865" spans="4:7" s="972" customFormat="1">
      <c r="D865" s="988"/>
      <c r="E865" s="989"/>
      <c r="G865" s="990"/>
    </row>
    <row r="866" spans="4:7" s="972" customFormat="1">
      <c r="D866" s="988"/>
      <c r="E866" s="989"/>
      <c r="G866" s="990"/>
    </row>
    <row r="867" spans="4:7" s="972" customFormat="1">
      <c r="D867" s="988"/>
      <c r="E867" s="989"/>
      <c r="G867" s="990"/>
    </row>
    <row r="868" spans="4:7" s="972" customFormat="1">
      <c r="D868" s="988"/>
      <c r="E868" s="989"/>
      <c r="G868" s="990"/>
    </row>
    <row r="869" spans="4:7" s="972" customFormat="1">
      <c r="D869" s="988"/>
      <c r="E869" s="989"/>
      <c r="G869" s="990"/>
    </row>
    <row r="870" spans="4:7" s="972" customFormat="1">
      <c r="D870" s="988"/>
      <c r="E870" s="989"/>
      <c r="G870" s="990"/>
    </row>
    <row r="871" spans="4:7" s="972" customFormat="1">
      <c r="D871" s="988"/>
      <c r="E871" s="989"/>
      <c r="G871" s="990"/>
    </row>
    <row r="872" spans="4:7" s="972" customFormat="1">
      <c r="D872" s="988"/>
      <c r="E872" s="989"/>
      <c r="G872" s="990"/>
    </row>
    <row r="873" spans="4:7" s="972" customFormat="1">
      <c r="D873" s="988"/>
      <c r="E873" s="989"/>
      <c r="G873" s="990"/>
    </row>
    <row r="874" spans="4:7" s="972" customFormat="1">
      <c r="D874" s="988"/>
      <c r="E874" s="989"/>
      <c r="G874" s="990"/>
    </row>
    <row r="875" spans="4:7" s="972" customFormat="1">
      <c r="D875" s="988"/>
      <c r="E875" s="989"/>
      <c r="G875" s="990"/>
    </row>
    <row r="876" spans="4:7" s="972" customFormat="1">
      <c r="D876" s="988"/>
      <c r="E876" s="989"/>
      <c r="G876" s="990"/>
    </row>
    <row r="877" spans="4:7" s="972" customFormat="1">
      <c r="D877" s="988"/>
      <c r="E877" s="989"/>
      <c r="G877" s="990"/>
    </row>
    <row r="878" spans="4:7" s="972" customFormat="1">
      <c r="D878" s="988"/>
      <c r="E878" s="989"/>
      <c r="G878" s="990"/>
    </row>
    <row r="879" spans="4:7" s="972" customFormat="1">
      <c r="D879" s="988"/>
      <c r="E879" s="989"/>
      <c r="G879" s="990"/>
    </row>
    <row r="880" spans="4:7" s="972" customFormat="1">
      <c r="D880" s="988"/>
      <c r="E880" s="989"/>
      <c r="G880" s="990"/>
    </row>
    <row r="881" spans="4:7" s="972" customFormat="1">
      <c r="D881" s="988"/>
      <c r="E881" s="989"/>
      <c r="G881" s="990"/>
    </row>
    <row r="882" spans="4:7" s="972" customFormat="1">
      <c r="D882" s="988"/>
      <c r="E882" s="989"/>
      <c r="G882" s="990"/>
    </row>
    <row r="883" spans="4:7" s="972" customFormat="1">
      <c r="D883" s="988"/>
      <c r="E883" s="989"/>
      <c r="G883" s="990"/>
    </row>
    <row r="884" spans="4:7" s="972" customFormat="1">
      <c r="D884" s="988"/>
      <c r="E884" s="989"/>
      <c r="G884" s="990"/>
    </row>
    <row r="885" spans="4:7" s="972" customFormat="1">
      <c r="D885" s="988"/>
      <c r="E885" s="989"/>
      <c r="G885" s="990"/>
    </row>
    <row r="886" spans="4:7" s="972" customFormat="1">
      <c r="D886" s="988"/>
      <c r="E886" s="989"/>
      <c r="G886" s="990"/>
    </row>
    <row r="887" spans="4:7" s="972" customFormat="1">
      <c r="D887" s="988"/>
      <c r="E887" s="989"/>
      <c r="G887" s="990"/>
    </row>
    <row r="888" spans="4:7" s="972" customFormat="1">
      <c r="D888" s="988"/>
      <c r="E888" s="989"/>
      <c r="G888" s="990"/>
    </row>
    <row r="889" spans="4:7" s="972" customFormat="1">
      <c r="D889" s="988"/>
      <c r="E889" s="989"/>
      <c r="G889" s="990"/>
    </row>
    <row r="890" spans="4:7" s="972" customFormat="1">
      <c r="D890" s="988"/>
      <c r="E890" s="989"/>
      <c r="G890" s="990"/>
    </row>
    <row r="891" spans="4:7" s="972" customFormat="1">
      <c r="D891" s="988"/>
      <c r="E891" s="989"/>
      <c r="G891" s="990"/>
    </row>
    <row r="892" spans="4:7" s="972" customFormat="1">
      <c r="D892" s="988"/>
      <c r="E892" s="989"/>
      <c r="G892" s="990"/>
    </row>
    <row r="893" spans="4:7" s="972" customFormat="1">
      <c r="D893" s="988"/>
      <c r="E893" s="989"/>
      <c r="G893" s="990"/>
    </row>
    <row r="894" spans="4:7" s="972" customFormat="1">
      <c r="D894" s="988"/>
      <c r="E894" s="989"/>
      <c r="G894" s="990"/>
    </row>
    <row r="895" spans="4:7" s="972" customFormat="1">
      <c r="D895" s="988"/>
      <c r="E895" s="989"/>
      <c r="G895" s="990"/>
    </row>
    <row r="896" spans="4:7" s="972" customFormat="1">
      <c r="D896" s="988"/>
      <c r="E896" s="989"/>
      <c r="G896" s="990"/>
    </row>
    <row r="897" spans="4:7" s="972" customFormat="1">
      <c r="D897" s="988"/>
      <c r="E897" s="989"/>
      <c r="G897" s="990"/>
    </row>
    <row r="898" spans="4:7" s="972" customFormat="1">
      <c r="D898" s="988"/>
      <c r="E898" s="989"/>
      <c r="G898" s="990"/>
    </row>
    <row r="899" spans="4:7" s="972" customFormat="1">
      <c r="D899" s="988"/>
      <c r="E899" s="989"/>
      <c r="G899" s="990"/>
    </row>
    <row r="900" spans="4:7" s="972" customFormat="1">
      <c r="D900" s="988"/>
      <c r="E900" s="989"/>
      <c r="G900" s="990"/>
    </row>
    <row r="901" spans="4:7" s="972" customFormat="1">
      <c r="D901" s="988"/>
      <c r="E901" s="989"/>
      <c r="G901" s="990"/>
    </row>
    <row r="902" spans="4:7" s="972" customFormat="1">
      <c r="D902" s="988"/>
      <c r="E902" s="989"/>
      <c r="G902" s="990"/>
    </row>
    <row r="903" spans="4:7" s="972" customFormat="1">
      <c r="D903" s="988"/>
      <c r="E903" s="989"/>
      <c r="G903" s="990"/>
    </row>
    <row r="904" spans="4:7" s="972" customFormat="1">
      <c r="D904" s="988"/>
      <c r="E904" s="989"/>
      <c r="G904" s="990"/>
    </row>
    <row r="905" spans="4:7" s="972" customFormat="1">
      <c r="D905" s="988"/>
      <c r="E905" s="989"/>
      <c r="G905" s="990"/>
    </row>
    <row r="906" spans="4:7" s="972" customFormat="1">
      <c r="D906" s="988"/>
      <c r="E906" s="989"/>
      <c r="G906" s="990"/>
    </row>
    <row r="907" spans="4:7" s="972" customFormat="1">
      <c r="D907" s="988"/>
      <c r="E907" s="989"/>
      <c r="G907" s="990"/>
    </row>
    <row r="908" spans="4:7" s="972" customFormat="1">
      <c r="D908" s="988"/>
      <c r="E908" s="989"/>
      <c r="G908" s="990"/>
    </row>
    <row r="909" spans="4:7" s="972" customFormat="1">
      <c r="D909" s="988"/>
      <c r="E909" s="989"/>
      <c r="G909" s="990"/>
    </row>
    <row r="910" spans="4:7" s="972" customFormat="1">
      <c r="D910" s="988"/>
      <c r="E910" s="989"/>
      <c r="G910" s="990"/>
    </row>
    <row r="911" spans="4:7" s="972" customFormat="1">
      <c r="D911" s="988"/>
      <c r="E911" s="989"/>
      <c r="G911" s="990"/>
    </row>
    <row r="912" spans="4:7" s="972" customFormat="1">
      <c r="D912" s="988"/>
      <c r="E912" s="989"/>
      <c r="G912" s="990"/>
    </row>
    <row r="913" spans="4:7" s="972" customFormat="1">
      <c r="D913" s="988"/>
      <c r="E913" s="989"/>
      <c r="G913" s="990"/>
    </row>
    <row r="914" spans="4:7" s="972" customFormat="1">
      <c r="D914" s="988"/>
      <c r="E914" s="989"/>
      <c r="G914" s="990"/>
    </row>
    <row r="915" spans="4:7" s="972" customFormat="1">
      <c r="D915" s="988"/>
      <c r="E915" s="989"/>
      <c r="G915" s="990"/>
    </row>
    <row r="916" spans="4:7" s="972" customFormat="1">
      <c r="D916" s="988"/>
      <c r="E916" s="989"/>
      <c r="G916" s="990"/>
    </row>
    <row r="917" spans="4:7" s="972" customFormat="1">
      <c r="D917" s="988"/>
      <c r="E917" s="989"/>
      <c r="G917" s="990"/>
    </row>
    <row r="918" spans="4:7" s="972" customFormat="1">
      <c r="D918" s="988"/>
      <c r="E918" s="989"/>
      <c r="G918" s="990"/>
    </row>
    <row r="919" spans="4:7" s="972" customFormat="1">
      <c r="D919" s="988"/>
      <c r="E919" s="989"/>
      <c r="G919" s="990"/>
    </row>
    <row r="920" spans="4:7" s="972" customFormat="1">
      <c r="D920" s="988"/>
      <c r="E920" s="989"/>
      <c r="G920" s="990"/>
    </row>
    <row r="921" spans="4:7" s="972" customFormat="1">
      <c r="D921" s="988"/>
      <c r="E921" s="989"/>
      <c r="G921" s="990"/>
    </row>
    <row r="922" spans="4:7" s="972" customFormat="1">
      <c r="D922" s="988"/>
      <c r="E922" s="989"/>
      <c r="G922" s="990"/>
    </row>
    <row r="923" spans="4:7" s="972" customFormat="1">
      <c r="D923" s="988"/>
      <c r="E923" s="989"/>
      <c r="G923" s="990"/>
    </row>
    <row r="924" spans="4:7" s="972" customFormat="1">
      <c r="D924" s="988"/>
      <c r="E924" s="989"/>
      <c r="G924" s="990"/>
    </row>
    <row r="925" spans="4:7" s="972" customFormat="1">
      <c r="D925" s="988"/>
      <c r="E925" s="989"/>
      <c r="G925" s="990"/>
    </row>
    <row r="926" spans="4:7" s="972" customFormat="1">
      <c r="D926" s="988"/>
      <c r="E926" s="989"/>
      <c r="G926" s="990"/>
    </row>
    <row r="927" spans="4:7" s="972" customFormat="1">
      <c r="D927" s="988"/>
      <c r="E927" s="989"/>
      <c r="G927" s="990"/>
    </row>
    <row r="928" spans="4:7" s="972" customFormat="1">
      <c r="D928" s="988"/>
      <c r="E928" s="989"/>
      <c r="G928" s="990"/>
    </row>
    <row r="929" spans="4:7" s="972" customFormat="1">
      <c r="D929" s="988"/>
      <c r="E929" s="989"/>
      <c r="G929" s="990"/>
    </row>
    <row r="930" spans="4:7" s="972" customFormat="1">
      <c r="D930" s="988"/>
      <c r="E930" s="989"/>
      <c r="G930" s="990"/>
    </row>
    <row r="931" spans="4:7" s="972" customFormat="1">
      <c r="D931" s="988"/>
      <c r="E931" s="989"/>
      <c r="G931" s="990"/>
    </row>
    <row r="932" spans="4:7" s="972" customFormat="1">
      <c r="D932" s="988"/>
      <c r="E932" s="989"/>
      <c r="G932" s="990"/>
    </row>
    <row r="933" spans="4:7" s="972" customFormat="1">
      <c r="D933" s="988"/>
      <c r="E933" s="989"/>
      <c r="G933" s="990"/>
    </row>
    <row r="934" spans="4:7" s="972" customFormat="1">
      <c r="D934" s="988"/>
      <c r="E934" s="989"/>
      <c r="G934" s="990"/>
    </row>
    <row r="935" spans="4:7" s="972" customFormat="1">
      <c r="D935" s="988"/>
      <c r="E935" s="989"/>
      <c r="G935" s="990"/>
    </row>
    <row r="936" spans="4:7" s="972" customFormat="1">
      <c r="D936" s="988"/>
      <c r="E936" s="989"/>
      <c r="G936" s="990"/>
    </row>
    <row r="937" spans="4:7" s="972" customFormat="1">
      <c r="D937" s="988"/>
      <c r="E937" s="989"/>
      <c r="G937" s="990"/>
    </row>
    <row r="938" spans="4:7" s="972" customFormat="1">
      <c r="D938" s="988"/>
      <c r="E938" s="989"/>
      <c r="G938" s="990"/>
    </row>
    <row r="939" spans="4:7" s="972" customFormat="1">
      <c r="D939" s="988"/>
      <c r="E939" s="989"/>
      <c r="G939" s="990"/>
    </row>
    <row r="940" spans="4:7" s="972" customFormat="1">
      <c r="D940" s="988"/>
      <c r="E940" s="989"/>
      <c r="G940" s="990"/>
    </row>
    <row r="941" spans="4:7" s="972" customFormat="1">
      <c r="D941" s="988"/>
      <c r="E941" s="989"/>
      <c r="G941" s="990"/>
    </row>
    <row r="942" spans="4:7" s="972" customFormat="1">
      <c r="D942" s="988"/>
      <c r="E942" s="989"/>
      <c r="G942" s="990"/>
    </row>
    <row r="943" spans="4:7" s="972" customFormat="1">
      <c r="D943" s="988"/>
      <c r="E943" s="989"/>
      <c r="G943" s="990"/>
    </row>
    <row r="944" spans="4:7" s="972" customFormat="1">
      <c r="D944" s="988"/>
      <c r="E944" s="989"/>
      <c r="G944" s="990"/>
    </row>
    <row r="945" spans="4:7" s="972" customFormat="1">
      <c r="D945" s="988"/>
      <c r="E945" s="989"/>
      <c r="G945" s="990"/>
    </row>
    <row r="946" spans="4:7" s="972" customFormat="1">
      <c r="D946" s="988"/>
      <c r="E946" s="989"/>
      <c r="G946" s="990"/>
    </row>
    <row r="947" spans="4:7" s="972" customFormat="1">
      <c r="D947" s="988"/>
      <c r="E947" s="989"/>
      <c r="G947" s="990"/>
    </row>
    <row r="948" spans="4:7" s="972" customFormat="1">
      <c r="D948" s="988"/>
      <c r="E948" s="989"/>
      <c r="G948" s="990"/>
    </row>
    <row r="949" spans="4:7" s="972" customFormat="1">
      <c r="D949" s="988"/>
      <c r="E949" s="989"/>
      <c r="G949" s="990"/>
    </row>
    <row r="950" spans="4:7" s="972" customFormat="1">
      <c r="D950" s="988"/>
      <c r="E950" s="989"/>
      <c r="G950" s="990"/>
    </row>
    <row r="951" spans="4:7" s="972" customFormat="1">
      <c r="D951" s="988"/>
      <c r="E951" s="989"/>
      <c r="G951" s="990"/>
    </row>
    <row r="952" spans="4:7" s="972" customFormat="1">
      <c r="D952" s="988"/>
      <c r="E952" s="989"/>
      <c r="G952" s="990"/>
    </row>
    <row r="953" spans="4:7" s="972" customFormat="1">
      <c r="D953" s="988"/>
      <c r="E953" s="989"/>
      <c r="G953" s="990"/>
    </row>
    <row r="954" spans="4:7" s="972" customFormat="1">
      <c r="D954" s="988"/>
      <c r="E954" s="989"/>
      <c r="G954" s="990"/>
    </row>
    <row r="955" spans="4:7" s="972" customFormat="1">
      <c r="D955" s="988"/>
      <c r="E955" s="989"/>
      <c r="G955" s="990"/>
    </row>
    <row r="956" spans="4:7" s="972" customFormat="1">
      <c r="D956" s="988"/>
      <c r="E956" s="989"/>
      <c r="G956" s="990"/>
    </row>
    <row r="957" spans="4:7" s="972" customFormat="1">
      <c r="D957" s="988"/>
      <c r="E957" s="989"/>
      <c r="G957" s="990"/>
    </row>
    <row r="958" spans="4:7" s="972" customFormat="1">
      <c r="D958" s="988"/>
      <c r="E958" s="989"/>
      <c r="G958" s="990"/>
    </row>
    <row r="959" spans="4:7" s="972" customFormat="1">
      <c r="D959" s="988"/>
      <c r="E959" s="989"/>
      <c r="G959" s="990"/>
    </row>
    <row r="960" spans="4:7" s="972" customFormat="1">
      <c r="D960" s="988"/>
      <c r="E960" s="989"/>
      <c r="G960" s="990"/>
    </row>
    <row r="961" spans="4:7" s="972" customFormat="1">
      <c r="D961" s="988"/>
      <c r="E961" s="989"/>
      <c r="G961" s="990"/>
    </row>
    <row r="962" spans="4:7" s="972" customFormat="1">
      <c r="D962" s="988"/>
      <c r="E962" s="989"/>
      <c r="G962" s="990"/>
    </row>
    <row r="963" spans="4:7" s="972" customFormat="1">
      <c r="D963" s="988"/>
      <c r="E963" s="989"/>
      <c r="G963" s="990"/>
    </row>
    <row r="964" spans="4:7" s="972" customFormat="1">
      <c r="D964" s="988"/>
      <c r="E964" s="989"/>
      <c r="G964" s="990"/>
    </row>
    <row r="965" spans="4:7" s="972" customFormat="1">
      <c r="D965" s="988"/>
      <c r="E965" s="989"/>
      <c r="G965" s="990"/>
    </row>
    <row r="966" spans="4:7" s="972" customFormat="1">
      <c r="D966" s="988"/>
      <c r="E966" s="989"/>
      <c r="G966" s="990"/>
    </row>
    <row r="967" spans="4:7" s="972" customFormat="1">
      <c r="D967" s="988"/>
      <c r="E967" s="989"/>
      <c r="G967" s="990"/>
    </row>
    <row r="968" spans="4:7" s="972" customFormat="1">
      <c r="D968" s="988"/>
      <c r="E968" s="989"/>
      <c r="G968" s="990"/>
    </row>
    <row r="969" spans="4:7" s="972" customFormat="1">
      <c r="D969" s="988"/>
      <c r="E969" s="989"/>
      <c r="G969" s="990"/>
    </row>
    <row r="970" spans="4:7" s="972" customFormat="1">
      <c r="D970" s="988"/>
      <c r="E970" s="989"/>
      <c r="G970" s="990"/>
    </row>
    <row r="971" spans="4:7" s="972" customFormat="1">
      <c r="D971" s="988"/>
      <c r="E971" s="989"/>
      <c r="G971" s="990"/>
    </row>
    <row r="972" spans="4:7" s="972" customFormat="1">
      <c r="D972" s="988"/>
      <c r="E972" s="989"/>
      <c r="G972" s="990"/>
    </row>
    <row r="973" spans="4:7" s="972" customFormat="1">
      <c r="D973" s="988"/>
      <c r="E973" s="989"/>
      <c r="G973" s="990"/>
    </row>
    <row r="974" spans="4:7" s="972" customFormat="1">
      <c r="D974" s="988"/>
      <c r="E974" s="989"/>
      <c r="G974" s="990"/>
    </row>
    <row r="975" spans="4:7" s="972" customFormat="1">
      <c r="D975" s="988"/>
      <c r="E975" s="989"/>
      <c r="G975" s="990"/>
    </row>
    <row r="976" spans="4:7" s="972" customFormat="1">
      <c r="D976" s="988"/>
      <c r="E976" s="989"/>
      <c r="G976" s="990"/>
    </row>
    <row r="977" spans="4:7" s="972" customFormat="1">
      <c r="D977" s="988"/>
      <c r="E977" s="989"/>
      <c r="G977" s="990"/>
    </row>
    <row r="978" spans="4:7" s="972" customFormat="1">
      <c r="D978" s="988"/>
      <c r="E978" s="989"/>
      <c r="G978" s="990"/>
    </row>
    <row r="979" spans="4:7" s="972" customFormat="1">
      <c r="D979" s="988"/>
      <c r="E979" s="989"/>
      <c r="G979" s="990"/>
    </row>
    <row r="980" spans="4:7" s="972" customFormat="1">
      <c r="D980" s="988"/>
      <c r="E980" s="989"/>
      <c r="G980" s="990"/>
    </row>
    <row r="981" spans="4:7" s="972" customFormat="1">
      <c r="D981" s="988"/>
      <c r="E981" s="989"/>
      <c r="G981" s="990"/>
    </row>
    <row r="982" spans="4:7" s="972" customFormat="1">
      <c r="D982" s="988"/>
      <c r="E982" s="989"/>
      <c r="G982" s="990"/>
    </row>
    <row r="983" spans="4:7" s="972" customFormat="1">
      <c r="D983" s="988"/>
      <c r="E983" s="989"/>
      <c r="G983" s="990"/>
    </row>
    <row r="984" spans="4:7" s="972" customFormat="1">
      <c r="D984" s="988"/>
      <c r="E984" s="989"/>
      <c r="G984" s="990"/>
    </row>
    <row r="985" spans="4:7" s="972" customFormat="1">
      <c r="D985" s="988"/>
      <c r="E985" s="989"/>
      <c r="G985" s="990"/>
    </row>
    <row r="986" spans="4:7" s="972" customFormat="1">
      <c r="D986" s="988"/>
      <c r="E986" s="989"/>
      <c r="G986" s="990"/>
    </row>
    <row r="987" spans="4:7" s="972" customFormat="1">
      <c r="D987" s="988"/>
      <c r="E987" s="989"/>
      <c r="G987" s="990"/>
    </row>
    <row r="988" spans="4:7" s="972" customFormat="1">
      <c r="D988" s="988"/>
      <c r="E988" s="989"/>
      <c r="G988" s="990"/>
    </row>
    <row r="989" spans="4:7" s="972" customFormat="1">
      <c r="D989" s="988"/>
      <c r="E989" s="989"/>
      <c r="G989" s="990"/>
    </row>
    <row r="990" spans="4:7" s="972" customFormat="1">
      <c r="D990" s="988"/>
      <c r="E990" s="989"/>
      <c r="G990" s="990"/>
    </row>
    <row r="991" spans="4:7" s="972" customFormat="1">
      <c r="D991" s="988"/>
      <c r="E991" s="989"/>
      <c r="G991" s="990"/>
    </row>
    <row r="992" spans="4:7" s="972" customFormat="1">
      <c r="D992" s="988"/>
      <c r="E992" s="989"/>
      <c r="G992" s="990"/>
    </row>
    <row r="993" spans="4:7" s="972" customFormat="1">
      <c r="D993" s="988"/>
      <c r="E993" s="989"/>
      <c r="G993" s="990"/>
    </row>
    <row r="994" spans="4:7" s="972" customFormat="1">
      <c r="D994" s="988"/>
      <c r="E994" s="989"/>
      <c r="G994" s="990"/>
    </row>
    <row r="995" spans="4:7" s="972" customFormat="1">
      <c r="D995" s="988"/>
      <c r="E995" s="989"/>
      <c r="G995" s="990"/>
    </row>
    <row r="996" spans="4:7" s="972" customFormat="1">
      <c r="D996" s="988"/>
      <c r="E996" s="989"/>
      <c r="G996" s="990"/>
    </row>
    <row r="997" spans="4:7" s="972" customFormat="1">
      <c r="D997" s="988"/>
      <c r="E997" s="989"/>
      <c r="G997" s="990"/>
    </row>
    <row r="998" spans="4:7" s="972" customFormat="1">
      <c r="D998" s="988"/>
      <c r="E998" s="989"/>
      <c r="G998" s="990"/>
    </row>
    <row r="999" spans="4:7" s="972" customFormat="1">
      <c r="D999" s="988"/>
      <c r="E999" s="989"/>
      <c r="G999" s="990"/>
    </row>
    <row r="1000" spans="4:7" s="972" customFormat="1">
      <c r="D1000" s="988"/>
      <c r="E1000" s="989"/>
      <c r="G1000" s="990"/>
    </row>
    <row r="1001" spans="4:7" s="972" customFormat="1">
      <c r="D1001" s="988"/>
      <c r="E1001" s="989"/>
      <c r="G1001" s="990"/>
    </row>
    <row r="1002" spans="4:7" s="972" customFormat="1">
      <c r="D1002" s="988"/>
      <c r="E1002" s="989"/>
      <c r="G1002" s="990"/>
    </row>
    <row r="1003" spans="4:7" s="972" customFormat="1">
      <c r="D1003" s="988"/>
      <c r="E1003" s="989"/>
      <c r="G1003" s="990"/>
    </row>
    <row r="1004" spans="4:7" s="972" customFormat="1">
      <c r="D1004" s="988"/>
      <c r="E1004" s="989"/>
      <c r="G1004" s="990"/>
    </row>
    <row r="1005" spans="4:7" s="972" customFormat="1">
      <c r="D1005" s="988"/>
      <c r="E1005" s="989"/>
      <c r="G1005" s="990"/>
    </row>
    <row r="1006" spans="4:7" s="972" customFormat="1">
      <c r="D1006" s="988"/>
      <c r="E1006" s="989"/>
      <c r="G1006" s="990"/>
    </row>
    <row r="1007" spans="4:7" s="972" customFormat="1">
      <c r="D1007" s="988"/>
      <c r="E1007" s="989"/>
      <c r="G1007" s="990"/>
    </row>
    <row r="1008" spans="4:7" s="972" customFormat="1">
      <c r="D1008" s="988"/>
      <c r="E1008" s="989"/>
      <c r="G1008" s="990"/>
    </row>
    <row r="1009" spans="4:7" s="972" customFormat="1">
      <c r="D1009" s="988"/>
      <c r="E1009" s="989"/>
      <c r="G1009" s="990"/>
    </row>
    <row r="1010" spans="4:7" s="972" customFormat="1">
      <c r="D1010" s="988"/>
      <c r="E1010" s="989"/>
      <c r="G1010" s="990"/>
    </row>
    <row r="1011" spans="4:7" s="972" customFormat="1">
      <c r="D1011" s="988"/>
      <c r="E1011" s="989"/>
      <c r="G1011" s="990"/>
    </row>
    <row r="1012" spans="4:7" s="972" customFormat="1">
      <c r="D1012" s="988"/>
      <c r="E1012" s="989"/>
      <c r="G1012" s="990"/>
    </row>
    <row r="1013" spans="4:7" s="972" customFormat="1">
      <c r="D1013" s="988"/>
      <c r="E1013" s="989"/>
      <c r="G1013" s="990"/>
    </row>
    <row r="1014" spans="4:7" s="972" customFormat="1">
      <c r="D1014" s="988"/>
      <c r="E1014" s="989"/>
      <c r="G1014" s="990"/>
    </row>
    <row r="1015" spans="4:7" s="972" customFormat="1">
      <c r="D1015" s="988"/>
      <c r="E1015" s="989"/>
      <c r="G1015" s="990"/>
    </row>
    <row r="1016" spans="4:7" s="972" customFormat="1">
      <c r="D1016" s="988"/>
      <c r="E1016" s="989"/>
      <c r="G1016" s="990"/>
    </row>
    <row r="1017" spans="4:7" s="972" customFormat="1">
      <c r="D1017" s="988"/>
      <c r="E1017" s="989"/>
      <c r="G1017" s="990"/>
    </row>
    <row r="1018" spans="4:7" s="972" customFormat="1">
      <c r="D1018" s="988"/>
      <c r="E1018" s="989"/>
      <c r="G1018" s="990"/>
    </row>
    <row r="1019" spans="4:7" s="972" customFormat="1">
      <c r="D1019" s="988"/>
      <c r="E1019" s="989"/>
      <c r="G1019" s="990"/>
    </row>
    <row r="1020" spans="4:7" s="972" customFormat="1">
      <c r="D1020" s="988"/>
      <c r="E1020" s="989"/>
      <c r="G1020" s="990"/>
    </row>
    <row r="1021" spans="4:7" s="972" customFormat="1">
      <c r="D1021" s="988"/>
      <c r="E1021" s="989"/>
      <c r="G1021" s="990"/>
    </row>
    <row r="1022" spans="4:7" s="972" customFormat="1">
      <c r="D1022" s="988"/>
      <c r="E1022" s="989"/>
      <c r="G1022" s="990"/>
    </row>
    <row r="1023" spans="4:7" s="972" customFormat="1">
      <c r="D1023" s="988"/>
      <c r="E1023" s="989"/>
      <c r="G1023" s="990"/>
    </row>
    <row r="1024" spans="4:7" s="972" customFormat="1">
      <c r="D1024" s="988"/>
      <c r="E1024" s="989"/>
      <c r="G1024" s="990"/>
    </row>
    <row r="1025" spans="4:7" s="972" customFormat="1">
      <c r="D1025" s="988"/>
      <c r="E1025" s="989"/>
      <c r="G1025" s="990"/>
    </row>
    <row r="1026" spans="4:7" s="972" customFormat="1">
      <c r="D1026" s="988"/>
      <c r="E1026" s="989"/>
      <c r="G1026" s="990"/>
    </row>
    <row r="1027" spans="4:7" s="972" customFormat="1">
      <c r="D1027" s="988"/>
      <c r="E1027" s="989"/>
      <c r="G1027" s="990"/>
    </row>
    <row r="1028" spans="4:7" s="972" customFormat="1">
      <c r="D1028" s="988"/>
      <c r="E1028" s="989"/>
      <c r="G1028" s="990"/>
    </row>
    <row r="1029" spans="4:7" s="972" customFormat="1">
      <c r="D1029" s="988"/>
      <c r="E1029" s="989"/>
      <c r="G1029" s="990"/>
    </row>
    <row r="1030" spans="4:7" s="972" customFormat="1">
      <c r="D1030" s="988"/>
      <c r="E1030" s="989"/>
      <c r="G1030" s="990"/>
    </row>
    <row r="1031" spans="4:7" s="972" customFormat="1">
      <c r="D1031" s="988"/>
      <c r="E1031" s="989"/>
      <c r="G1031" s="990"/>
    </row>
    <row r="1032" spans="4:7" s="972" customFormat="1">
      <c r="D1032" s="988"/>
      <c r="E1032" s="989"/>
      <c r="G1032" s="990"/>
    </row>
    <row r="1033" spans="4:7" s="972" customFormat="1">
      <c r="D1033" s="988"/>
      <c r="E1033" s="989"/>
      <c r="G1033" s="990"/>
    </row>
    <row r="1034" spans="4:7" s="972" customFormat="1">
      <c r="D1034" s="988"/>
      <c r="E1034" s="989"/>
      <c r="G1034" s="990"/>
    </row>
    <row r="1035" spans="4:7" s="972" customFormat="1">
      <c r="D1035" s="988"/>
      <c r="E1035" s="989"/>
      <c r="G1035" s="990"/>
    </row>
    <row r="1036" spans="4:7" s="972" customFormat="1">
      <c r="D1036" s="988"/>
      <c r="E1036" s="989"/>
      <c r="G1036" s="990"/>
    </row>
    <row r="1037" spans="4:7" s="972" customFormat="1">
      <c r="D1037" s="988"/>
      <c r="E1037" s="989"/>
      <c r="G1037" s="990"/>
    </row>
    <row r="1038" spans="4:7" s="972" customFormat="1">
      <c r="D1038" s="988"/>
      <c r="E1038" s="989"/>
      <c r="G1038" s="990"/>
    </row>
    <row r="1039" spans="4:7" s="972" customFormat="1">
      <c r="D1039" s="988"/>
      <c r="E1039" s="989"/>
      <c r="G1039" s="990"/>
    </row>
    <row r="1040" spans="4:7" s="972" customFormat="1">
      <c r="D1040" s="988"/>
      <c r="E1040" s="989"/>
      <c r="G1040" s="990"/>
    </row>
    <row r="1041" spans="4:7" s="972" customFormat="1">
      <c r="D1041" s="988"/>
      <c r="E1041" s="989"/>
      <c r="G1041" s="990"/>
    </row>
    <row r="1042" spans="4:7" s="972" customFormat="1">
      <c r="D1042" s="988"/>
      <c r="E1042" s="989"/>
      <c r="G1042" s="990"/>
    </row>
    <row r="1043" spans="4:7" s="972" customFormat="1">
      <c r="D1043" s="988"/>
      <c r="E1043" s="989"/>
      <c r="G1043" s="990"/>
    </row>
    <row r="1044" spans="4:7" s="972" customFormat="1">
      <c r="D1044" s="988"/>
      <c r="E1044" s="989"/>
      <c r="G1044" s="990"/>
    </row>
    <row r="1045" spans="4:7" s="972" customFormat="1">
      <c r="D1045" s="988"/>
      <c r="E1045" s="989"/>
      <c r="G1045" s="990"/>
    </row>
    <row r="1046" spans="4:7" s="972" customFormat="1">
      <c r="D1046" s="988"/>
      <c r="E1046" s="989"/>
      <c r="G1046" s="990"/>
    </row>
    <row r="1047" spans="4:7" s="972" customFormat="1">
      <c r="D1047" s="988"/>
      <c r="E1047" s="989"/>
      <c r="G1047" s="990"/>
    </row>
    <row r="1048" spans="4:7" s="972" customFormat="1">
      <c r="D1048" s="988"/>
      <c r="E1048" s="989"/>
      <c r="G1048" s="990"/>
    </row>
    <row r="1049" spans="4:7" s="972" customFormat="1">
      <c r="D1049" s="988"/>
      <c r="E1049" s="989"/>
      <c r="G1049" s="990"/>
    </row>
    <row r="1050" spans="4:7" s="972" customFormat="1">
      <c r="D1050" s="988"/>
      <c r="E1050" s="989"/>
      <c r="G1050" s="990"/>
    </row>
    <row r="1051" spans="4:7" s="972" customFormat="1">
      <c r="D1051" s="988"/>
      <c r="E1051" s="989"/>
      <c r="G1051" s="990"/>
    </row>
    <row r="1052" spans="4:7" s="972" customFormat="1">
      <c r="D1052" s="988"/>
      <c r="E1052" s="989"/>
      <c r="G1052" s="990"/>
    </row>
    <row r="1053" spans="4:7" s="972" customFormat="1">
      <c r="D1053" s="988"/>
      <c r="E1053" s="989"/>
      <c r="G1053" s="990"/>
    </row>
    <row r="1054" spans="4:7" s="972" customFormat="1">
      <c r="D1054" s="988"/>
      <c r="E1054" s="989"/>
      <c r="G1054" s="990"/>
    </row>
    <row r="1055" spans="4:7" s="972" customFormat="1">
      <c r="D1055" s="988"/>
      <c r="E1055" s="989"/>
      <c r="G1055" s="990"/>
    </row>
    <row r="1056" spans="4:7" s="972" customFormat="1">
      <c r="D1056" s="988"/>
      <c r="E1056" s="989"/>
      <c r="G1056" s="990"/>
    </row>
    <row r="1057" spans="4:7" s="972" customFormat="1">
      <c r="D1057" s="988"/>
      <c r="E1057" s="989"/>
      <c r="G1057" s="990"/>
    </row>
    <row r="1058" spans="4:7" s="972" customFormat="1">
      <c r="D1058" s="988"/>
      <c r="E1058" s="989"/>
      <c r="G1058" s="990"/>
    </row>
    <row r="1059" spans="4:7" s="972" customFormat="1">
      <c r="D1059" s="988"/>
      <c r="E1059" s="989"/>
      <c r="G1059" s="990"/>
    </row>
    <row r="1060" spans="4:7" s="972" customFormat="1">
      <c r="D1060" s="988"/>
      <c r="E1060" s="989"/>
      <c r="G1060" s="990"/>
    </row>
    <row r="1061" spans="4:7" s="972" customFormat="1">
      <c r="D1061" s="988"/>
      <c r="E1061" s="989"/>
      <c r="G1061" s="990"/>
    </row>
    <row r="1062" spans="4:7" s="972" customFormat="1">
      <c r="D1062" s="988"/>
      <c r="E1062" s="989"/>
      <c r="G1062" s="990"/>
    </row>
    <row r="1063" spans="4:7" s="972" customFormat="1">
      <c r="D1063" s="988"/>
      <c r="E1063" s="989"/>
      <c r="G1063" s="990"/>
    </row>
    <row r="1064" spans="4:7" s="972" customFormat="1">
      <c r="D1064" s="988"/>
      <c r="E1064" s="989"/>
      <c r="G1064" s="990"/>
    </row>
    <row r="1065" spans="4:7" s="972" customFormat="1">
      <c r="D1065" s="988"/>
      <c r="E1065" s="989"/>
      <c r="G1065" s="990"/>
    </row>
    <row r="1066" spans="4:7" s="972" customFormat="1">
      <c r="D1066" s="988"/>
      <c r="E1066" s="989"/>
      <c r="G1066" s="990"/>
    </row>
    <row r="1067" spans="4:7" s="972" customFormat="1">
      <c r="D1067" s="988"/>
      <c r="E1067" s="989"/>
      <c r="G1067" s="990"/>
    </row>
    <row r="1068" spans="4:7" s="972" customFormat="1">
      <c r="D1068" s="988"/>
      <c r="E1068" s="989"/>
      <c r="G1068" s="990"/>
    </row>
    <row r="1069" spans="4:7" s="972" customFormat="1">
      <c r="D1069" s="988"/>
      <c r="E1069" s="989"/>
      <c r="G1069" s="990"/>
    </row>
    <row r="1070" spans="4:7" s="972" customFormat="1">
      <c r="D1070" s="988"/>
      <c r="E1070" s="989"/>
      <c r="G1070" s="990"/>
    </row>
    <row r="1071" spans="4:7" s="972" customFormat="1">
      <c r="D1071" s="988"/>
      <c r="E1071" s="989"/>
      <c r="G1071" s="990"/>
    </row>
    <row r="1072" spans="4:7" s="972" customFormat="1">
      <c r="D1072" s="988"/>
      <c r="E1072" s="989"/>
      <c r="G1072" s="990"/>
    </row>
    <row r="1073" spans="4:7" s="972" customFormat="1">
      <c r="D1073" s="988"/>
      <c r="E1073" s="989"/>
      <c r="G1073" s="990"/>
    </row>
    <row r="1074" spans="4:7" s="972" customFormat="1">
      <c r="D1074" s="988"/>
      <c r="E1074" s="989"/>
      <c r="G1074" s="990"/>
    </row>
    <row r="1075" spans="4:7" s="972" customFormat="1">
      <c r="D1075" s="988"/>
      <c r="E1075" s="989"/>
      <c r="G1075" s="990"/>
    </row>
    <row r="1076" spans="4:7" s="972" customFormat="1">
      <c r="D1076" s="988"/>
      <c r="E1076" s="989"/>
      <c r="G1076" s="990"/>
    </row>
    <row r="1077" spans="4:7" s="972" customFormat="1">
      <c r="D1077" s="988"/>
      <c r="E1077" s="989"/>
      <c r="G1077" s="990"/>
    </row>
    <row r="1078" spans="4:7" s="972" customFormat="1">
      <c r="D1078" s="988"/>
      <c r="E1078" s="989"/>
      <c r="G1078" s="990"/>
    </row>
    <row r="1079" spans="4:7" s="972" customFormat="1">
      <c r="D1079" s="988"/>
      <c r="E1079" s="989"/>
      <c r="G1079" s="990"/>
    </row>
    <row r="1080" spans="4:7" s="972" customFormat="1">
      <c r="D1080" s="988"/>
      <c r="E1080" s="989"/>
      <c r="G1080" s="990"/>
    </row>
    <row r="1081" spans="4:7" s="972" customFormat="1">
      <c r="D1081" s="988"/>
      <c r="E1081" s="989"/>
      <c r="G1081" s="990"/>
    </row>
    <row r="1082" spans="4:7" s="972" customFormat="1">
      <c r="D1082" s="988"/>
      <c r="E1082" s="989"/>
      <c r="G1082" s="990"/>
    </row>
    <row r="1083" spans="4:7" s="972" customFormat="1">
      <c r="D1083" s="988"/>
      <c r="E1083" s="989"/>
      <c r="G1083" s="990"/>
    </row>
    <row r="1084" spans="4:7" s="972" customFormat="1">
      <c r="D1084" s="988"/>
      <c r="E1084" s="989"/>
      <c r="G1084" s="990"/>
    </row>
    <row r="1085" spans="4:7" s="972" customFormat="1">
      <c r="D1085" s="988"/>
      <c r="E1085" s="989"/>
      <c r="G1085" s="990"/>
    </row>
    <row r="1086" spans="4:7" s="972" customFormat="1">
      <c r="D1086" s="988"/>
      <c r="E1086" s="989"/>
      <c r="G1086" s="990"/>
    </row>
    <row r="1087" spans="4:7" s="972" customFormat="1">
      <c r="D1087" s="988"/>
      <c r="E1087" s="989"/>
      <c r="G1087" s="990"/>
    </row>
    <row r="1088" spans="4:7" s="972" customFormat="1">
      <c r="D1088" s="988"/>
      <c r="E1088" s="989"/>
      <c r="G1088" s="990"/>
    </row>
    <row r="1089" spans="4:7" s="972" customFormat="1">
      <c r="D1089" s="988"/>
      <c r="E1089" s="989"/>
      <c r="G1089" s="990"/>
    </row>
    <row r="1090" spans="4:7" s="972" customFormat="1">
      <c r="D1090" s="988"/>
      <c r="E1090" s="989"/>
      <c r="G1090" s="990"/>
    </row>
    <row r="1091" spans="4:7" s="972" customFormat="1">
      <c r="D1091" s="988"/>
      <c r="E1091" s="989"/>
      <c r="G1091" s="990"/>
    </row>
    <row r="1092" spans="4:7" s="972" customFormat="1">
      <c r="D1092" s="988"/>
      <c r="E1092" s="989"/>
      <c r="G1092" s="990"/>
    </row>
    <row r="1093" spans="4:7" s="972" customFormat="1">
      <c r="D1093" s="988"/>
      <c r="E1093" s="989"/>
      <c r="G1093" s="990"/>
    </row>
    <row r="1094" spans="4:7" s="972" customFormat="1">
      <c r="D1094" s="988"/>
      <c r="E1094" s="989"/>
      <c r="G1094" s="990"/>
    </row>
    <row r="1095" spans="4:7" s="972" customFormat="1">
      <c r="D1095" s="988"/>
      <c r="E1095" s="989"/>
      <c r="G1095" s="990"/>
    </row>
    <row r="1096" spans="4:7" s="972" customFormat="1">
      <c r="D1096" s="988"/>
      <c r="E1096" s="989"/>
      <c r="G1096" s="990"/>
    </row>
    <row r="1097" spans="4:7" s="972" customFormat="1">
      <c r="D1097" s="988"/>
      <c r="E1097" s="989"/>
      <c r="G1097" s="990"/>
    </row>
    <row r="1098" spans="4:7" s="972" customFormat="1">
      <c r="D1098" s="988"/>
      <c r="E1098" s="989"/>
      <c r="G1098" s="990"/>
    </row>
    <row r="1099" spans="4:7" s="972" customFormat="1">
      <c r="D1099" s="988"/>
      <c r="E1099" s="989"/>
      <c r="G1099" s="990"/>
    </row>
    <row r="1100" spans="4:7" s="972" customFormat="1">
      <c r="D1100" s="988"/>
      <c r="E1100" s="989"/>
      <c r="G1100" s="990"/>
    </row>
    <row r="1101" spans="4:7" s="972" customFormat="1">
      <c r="D1101" s="988"/>
      <c r="E1101" s="989"/>
      <c r="G1101" s="990"/>
    </row>
    <row r="1102" spans="4:7" s="972" customFormat="1">
      <c r="D1102" s="988"/>
      <c r="E1102" s="989"/>
      <c r="G1102" s="990"/>
    </row>
    <row r="1103" spans="4:7" s="972" customFormat="1">
      <c r="D1103" s="988"/>
      <c r="E1103" s="989"/>
      <c r="G1103" s="990"/>
    </row>
    <row r="1104" spans="4:7" s="972" customFormat="1">
      <c r="D1104" s="988"/>
      <c r="E1104" s="989"/>
      <c r="G1104" s="990"/>
    </row>
    <row r="1105" spans="4:7" s="972" customFormat="1">
      <c r="D1105" s="988"/>
      <c r="E1105" s="989"/>
      <c r="G1105" s="990"/>
    </row>
    <row r="1106" spans="4:7" s="972" customFormat="1">
      <c r="D1106" s="988"/>
      <c r="E1106" s="989"/>
      <c r="G1106" s="990"/>
    </row>
    <row r="1107" spans="4:7" s="972" customFormat="1">
      <c r="D1107" s="988"/>
      <c r="E1107" s="989"/>
      <c r="G1107" s="990"/>
    </row>
    <row r="1108" spans="4:7" s="972" customFormat="1">
      <c r="D1108" s="988"/>
      <c r="E1108" s="989"/>
      <c r="G1108" s="990"/>
    </row>
    <row r="1109" spans="4:7" s="972" customFormat="1">
      <c r="D1109" s="988"/>
      <c r="E1109" s="989"/>
      <c r="G1109" s="990"/>
    </row>
    <row r="1110" spans="4:7" s="972" customFormat="1">
      <c r="D1110" s="988"/>
      <c r="E1110" s="989"/>
      <c r="G1110" s="990"/>
    </row>
    <row r="1111" spans="4:7" s="972" customFormat="1">
      <c r="D1111" s="988"/>
      <c r="E1111" s="989"/>
      <c r="G1111" s="990"/>
    </row>
    <row r="1112" spans="4:7" s="972" customFormat="1">
      <c r="D1112" s="988"/>
      <c r="E1112" s="989"/>
      <c r="G1112" s="990"/>
    </row>
    <row r="1113" spans="4:7" s="972" customFormat="1">
      <c r="D1113" s="988"/>
      <c r="E1113" s="989"/>
      <c r="G1113" s="990"/>
    </row>
    <row r="1114" spans="4:7" s="972" customFormat="1">
      <c r="D1114" s="988"/>
      <c r="E1114" s="989"/>
      <c r="G1114" s="990"/>
    </row>
    <row r="1115" spans="4:7" s="972" customFormat="1">
      <c r="D1115" s="988"/>
      <c r="E1115" s="989"/>
      <c r="G1115" s="990"/>
    </row>
    <row r="1116" spans="4:7" s="972" customFormat="1">
      <c r="D1116" s="988"/>
      <c r="E1116" s="989"/>
      <c r="G1116" s="990"/>
    </row>
    <row r="1117" spans="4:7" s="972" customFormat="1">
      <c r="D1117" s="988"/>
      <c r="E1117" s="989"/>
      <c r="G1117" s="990"/>
    </row>
    <row r="1118" spans="4:7" s="972" customFormat="1">
      <c r="D1118" s="988"/>
      <c r="E1118" s="989"/>
      <c r="G1118" s="990"/>
    </row>
    <row r="1119" spans="4:7" s="972" customFormat="1">
      <c r="D1119" s="988"/>
      <c r="E1119" s="989"/>
      <c r="G1119" s="990"/>
    </row>
    <row r="1120" spans="4:7" s="972" customFormat="1">
      <c r="D1120" s="988"/>
      <c r="E1120" s="989"/>
      <c r="G1120" s="990"/>
    </row>
    <row r="1121" spans="4:7" s="972" customFormat="1">
      <c r="D1121" s="988"/>
      <c r="E1121" s="989"/>
      <c r="G1121" s="990"/>
    </row>
    <row r="1122" spans="4:7" s="972" customFormat="1">
      <c r="D1122" s="988"/>
      <c r="E1122" s="989"/>
      <c r="G1122" s="990"/>
    </row>
    <row r="1123" spans="4:7" s="972" customFormat="1">
      <c r="D1123" s="988"/>
      <c r="E1123" s="989"/>
      <c r="G1123" s="990"/>
    </row>
    <row r="1124" spans="4:7" s="972" customFormat="1">
      <c r="D1124" s="988"/>
      <c r="E1124" s="989"/>
      <c r="G1124" s="990"/>
    </row>
    <row r="1125" spans="4:7" s="972" customFormat="1">
      <c r="D1125" s="988"/>
      <c r="E1125" s="989"/>
      <c r="G1125" s="990"/>
    </row>
    <row r="1126" spans="4:7" s="972" customFormat="1">
      <c r="D1126" s="988"/>
      <c r="E1126" s="989"/>
      <c r="G1126" s="990"/>
    </row>
    <row r="1127" spans="4:7" s="972" customFormat="1">
      <c r="D1127" s="988"/>
      <c r="E1127" s="989"/>
      <c r="G1127" s="990"/>
    </row>
    <row r="1128" spans="4:7" s="972" customFormat="1">
      <c r="D1128" s="988"/>
      <c r="E1128" s="989"/>
      <c r="G1128" s="990"/>
    </row>
    <row r="1129" spans="4:7" s="972" customFormat="1">
      <c r="D1129" s="988"/>
      <c r="E1129" s="989"/>
      <c r="G1129" s="990"/>
    </row>
    <row r="1130" spans="4:7" s="972" customFormat="1">
      <c r="D1130" s="988"/>
      <c r="E1130" s="989"/>
      <c r="G1130" s="990"/>
    </row>
    <row r="1131" spans="4:7" s="972" customFormat="1">
      <c r="D1131" s="988"/>
      <c r="E1131" s="989"/>
      <c r="G1131" s="990"/>
    </row>
    <row r="1132" spans="4:7" s="972" customFormat="1">
      <c r="D1132" s="988"/>
      <c r="E1132" s="989"/>
      <c r="G1132" s="990"/>
    </row>
    <row r="1133" spans="4:7" s="972" customFormat="1">
      <c r="D1133" s="988"/>
      <c r="E1133" s="989"/>
      <c r="G1133" s="990"/>
    </row>
    <row r="1134" spans="4:7" s="972" customFormat="1">
      <c r="D1134" s="988"/>
      <c r="E1134" s="989"/>
      <c r="G1134" s="990"/>
    </row>
    <row r="1135" spans="4:7" s="972" customFormat="1">
      <c r="D1135" s="988"/>
      <c r="E1135" s="989"/>
      <c r="G1135" s="990"/>
    </row>
    <row r="1136" spans="4:7" s="972" customFormat="1">
      <c r="D1136" s="988"/>
      <c r="E1136" s="989"/>
      <c r="G1136" s="990"/>
    </row>
    <row r="1137" spans="4:7" s="972" customFormat="1">
      <c r="D1137" s="988"/>
      <c r="E1137" s="989"/>
      <c r="G1137" s="990"/>
    </row>
    <row r="1138" spans="4:7" s="972" customFormat="1">
      <c r="D1138" s="988"/>
      <c r="E1138" s="989"/>
      <c r="G1138" s="990"/>
    </row>
    <row r="1139" spans="4:7" s="972" customFormat="1">
      <c r="D1139" s="988"/>
      <c r="E1139" s="989"/>
      <c r="G1139" s="990"/>
    </row>
    <row r="1140" spans="4:7" s="972" customFormat="1">
      <c r="D1140" s="988"/>
      <c r="E1140" s="989"/>
      <c r="G1140" s="990"/>
    </row>
    <row r="1141" spans="4:7" s="972" customFormat="1">
      <c r="D1141" s="988"/>
      <c r="E1141" s="989"/>
      <c r="G1141" s="990"/>
    </row>
    <row r="1142" spans="4:7" s="972" customFormat="1">
      <c r="D1142" s="988"/>
      <c r="E1142" s="989"/>
      <c r="G1142" s="990"/>
    </row>
    <row r="1143" spans="4:7" s="972" customFormat="1">
      <c r="D1143" s="988"/>
      <c r="E1143" s="989"/>
      <c r="G1143" s="990"/>
    </row>
    <row r="1144" spans="4:7" s="972" customFormat="1">
      <c r="D1144" s="988"/>
      <c r="E1144" s="989"/>
      <c r="G1144" s="990"/>
    </row>
    <row r="1145" spans="4:7" s="972" customFormat="1">
      <c r="D1145" s="988"/>
      <c r="E1145" s="989"/>
      <c r="G1145" s="990"/>
    </row>
    <row r="1146" spans="4:7" s="972" customFormat="1">
      <c r="D1146" s="988"/>
      <c r="E1146" s="989"/>
      <c r="G1146" s="990"/>
    </row>
    <row r="1147" spans="4:7" s="972" customFormat="1">
      <c r="D1147" s="988"/>
      <c r="E1147" s="989"/>
      <c r="G1147" s="990"/>
    </row>
    <row r="1148" spans="4:7" s="972" customFormat="1">
      <c r="D1148" s="988"/>
      <c r="E1148" s="989"/>
      <c r="G1148" s="990"/>
    </row>
    <row r="1149" spans="4:7" s="972" customFormat="1">
      <c r="D1149" s="988"/>
      <c r="E1149" s="989"/>
      <c r="G1149" s="990"/>
    </row>
    <row r="1150" spans="4:7" s="972" customFormat="1">
      <c r="D1150" s="988"/>
      <c r="E1150" s="989"/>
      <c r="G1150" s="990"/>
    </row>
    <row r="1151" spans="4:7" s="972" customFormat="1">
      <c r="D1151" s="988"/>
      <c r="E1151" s="989"/>
      <c r="G1151" s="990"/>
    </row>
    <row r="1152" spans="4:7" s="972" customFormat="1">
      <c r="D1152" s="988"/>
      <c r="E1152" s="989"/>
      <c r="G1152" s="990"/>
    </row>
    <row r="1153" spans="4:7" s="972" customFormat="1">
      <c r="D1153" s="988"/>
      <c r="E1153" s="989"/>
      <c r="G1153" s="990"/>
    </row>
    <row r="1154" spans="4:7" s="972" customFormat="1">
      <c r="D1154" s="988"/>
      <c r="E1154" s="989"/>
      <c r="G1154" s="990"/>
    </row>
    <row r="1155" spans="4:7" s="972" customFormat="1">
      <c r="D1155" s="988"/>
      <c r="E1155" s="989"/>
      <c r="G1155" s="990"/>
    </row>
    <row r="1156" spans="4:7" s="972" customFormat="1">
      <c r="D1156" s="988"/>
      <c r="E1156" s="989"/>
      <c r="G1156" s="990"/>
    </row>
    <row r="1157" spans="4:7" s="972" customFormat="1">
      <c r="D1157" s="988"/>
      <c r="E1157" s="989"/>
      <c r="G1157" s="990"/>
    </row>
    <row r="1158" spans="4:7" s="972" customFormat="1">
      <c r="D1158" s="988"/>
      <c r="E1158" s="989"/>
      <c r="G1158" s="990"/>
    </row>
    <row r="1159" spans="4:7" s="972" customFormat="1">
      <c r="D1159" s="988"/>
      <c r="E1159" s="989"/>
      <c r="G1159" s="990"/>
    </row>
    <row r="1160" spans="4:7" s="972" customFormat="1">
      <c r="D1160" s="988"/>
      <c r="E1160" s="989"/>
      <c r="G1160" s="990"/>
    </row>
    <row r="1161" spans="4:7" s="972" customFormat="1">
      <c r="D1161" s="988"/>
      <c r="E1161" s="989"/>
      <c r="G1161" s="990"/>
    </row>
    <row r="1162" spans="4:7" s="972" customFormat="1">
      <c r="D1162" s="988"/>
      <c r="E1162" s="989"/>
      <c r="G1162" s="990"/>
    </row>
    <row r="1163" spans="4:7" s="972" customFormat="1">
      <c r="D1163" s="988"/>
      <c r="E1163" s="989"/>
      <c r="G1163" s="990"/>
    </row>
    <row r="1164" spans="4:7" s="972" customFormat="1">
      <c r="D1164" s="988"/>
      <c r="E1164" s="989"/>
      <c r="G1164" s="990"/>
    </row>
    <row r="1165" spans="4:7" s="972" customFormat="1">
      <c r="D1165" s="988"/>
      <c r="E1165" s="989"/>
      <c r="G1165" s="990"/>
    </row>
    <row r="1166" spans="4:7" s="972" customFormat="1">
      <c r="D1166" s="988"/>
      <c r="E1166" s="989"/>
      <c r="G1166" s="990"/>
    </row>
    <row r="1167" spans="4:7" s="972" customFormat="1">
      <c r="D1167" s="988"/>
      <c r="E1167" s="989"/>
      <c r="G1167" s="990"/>
    </row>
    <row r="1168" spans="4:7" s="972" customFormat="1">
      <c r="D1168" s="988"/>
      <c r="E1168" s="989"/>
      <c r="G1168" s="990"/>
    </row>
    <row r="1169" spans="4:7" s="972" customFormat="1">
      <c r="D1169" s="988"/>
      <c r="E1169" s="989"/>
      <c r="G1169" s="990"/>
    </row>
    <row r="1170" spans="4:7" s="972" customFormat="1">
      <c r="D1170" s="988"/>
      <c r="E1170" s="989"/>
      <c r="G1170" s="990"/>
    </row>
    <row r="1171" spans="4:7" s="972" customFormat="1">
      <c r="D1171" s="988"/>
      <c r="E1171" s="989"/>
      <c r="G1171" s="990"/>
    </row>
    <row r="1172" spans="4:7" s="972" customFormat="1">
      <c r="D1172" s="988"/>
      <c r="E1172" s="989"/>
      <c r="G1172" s="990"/>
    </row>
    <row r="1173" spans="4:7" s="972" customFormat="1">
      <c r="D1173" s="988"/>
      <c r="E1173" s="989"/>
      <c r="G1173" s="990"/>
    </row>
    <row r="1174" spans="4:7" s="972" customFormat="1">
      <c r="D1174" s="988"/>
      <c r="E1174" s="989"/>
      <c r="G1174" s="990"/>
    </row>
    <row r="1175" spans="4:7" s="972" customFormat="1">
      <c r="D1175" s="988"/>
      <c r="E1175" s="989"/>
      <c r="G1175" s="990"/>
    </row>
    <row r="1176" spans="4:7" s="972" customFormat="1">
      <c r="D1176" s="988"/>
      <c r="E1176" s="989"/>
      <c r="G1176" s="990"/>
    </row>
    <row r="1177" spans="4:7" s="972" customFormat="1">
      <c r="D1177" s="988"/>
      <c r="E1177" s="989"/>
      <c r="G1177" s="990"/>
    </row>
    <row r="1178" spans="4:7" s="972" customFormat="1">
      <c r="D1178" s="988"/>
      <c r="E1178" s="989"/>
      <c r="G1178" s="990"/>
    </row>
    <row r="1179" spans="4:7" s="972" customFormat="1">
      <c r="D1179" s="988"/>
      <c r="E1179" s="989"/>
      <c r="G1179" s="990"/>
    </row>
    <row r="1180" spans="4:7" s="972" customFormat="1">
      <c r="D1180" s="988"/>
      <c r="E1180" s="989"/>
      <c r="G1180" s="990"/>
    </row>
    <row r="1181" spans="4:7" s="972" customFormat="1">
      <c r="D1181" s="988"/>
      <c r="E1181" s="989"/>
      <c r="G1181" s="990"/>
    </row>
    <row r="1182" spans="4:7" s="972" customFormat="1">
      <c r="D1182" s="988"/>
      <c r="E1182" s="989"/>
      <c r="G1182" s="990"/>
    </row>
    <row r="1183" spans="4:7" s="972" customFormat="1">
      <c r="D1183" s="988"/>
      <c r="E1183" s="989"/>
      <c r="G1183" s="990"/>
    </row>
    <row r="1184" spans="4:7" s="972" customFormat="1">
      <c r="D1184" s="988"/>
      <c r="E1184" s="989"/>
      <c r="G1184" s="990"/>
    </row>
    <row r="1185" spans="4:7" s="972" customFormat="1">
      <c r="D1185" s="988"/>
      <c r="E1185" s="989"/>
      <c r="G1185" s="990"/>
    </row>
    <row r="1186" spans="4:7" s="972" customFormat="1">
      <c r="D1186" s="988"/>
      <c r="E1186" s="989"/>
      <c r="G1186" s="990"/>
    </row>
    <row r="1187" spans="4:7" s="972" customFormat="1">
      <c r="D1187" s="988"/>
      <c r="E1187" s="989"/>
      <c r="G1187" s="990"/>
    </row>
    <row r="1188" spans="4:7" s="972" customFormat="1">
      <c r="D1188" s="988"/>
      <c r="E1188" s="989"/>
      <c r="G1188" s="990"/>
    </row>
    <row r="1189" spans="4:7" s="972" customFormat="1">
      <c r="D1189" s="988"/>
      <c r="E1189" s="989"/>
      <c r="G1189" s="990"/>
    </row>
    <row r="1190" spans="4:7" s="972" customFormat="1">
      <c r="D1190" s="988"/>
      <c r="E1190" s="989"/>
      <c r="G1190" s="990"/>
    </row>
    <row r="1191" spans="4:7" s="972" customFormat="1">
      <c r="D1191" s="988"/>
      <c r="E1191" s="989"/>
      <c r="G1191" s="990"/>
    </row>
    <row r="1192" spans="4:7" s="972" customFormat="1">
      <c r="D1192" s="988"/>
      <c r="E1192" s="989"/>
      <c r="G1192" s="990"/>
    </row>
    <row r="1193" spans="4:7" s="972" customFormat="1">
      <c r="D1193" s="988"/>
      <c r="E1193" s="989"/>
      <c r="G1193" s="990"/>
    </row>
    <row r="1194" spans="4:7" s="972" customFormat="1">
      <c r="D1194" s="988"/>
      <c r="E1194" s="989"/>
      <c r="G1194" s="990"/>
    </row>
    <row r="1195" spans="4:7" s="972" customFormat="1">
      <c r="D1195" s="988"/>
      <c r="E1195" s="989"/>
      <c r="G1195" s="990"/>
    </row>
    <row r="1196" spans="4:7" s="972" customFormat="1">
      <c r="D1196" s="988"/>
      <c r="E1196" s="989"/>
      <c r="G1196" s="990"/>
    </row>
    <row r="1197" spans="4:7" s="972" customFormat="1">
      <c r="D1197" s="988"/>
      <c r="E1197" s="989"/>
      <c r="G1197" s="990"/>
    </row>
    <row r="1198" spans="4:7" s="972" customFormat="1">
      <c r="D1198" s="988"/>
      <c r="E1198" s="989"/>
      <c r="G1198" s="990"/>
    </row>
    <row r="1199" spans="4:7" s="972" customFormat="1">
      <c r="D1199" s="988"/>
      <c r="E1199" s="989"/>
      <c r="G1199" s="990"/>
    </row>
    <row r="1200" spans="4:7" s="972" customFormat="1">
      <c r="D1200" s="988"/>
      <c r="E1200" s="989"/>
      <c r="G1200" s="990"/>
    </row>
    <row r="1201" spans="4:7" s="972" customFormat="1">
      <c r="D1201" s="988"/>
      <c r="E1201" s="989"/>
      <c r="G1201" s="990"/>
    </row>
    <row r="1202" spans="4:7" s="972" customFormat="1">
      <c r="D1202" s="988"/>
      <c r="E1202" s="989"/>
      <c r="G1202" s="990"/>
    </row>
    <row r="1203" spans="4:7" s="972" customFormat="1">
      <c r="D1203" s="988"/>
      <c r="E1203" s="989"/>
      <c r="G1203" s="990"/>
    </row>
    <row r="1204" spans="4:7" s="972" customFormat="1">
      <c r="D1204" s="988"/>
      <c r="E1204" s="989"/>
      <c r="G1204" s="990"/>
    </row>
    <row r="1205" spans="4:7" s="972" customFormat="1">
      <c r="D1205" s="988"/>
      <c r="E1205" s="989"/>
      <c r="G1205" s="990"/>
    </row>
    <row r="1206" spans="4:7" s="972" customFormat="1">
      <c r="D1206" s="988"/>
      <c r="E1206" s="989"/>
      <c r="G1206" s="990"/>
    </row>
    <row r="1207" spans="4:7" s="972" customFormat="1">
      <c r="D1207" s="988"/>
      <c r="E1207" s="989"/>
      <c r="G1207" s="990"/>
    </row>
    <row r="1208" spans="4:7" s="972" customFormat="1">
      <c r="D1208" s="988"/>
      <c r="E1208" s="989"/>
      <c r="G1208" s="990"/>
    </row>
    <row r="1209" spans="4:7" s="972" customFormat="1">
      <c r="D1209" s="988"/>
      <c r="E1209" s="989"/>
      <c r="G1209" s="990"/>
    </row>
    <row r="1210" spans="4:7" s="972" customFormat="1">
      <c r="D1210" s="988"/>
      <c r="E1210" s="989"/>
      <c r="G1210" s="990"/>
    </row>
    <row r="1211" spans="4:7" s="972" customFormat="1">
      <c r="D1211" s="988"/>
      <c r="E1211" s="989"/>
      <c r="G1211" s="990"/>
    </row>
    <row r="1212" spans="4:7" s="972" customFormat="1">
      <c r="D1212" s="988"/>
      <c r="E1212" s="989"/>
      <c r="G1212" s="990"/>
    </row>
    <row r="1213" spans="4:7" s="972" customFormat="1">
      <c r="D1213" s="988"/>
      <c r="E1213" s="989"/>
      <c r="G1213" s="990"/>
    </row>
    <row r="1214" spans="4:7" s="972" customFormat="1">
      <c r="D1214" s="988"/>
      <c r="E1214" s="989"/>
      <c r="G1214" s="990"/>
    </row>
    <row r="1215" spans="4:7" s="972" customFormat="1">
      <c r="D1215" s="988"/>
      <c r="E1215" s="989"/>
      <c r="G1215" s="990"/>
    </row>
    <row r="1216" spans="4:7" s="972" customFormat="1">
      <c r="D1216" s="988"/>
      <c r="E1216" s="989"/>
      <c r="G1216" s="990"/>
    </row>
    <row r="1217" spans="4:7" s="972" customFormat="1">
      <c r="D1217" s="988"/>
      <c r="E1217" s="989"/>
      <c r="G1217" s="990"/>
    </row>
    <row r="1218" spans="4:7" s="972" customFormat="1">
      <c r="D1218" s="988"/>
      <c r="E1218" s="989"/>
      <c r="G1218" s="990"/>
    </row>
    <row r="1219" spans="4:7" s="972" customFormat="1">
      <c r="D1219" s="988"/>
      <c r="E1219" s="989"/>
      <c r="G1219" s="990"/>
    </row>
    <row r="1220" spans="4:7" s="972" customFormat="1">
      <c r="D1220" s="988"/>
      <c r="E1220" s="989"/>
      <c r="G1220" s="990"/>
    </row>
    <row r="1221" spans="4:7" s="972" customFormat="1">
      <c r="D1221" s="988"/>
      <c r="E1221" s="989"/>
      <c r="G1221" s="990"/>
    </row>
    <row r="1222" spans="4:7" s="972" customFormat="1">
      <c r="D1222" s="988"/>
      <c r="E1222" s="989"/>
      <c r="G1222" s="990"/>
    </row>
    <row r="1223" spans="4:7" s="972" customFormat="1">
      <c r="D1223" s="988"/>
      <c r="E1223" s="989"/>
      <c r="G1223" s="990"/>
    </row>
    <row r="1224" spans="4:7" s="972" customFormat="1">
      <c r="D1224" s="988"/>
      <c r="E1224" s="989"/>
      <c r="G1224" s="990"/>
    </row>
    <row r="1225" spans="4:7" s="972" customFormat="1">
      <c r="D1225" s="988"/>
      <c r="E1225" s="989"/>
      <c r="G1225" s="990"/>
    </row>
    <row r="1226" spans="4:7" s="972" customFormat="1">
      <c r="D1226" s="988"/>
      <c r="E1226" s="989"/>
      <c r="G1226" s="990"/>
    </row>
    <row r="1227" spans="4:7" s="972" customFormat="1">
      <c r="D1227" s="988"/>
      <c r="E1227" s="989"/>
      <c r="G1227" s="990"/>
    </row>
    <row r="1228" spans="4:7" s="972" customFormat="1">
      <c r="D1228" s="988"/>
      <c r="E1228" s="989"/>
      <c r="G1228" s="990"/>
    </row>
    <row r="1229" spans="4:7" s="972" customFormat="1">
      <c r="D1229" s="988"/>
      <c r="E1229" s="989"/>
      <c r="G1229" s="990"/>
    </row>
    <row r="1230" spans="4:7" s="972" customFormat="1">
      <c r="D1230" s="988"/>
      <c r="E1230" s="989"/>
      <c r="G1230" s="990"/>
    </row>
    <row r="1231" spans="4:7" s="972" customFormat="1">
      <c r="D1231" s="988"/>
      <c r="E1231" s="989"/>
      <c r="G1231" s="990"/>
    </row>
    <row r="1232" spans="4:7" s="972" customFormat="1">
      <c r="D1232" s="988"/>
      <c r="E1232" s="989"/>
      <c r="G1232" s="990"/>
    </row>
    <row r="1233" spans="4:7" s="972" customFormat="1">
      <c r="D1233" s="988"/>
      <c r="E1233" s="989"/>
      <c r="G1233" s="990"/>
    </row>
    <row r="1234" spans="4:7" s="972" customFormat="1">
      <c r="D1234" s="988"/>
      <c r="E1234" s="989"/>
      <c r="G1234" s="990"/>
    </row>
    <row r="1235" spans="4:7" s="972" customFormat="1">
      <c r="D1235" s="988"/>
      <c r="E1235" s="989"/>
      <c r="G1235" s="990"/>
    </row>
    <row r="1236" spans="4:7" s="972" customFormat="1">
      <c r="D1236" s="988"/>
      <c r="E1236" s="989"/>
      <c r="G1236" s="990"/>
    </row>
    <row r="1237" spans="4:7" s="972" customFormat="1">
      <c r="D1237" s="988"/>
      <c r="E1237" s="989"/>
      <c r="G1237" s="990"/>
    </row>
    <row r="1238" spans="4:7" s="972" customFormat="1">
      <c r="D1238" s="988"/>
      <c r="E1238" s="989"/>
      <c r="G1238" s="990"/>
    </row>
    <row r="1239" spans="4:7" s="972" customFormat="1">
      <c r="D1239" s="988"/>
      <c r="E1239" s="989"/>
      <c r="G1239" s="990"/>
    </row>
    <row r="1240" spans="4:7" s="972" customFormat="1">
      <c r="D1240" s="988"/>
      <c r="E1240" s="989"/>
      <c r="G1240" s="990"/>
    </row>
    <row r="1241" spans="4:7" s="972" customFormat="1">
      <c r="D1241" s="988"/>
      <c r="E1241" s="989"/>
      <c r="G1241" s="990"/>
    </row>
    <row r="1242" spans="4:7" s="972" customFormat="1">
      <c r="D1242" s="988"/>
      <c r="E1242" s="989"/>
      <c r="G1242" s="990"/>
    </row>
    <row r="1243" spans="4:7" s="972" customFormat="1">
      <c r="D1243" s="988"/>
      <c r="E1243" s="989"/>
      <c r="G1243" s="990"/>
    </row>
    <row r="1244" spans="4:7" s="972" customFormat="1">
      <c r="D1244" s="988"/>
      <c r="E1244" s="989"/>
      <c r="G1244" s="990"/>
    </row>
    <row r="1245" spans="4:7" s="972" customFormat="1">
      <c r="D1245" s="988"/>
      <c r="E1245" s="989"/>
      <c r="G1245" s="990"/>
    </row>
    <row r="1246" spans="4:7" s="972" customFormat="1">
      <c r="D1246" s="988"/>
      <c r="E1246" s="989"/>
      <c r="G1246" s="990"/>
    </row>
    <row r="1247" spans="4:7" s="972" customFormat="1">
      <c r="D1247" s="988"/>
      <c r="E1247" s="989"/>
      <c r="G1247" s="990"/>
    </row>
    <row r="1248" spans="4:7" s="972" customFormat="1">
      <c r="D1248" s="988"/>
      <c r="E1248" s="989"/>
      <c r="G1248" s="990"/>
    </row>
    <row r="1249" spans="4:7" s="972" customFormat="1">
      <c r="D1249" s="988"/>
      <c r="E1249" s="989"/>
      <c r="G1249" s="990"/>
    </row>
    <row r="1250" spans="4:7" s="972" customFormat="1">
      <c r="D1250" s="988"/>
      <c r="E1250" s="989"/>
      <c r="G1250" s="990"/>
    </row>
    <row r="1251" spans="4:7" s="972" customFormat="1">
      <c r="D1251" s="988"/>
      <c r="E1251" s="989"/>
      <c r="G1251" s="990"/>
    </row>
    <row r="1252" spans="4:7" s="972" customFormat="1">
      <c r="D1252" s="988"/>
      <c r="E1252" s="989"/>
      <c r="G1252" s="990"/>
    </row>
    <row r="1253" spans="4:7" s="972" customFormat="1">
      <c r="D1253" s="988"/>
      <c r="E1253" s="989"/>
      <c r="G1253" s="990"/>
    </row>
    <row r="1254" spans="4:7" s="972" customFormat="1">
      <c r="D1254" s="988"/>
      <c r="E1254" s="989"/>
      <c r="G1254" s="990"/>
    </row>
    <row r="1255" spans="4:7" s="972" customFormat="1">
      <c r="D1255" s="988"/>
      <c r="E1255" s="989"/>
      <c r="G1255" s="990"/>
    </row>
    <row r="1256" spans="4:7" s="972" customFormat="1">
      <c r="D1256" s="988"/>
      <c r="E1256" s="989"/>
      <c r="G1256" s="990"/>
    </row>
    <row r="1257" spans="4:7" s="972" customFormat="1">
      <c r="D1257" s="988"/>
      <c r="E1257" s="989"/>
      <c r="G1257" s="990"/>
    </row>
    <row r="1258" spans="4:7" s="972" customFormat="1">
      <c r="D1258" s="988"/>
      <c r="E1258" s="989"/>
      <c r="G1258" s="990"/>
    </row>
    <row r="1259" spans="4:7" s="972" customFormat="1">
      <c r="D1259" s="988"/>
      <c r="E1259" s="989"/>
      <c r="G1259" s="990"/>
    </row>
    <row r="1260" spans="4:7" s="972" customFormat="1">
      <c r="D1260" s="988"/>
      <c r="E1260" s="989"/>
      <c r="G1260" s="990"/>
    </row>
    <row r="1261" spans="4:7" s="972" customFormat="1">
      <c r="D1261" s="988"/>
      <c r="E1261" s="989"/>
      <c r="G1261" s="990"/>
    </row>
    <row r="1262" spans="4:7" s="972" customFormat="1">
      <c r="D1262" s="988"/>
      <c r="E1262" s="989"/>
      <c r="G1262" s="990"/>
    </row>
    <row r="1263" spans="4:7" s="972" customFormat="1">
      <c r="D1263" s="988"/>
      <c r="E1263" s="989"/>
      <c r="G1263" s="990"/>
    </row>
    <row r="1264" spans="4:7" s="972" customFormat="1">
      <c r="D1264" s="988"/>
      <c r="E1264" s="989"/>
      <c r="G1264" s="990"/>
    </row>
    <row r="1265" spans="4:7" s="972" customFormat="1">
      <c r="D1265" s="988"/>
      <c r="E1265" s="989"/>
      <c r="G1265" s="990"/>
    </row>
    <row r="1266" spans="4:7" s="972" customFormat="1">
      <c r="D1266" s="988"/>
      <c r="E1266" s="989"/>
      <c r="G1266" s="990"/>
    </row>
    <row r="1267" spans="4:7" s="972" customFormat="1">
      <c r="D1267" s="988"/>
      <c r="E1267" s="989"/>
      <c r="G1267" s="990"/>
    </row>
    <row r="1268" spans="4:7" s="972" customFormat="1">
      <c r="D1268" s="988"/>
      <c r="E1268" s="989"/>
      <c r="G1268" s="990"/>
    </row>
    <row r="1269" spans="4:7" s="972" customFormat="1">
      <c r="D1269" s="988"/>
      <c r="E1269" s="989"/>
      <c r="G1269" s="990"/>
    </row>
    <row r="1270" spans="4:7" s="972" customFormat="1">
      <c r="D1270" s="988"/>
      <c r="E1270" s="989"/>
      <c r="G1270" s="990"/>
    </row>
    <row r="1271" spans="4:7" s="972" customFormat="1">
      <c r="D1271" s="988"/>
      <c r="E1271" s="989"/>
      <c r="G1271" s="990"/>
    </row>
    <row r="1272" spans="4:7" s="972" customFormat="1">
      <c r="D1272" s="988"/>
      <c r="E1272" s="989"/>
      <c r="G1272" s="990"/>
    </row>
    <row r="1273" spans="4:7" s="972" customFormat="1">
      <c r="D1273" s="988"/>
      <c r="E1273" s="989"/>
      <c r="G1273" s="990"/>
    </row>
    <row r="1274" spans="4:7" s="972" customFormat="1">
      <c r="D1274" s="988"/>
      <c r="E1274" s="989"/>
      <c r="G1274" s="990"/>
    </row>
    <row r="1275" spans="4:7" s="972" customFormat="1">
      <c r="D1275" s="988"/>
      <c r="E1275" s="989"/>
      <c r="G1275" s="990"/>
    </row>
    <row r="1276" spans="4:7" s="972" customFormat="1">
      <c r="D1276" s="988"/>
      <c r="E1276" s="989"/>
      <c r="G1276" s="990"/>
    </row>
    <row r="1277" spans="4:7" s="972" customFormat="1">
      <c r="D1277" s="988"/>
      <c r="E1277" s="989"/>
      <c r="G1277" s="990"/>
    </row>
    <row r="1278" spans="4:7" s="972" customFormat="1">
      <c r="D1278" s="988"/>
      <c r="E1278" s="989"/>
      <c r="G1278" s="990"/>
    </row>
    <row r="1279" spans="4:7" s="972" customFormat="1">
      <c r="D1279" s="988"/>
      <c r="E1279" s="989"/>
      <c r="G1279" s="990"/>
    </row>
    <row r="1280" spans="4:7" s="972" customFormat="1">
      <c r="D1280" s="988"/>
      <c r="E1280" s="989"/>
      <c r="G1280" s="990"/>
    </row>
    <row r="1281" spans="4:7" s="972" customFormat="1">
      <c r="D1281" s="988"/>
      <c r="E1281" s="989"/>
      <c r="G1281" s="990"/>
    </row>
    <row r="1282" spans="4:7" s="972" customFormat="1">
      <c r="D1282" s="988"/>
      <c r="E1282" s="989"/>
      <c r="G1282" s="990"/>
    </row>
    <row r="1283" spans="4:7" s="972" customFormat="1">
      <c r="D1283" s="988"/>
      <c r="E1283" s="989"/>
      <c r="G1283" s="990"/>
    </row>
    <row r="1284" spans="4:7" s="972" customFormat="1">
      <c r="D1284" s="988"/>
      <c r="E1284" s="989"/>
      <c r="G1284" s="990"/>
    </row>
    <row r="1285" spans="4:7" s="972" customFormat="1">
      <c r="D1285" s="988"/>
      <c r="E1285" s="989"/>
      <c r="G1285" s="990"/>
    </row>
    <row r="1286" spans="4:7" s="972" customFormat="1">
      <c r="D1286" s="988"/>
      <c r="E1286" s="989"/>
      <c r="G1286" s="990"/>
    </row>
    <row r="1287" spans="4:7" s="972" customFormat="1">
      <c r="D1287" s="988"/>
      <c r="E1287" s="989"/>
      <c r="G1287" s="990"/>
    </row>
    <row r="1288" spans="4:7" s="972" customFormat="1">
      <c r="D1288" s="988"/>
      <c r="E1288" s="989"/>
      <c r="G1288" s="990"/>
    </row>
    <row r="1289" spans="4:7" s="972" customFormat="1">
      <c r="D1289" s="988"/>
      <c r="E1289" s="989"/>
      <c r="G1289" s="990"/>
    </row>
    <row r="1290" spans="4:7" s="972" customFormat="1">
      <c r="D1290" s="988"/>
      <c r="E1290" s="989"/>
      <c r="G1290" s="990"/>
    </row>
    <row r="1291" spans="4:7" s="972" customFormat="1">
      <c r="D1291" s="988"/>
      <c r="E1291" s="989"/>
      <c r="G1291" s="990"/>
    </row>
    <row r="1292" spans="4:7" s="972" customFormat="1">
      <c r="D1292" s="988"/>
      <c r="E1292" s="989"/>
      <c r="G1292" s="990"/>
    </row>
    <row r="1293" spans="4:7" s="972" customFormat="1">
      <c r="D1293" s="988"/>
      <c r="E1293" s="989"/>
      <c r="G1293" s="990"/>
    </row>
    <row r="1294" spans="4:7" s="972" customFormat="1">
      <c r="D1294" s="988"/>
      <c r="E1294" s="989"/>
      <c r="G1294" s="990"/>
    </row>
    <row r="1295" spans="4:7" s="972" customFormat="1">
      <c r="D1295" s="988"/>
      <c r="E1295" s="989"/>
      <c r="G1295" s="990"/>
    </row>
    <row r="1296" spans="4:7" s="972" customFormat="1">
      <c r="D1296" s="988"/>
      <c r="E1296" s="989"/>
      <c r="G1296" s="990"/>
    </row>
    <row r="1297" spans="4:7" s="972" customFormat="1">
      <c r="D1297" s="988"/>
      <c r="E1297" s="989"/>
      <c r="G1297" s="990"/>
    </row>
    <row r="1298" spans="4:7" s="972" customFormat="1">
      <c r="D1298" s="988"/>
      <c r="E1298" s="989"/>
      <c r="G1298" s="990"/>
    </row>
    <row r="1299" spans="4:7" s="972" customFormat="1">
      <c r="D1299" s="988"/>
      <c r="E1299" s="989"/>
      <c r="G1299" s="990"/>
    </row>
    <row r="1300" spans="4:7" s="972" customFormat="1">
      <c r="D1300" s="988"/>
      <c r="E1300" s="989"/>
      <c r="G1300" s="990"/>
    </row>
    <row r="1301" spans="4:7" s="972" customFormat="1">
      <c r="D1301" s="988"/>
      <c r="E1301" s="989"/>
      <c r="G1301" s="990"/>
    </row>
    <row r="1302" spans="4:7" s="972" customFormat="1">
      <c r="D1302" s="988"/>
      <c r="E1302" s="989"/>
      <c r="G1302" s="990"/>
    </row>
    <row r="1303" spans="4:7" s="972" customFormat="1">
      <c r="D1303" s="988"/>
      <c r="E1303" s="989"/>
      <c r="G1303" s="990"/>
    </row>
    <row r="1304" spans="4:7" s="972" customFormat="1">
      <c r="D1304" s="988"/>
      <c r="E1304" s="989"/>
      <c r="G1304" s="990"/>
    </row>
    <row r="1305" spans="4:7" s="972" customFormat="1">
      <c r="D1305" s="988"/>
      <c r="E1305" s="989"/>
      <c r="G1305" s="990"/>
    </row>
    <row r="1306" spans="4:7" s="972" customFormat="1">
      <c r="D1306" s="988"/>
      <c r="E1306" s="989"/>
      <c r="G1306" s="990"/>
    </row>
    <row r="1307" spans="4:7" s="972" customFormat="1">
      <c r="D1307" s="988"/>
      <c r="E1307" s="989"/>
      <c r="G1307" s="990"/>
    </row>
    <row r="1308" spans="4:7" s="972" customFormat="1">
      <c r="D1308" s="988"/>
      <c r="E1308" s="989"/>
      <c r="G1308" s="990"/>
    </row>
    <row r="1309" spans="4:7" s="972" customFormat="1">
      <c r="D1309" s="988"/>
      <c r="E1309" s="989"/>
      <c r="G1309" s="990"/>
    </row>
    <row r="1310" spans="4:7" s="972" customFormat="1">
      <c r="D1310" s="988"/>
      <c r="E1310" s="989"/>
      <c r="G1310" s="990"/>
    </row>
    <row r="1311" spans="4:7" s="972" customFormat="1">
      <c r="D1311" s="988"/>
      <c r="E1311" s="989"/>
      <c r="G1311" s="990"/>
    </row>
    <row r="1312" spans="4:7" s="972" customFormat="1">
      <c r="D1312" s="988"/>
      <c r="E1312" s="989"/>
      <c r="G1312" s="990"/>
    </row>
    <row r="1313" spans="4:7" s="972" customFormat="1">
      <c r="D1313" s="988"/>
      <c r="E1313" s="989"/>
      <c r="G1313" s="990"/>
    </row>
    <row r="1314" spans="4:7" s="972" customFormat="1">
      <c r="D1314" s="988"/>
      <c r="E1314" s="989"/>
      <c r="G1314" s="990"/>
    </row>
    <row r="1315" spans="4:7" s="972" customFormat="1">
      <c r="D1315" s="988"/>
      <c r="E1315" s="989"/>
      <c r="G1315" s="990"/>
    </row>
    <row r="1316" spans="4:7" s="972" customFormat="1">
      <c r="D1316" s="988"/>
      <c r="E1316" s="989"/>
      <c r="G1316" s="990"/>
    </row>
    <row r="1317" spans="4:7" s="972" customFormat="1">
      <c r="D1317" s="988"/>
      <c r="E1317" s="989"/>
      <c r="G1317" s="990"/>
    </row>
    <row r="1318" spans="4:7" s="972" customFormat="1">
      <c r="D1318" s="988"/>
      <c r="E1318" s="989"/>
      <c r="G1318" s="990"/>
    </row>
    <row r="1319" spans="4:7" s="972" customFormat="1">
      <c r="D1319" s="988"/>
      <c r="E1319" s="989"/>
      <c r="G1319" s="990"/>
    </row>
    <row r="1320" spans="4:7" s="972" customFormat="1">
      <c r="D1320" s="988"/>
      <c r="E1320" s="989"/>
      <c r="G1320" s="990"/>
    </row>
    <row r="1321" spans="4:7" s="972" customFormat="1">
      <c r="D1321" s="988"/>
      <c r="E1321" s="989"/>
      <c r="G1321" s="990"/>
    </row>
    <row r="1322" spans="4:7" s="972" customFormat="1">
      <c r="D1322" s="988"/>
      <c r="E1322" s="989"/>
      <c r="G1322" s="990"/>
    </row>
    <row r="1323" spans="4:7" s="972" customFormat="1">
      <c r="D1323" s="988"/>
      <c r="E1323" s="989"/>
      <c r="G1323" s="990"/>
    </row>
    <row r="1324" spans="4:7" s="972" customFormat="1">
      <c r="D1324" s="988"/>
      <c r="E1324" s="989"/>
      <c r="G1324" s="990"/>
    </row>
    <row r="1325" spans="4:7" s="972" customFormat="1">
      <c r="D1325" s="988"/>
      <c r="E1325" s="989"/>
      <c r="G1325" s="990"/>
    </row>
    <row r="1326" spans="4:7" s="972" customFormat="1">
      <c r="D1326" s="988"/>
      <c r="E1326" s="989"/>
      <c r="G1326" s="990"/>
    </row>
    <row r="1327" spans="4:7" s="972" customFormat="1">
      <c r="D1327" s="988"/>
      <c r="E1327" s="989"/>
      <c r="G1327" s="990"/>
    </row>
    <row r="1328" spans="4:7" s="972" customFormat="1">
      <c r="D1328" s="988"/>
      <c r="E1328" s="989"/>
      <c r="G1328" s="990"/>
    </row>
    <row r="1329" spans="4:7" s="972" customFormat="1">
      <c r="D1329" s="988"/>
      <c r="E1329" s="989"/>
      <c r="G1329" s="990"/>
    </row>
    <row r="1330" spans="4:7" s="972" customFormat="1">
      <c r="D1330" s="988"/>
      <c r="E1330" s="989"/>
      <c r="G1330" s="990"/>
    </row>
    <row r="1331" spans="4:7" s="972" customFormat="1">
      <c r="D1331" s="988"/>
      <c r="E1331" s="989"/>
      <c r="G1331" s="990"/>
    </row>
    <row r="1332" spans="4:7" s="972" customFormat="1">
      <c r="D1332" s="988"/>
      <c r="E1332" s="989"/>
      <c r="G1332" s="990"/>
    </row>
    <row r="1333" spans="4:7" s="972" customFormat="1">
      <c r="D1333" s="988"/>
      <c r="E1333" s="989"/>
      <c r="G1333" s="990"/>
    </row>
    <row r="1334" spans="4:7" s="972" customFormat="1">
      <c r="D1334" s="988"/>
      <c r="E1334" s="989"/>
      <c r="G1334" s="990"/>
    </row>
    <row r="1335" spans="4:7" s="972" customFormat="1">
      <c r="D1335" s="988"/>
      <c r="E1335" s="989"/>
      <c r="G1335" s="990"/>
    </row>
    <row r="1336" spans="4:7" s="972" customFormat="1">
      <c r="D1336" s="988"/>
      <c r="E1336" s="989"/>
      <c r="G1336" s="990"/>
    </row>
    <row r="1337" spans="4:7" s="972" customFormat="1">
      <c r="D1337" s="988"/>
      <c r="E1337" s="989"/>
      <c r="G1337" s="990"/>
    </row>
    <row r="1338" spans="4:7" s="972" customFormat="1">
      <c r="D1338" s="988"/>
      <c r="E1338" s="989"/>
      <c r="G1338" s="990"/>
    </row>
    <row r="1339" spans="4:7" s="972" customFormat="1">
      <c r="D1339" s="988"/>
      <c r="E1339" s="989"/>
      <c r="G1339" s="990"/>
    </row>
    <row r="1340" spans="4:7" s="972" customFormat="1">
      <c r="D1340" s="988"/>
      <c r="E1340" s="989"/>
      <c r="G1340" s="990"/>
    </row>
    <row r="1341" spans="4:7" s="972" customFormat="1">
      <c r="D1341" s="988"/>
      <c r="E1341" s="989"/>
      <c r="G1341" s="990"/>
    </row>
    <row r="1342" spans="4:7" s="972" customFormat="1">
      <c r="D1342" s="988"/>
      <c r="E1342" s="989"/>
      <c r="G1342" s="990"/>
    </row>
    <row r="1343" spans="4:7" s="972" customFormat="1">
      <c r="D1343" s="988"/>
      <c r="E1343" s="989"/>
      <c r="G1343" s="990"/>
    </row>
    <row r="1344" spans="4:7" s="972" customFormat="1">
      <c r="D1344" s="988"/>
      <c r="E1344" s="989"/>
      <c r="G1344" s="990"/>
    </row>
    <row r="1345" spans="4:7" s="972" customFormat="1">
      <c r="D1345" s="988"/>
      <c r="E1345" s="989"/>
      <c r="G1345" s="990"/>
    </row>
    <row r="1346" spans="4:7" s="972" customFormat="1">
      <c r="D1346" s="988"/>
      <c r="E1346" s="989"/>
      <c r="G1346" s="990"/>
    </row>
    <row r="1347" spans="4:7" s="972" customFormat="1">
      <c r="D1347" s="988"/>
      <c r="E1347" s="989"/>
      <c r="G1347" s="990"/>
    </row>
    <row r="1348" spans="4:7" s="972" customFormat="1">
      <c r="D1348" s="988"/>
      <c r="E1348" s="989"/>
      <c r="G1348" s="990"/>
    </row>
    <row r="1349" spans="4:7" s="972" customFormat="1">
      <c r="D1349" s="988"/>
      <c r="E1349" s="989"/>
      <c r="G1349" s="990"/>
    </row>
    <row r="1350" spans="4:7" s="972" customFormat="1">
      <c r="D1350" s="988"/>
      <c r="E1350" s="989"/>
      <c r="G1350" s="990"/>
    </row>
    <row r="1351" spans="4:7" s="972" customFormat="1">
      <c r="D1351" s="988"/>
      <c r="E1351" s="989"/>
      <c r="G1351" s="990"/>
    </row>
    <row r="1352" spans="4:7" s="972" customFormat="1">
      <c r="D1352" s="988"/>
      <c r="E1352" s="989"/>
      <c r="G1352" s="990"/>
    </row>
    <row r="1353" spans="4:7" s="972" customFormat="1">
      <c r="D1353" s="988"/>
      <c r="E1353" s="989"/>
      <c r="G1353" s="990"/>
    </row>
    <row r="1354" spans="4:7" s="972" customFormat="1">
      <c r="D1354" s="988"/>
      <c r="E1354" s="989"/>
      <c r="G1354" s="990"/>
    </row>
    <row r="1355" spans="4:7" s="972" customFormat="1">
      <c r="D1355" s="988"/>
      <c r="E1355" s="989"/>
      <c r="G1355" s="990"/>
    </row>
    <row r="1356" spans="4:7" s="972" customFormat="1">
      <c r="D1356" s="988"/>
      <c r="E1356" s="989"/>
      <c r="G1356" s="990"/>
    </row>
    <row r="1357" spans="4:7" s="972" customFormat="1">
      <c r="D1357" s="988"/>
      <c r="E1357" s="989"/>
      <c r="G1357" s="990"/>
    </row>
    <row r="1358" spans="4:7" s="972" customFormat="1">
      <c r="D1358" s="988"/>
      <c r="E1358" s="989"/>
      <c r="G1358" s="990"/>
    </row>
    <row r="1359" spans="4:7" s="972" customFormat="1">
      <c r="D1359" s="988"/>
      <c r="E1359" s="989"/>
      <c r="G1359" s="990"/>
    </row>
    <row r="1360" spans="4:7" s="972" customFormat="1">
      <c r="D1360" s="988"/>
      <c r="E1360" s="989"/>
      <c r="G1360" s="990"/>
    </row>
    <row r="1361" spans="4:7" s="972" customFormat="1">
      <c r="D1361" s="988"/>
      <c r="E1361" s="989"/>
      <c r="G1361" s="990"/>
    </row>
    <row r="1362" spans="4:7" s="972" customFormat="1">
      <c r="D1362" s="988"/>
      <c r="E1362" s="989"/>
      <c r="G1362" s="990"/>
    </row>
    <row r="1363" spans="4:7" s="972" customFormat="1">
      <c r="D1363" s="988"/>
      <c r="E1363" s="989"/>
      <c r="G1363" s="990"/>
    </row>
    <row r="1364" spans="4:7" s="972" customFormat="1">
      <c r="D1364" s="988"/>
      <c r="E1364" s="989"/>
      <c r="G1364" s="990"/>
    </row>
    <row r="1365" spans="4:7" s="972" customFormat="1">
      <c r="D1365" s="988"/>
      <c r="E1365" s="989"/>
      <c r="G1365" s="990"/>
    </row>
    <row r="1366" spans="4:7" s="972" customFormat="1">
      <c r="D1366" s="988"/>
      <c r="E1366" s="989"/>
      <c r="G1366" s="990"/>
    </row>
    <row r="1367" spans="4:7" s="972" customFormat="1">
      <c r="D1367" s="988"/>
      <c r="E1367" s="989"/>
      <c r="G1367" s="990"/>
    </row>
    <row r="1368" spans="4:7" s="972" customFormat="1">
      <c r="D1368" s="988"/>
      <c r="E1368" s="989"/>
      <c r="G1368" s="990"/>
    </row>
    <row r="1369" spans="4:7" s="972" customFormat="1">
      <c r="D1369" s="988"/>
      <c r="E1369" s="989"/>
      <c r="G1369" s="990"/>
    </row>
    <row r="1370" spans="4:7" s="972" customFormat="1">
      <c r="D1370" s="988"/>
      <c r="E1370" s="989"/>
      <c r="G1370" s="990"/>
    </row>
    <row r="1371" spans="4:7" s="972" customFormat="1">
      <c r="D1371" s="988"/>
      <c r="E1371" s="989"/>
      <c r="G1371" s="990"/>
    </row>
    <row r="1372" spans="4:7" s="972" customFormat="1">
      <c r="D1372" s="988"/>
      <c r="E1372" s="989"/>
      <c r="G1372" s="990"/>
    </row>
    <row r="1373" spans="4:7" s="972" customFormat="1">
      <c r="D1373" s="988"/>
      <c r="E1373" s="989"/>
      <c r="G1373" s="990"/>
    </row>
    <row r="1374" spans="4:7" s="972" customFormat="1">
      <c r="D1374" s="988"/>
      <c r="E1374" s="989"/>
      <c r="G1374" s="990"/>
    </row>
    <row r="1375" spans="4:7" s="972" customFormat="1">
      <c r="D1375" s="988"/>
      <c r="E1375" s="989"/>
      <c r="G1375" s="990"/>
    </row>
    <row r="1376" spans="4:7" s="972" customFormat="1">
      <c r="D1376" s="988"/>
      <c r="E1376" s="989"/>
      <c r="G1376" s="990"/>
    </row>
    <row r="1377" spans="4:7" s="972" customFormat="1">
      <c r="D1377" s="988"/>
      <c r="E1377" s="989"/>
      <c r="G1377" s="990"/>
    </row>
    <row r="1378" spans="4:7" s="972" customFormat="1">
      <c r="D1378" s="988"/>
      <c r="E1378" s="989"/>
      <c r="G1378" s="990"/>
    </row>
    <row r="1379" spans="4:7" s="972" customFormat="1">
      <c r="D1379" s="988"/>
      <c r="E1379" s="989"/>
      <c r="G1379" s="990"/>
    </row>
    <row r="1380" spans="4:7" s="972" customFormat="1">
      <c r="D1380" s="988"/>
      <c r="E1380" s="989"/>
      <c r="G1380" s="990"/>
    </row>
    <row r="1381" spans="4:7" s="972" customFormat="1">
      <c r="D1381" s="988"/>
      <c r="E1381" s="989"/>
      <c r="G1381" s="990"/>
    </row>
    <row r="1382" spans="4:7" s="972" customFormat="1">
      <c r="D1382" s="988"/>
      <c r="E1382" s="989"/>
      <c r="G1382" s="990"/>
    </row>
    <row r="1383" spans="4:7" s="972" customFormat="1">
      <c r="D1383" s="988"/>
      <c r="E1383" s="989"/>
      <c r="G1383" s="990"/>
    </row>
    <row r="1384" spans="4:7" s="972" customFormat="1">
      <c r="D1384" s="988"/>
      <c r="E1384" s="989"/>
      <c r="G1384" s="990"/>
    </row>
    <row r="1385" spans="4:7" s="972" customFormat="1">
      <c r="D1385" s="988"/>
      <c r="E1385" s="989"/>
      <c r="G1385" s="990"/>
    </row>
    <row r="1386" spans="4:7" s="972" customFormat="1">
      <c r="D1386" s="988"/>
      <c r="E1386" s="989"/>
      <c r="G1386" s="990"/>
    </row>
    <row r="1387" spans="4:7" s="972" customFormat="1">
      <c r="D1387" s="988"/>
      <c r="E1387" s="989"/>
      <c r="G1387" s="990"/>
    </row>
    <row r="1388" spans="4:7" s="972" customFormat="1">
      <c r="D1388" s="988"/>
      <c r="E1388" s="989"/>
      <c r="G1388" s="990"/>
    </row>
    <row r="1389" spans="4:7" s="972" customFormat="1">
      <c r="D1389" s="988"/>
      <c r="E1389" s="989"/>
      <c r="G1389" s="990"/>
    </row>
    <row r="1390" spans="4:7" s="972" customFormat="1">
      <c r="D1390" s="988"/>
      <c r="E1390" s="989"/>
      <c r="G1390" s="990"/>
    </row>
    <row r="1391" spans="4:7" s="972" customFormat="1">
      <c r="D1391" s="988"/>
      <c r="E1391" s="989"/>
      <c r="G1391" s="990"/>
    </row>
    <row r="1392" spans="4:7" s="972" customFormat="1">
      <c r="D1392" s="988"/>
      <c r="E1392" s="989"/>
      <c r="G1392" s="990"/>
    </row>
    <row r="1393" spans="4:7" s="972" customFormat="1">
      <c r="D1393" s="988"/>
      <c r="E1393" s="989"/>
      <c r="G1393" s="990"/>
    </row>
    <row r="1394" spans="4:7" s="972" customFormat="1">
      <c r="D1394" s="988"/>
      <c r="E1394" s="989"/>
      <c r="G1394" s="990"/>
    </row>
    <row r="1395" spans="4:7" s="972" customFormat="1">
      <c r="D1395" s="988"/>
      <c r="E1395" s="989"/>
      <c r="G1395" s="990"/>
    </row>
    <row r="1396" spans="4:7" s="972" customFormat="1">
      <c r="D1396" s="988"/>
      <c r="E1396" s="989"/>
      <c r="G1396" s="990"/>
    </row>
    <row r="1397" spans="4:7" s="972" customFormat="1">
      <c r="D1397" s="988"/>
      <c r="E1397" s="989"/>
      <c r="G1397" s="990"/>
    </row>
    <row r="1398" spans="4:7" s="972" customFormat="1">
      <c r="D1398" s="988"/>
      <c r="E1398" s="989"/>
      <c r="G1398" s="990"/>
    </row>
    <row r="1399" spans="4:7" s="972" customFormat="1">
      <c r="D1399" s="988"/>
      <c r="E1399" s="989"/>
      <c r="G1399" s="990"/>
    </row>
    <row r="1400" spans="4:7" s="972" customFormat="1">
      <c r="D1400" s="988"/>
      <c r="E1400" s="989"/>
      <c r="G1400" s="990"/>
    </row>
    <row r="1401" spans="4:7" s="972" customFormat="1">
      <c r="D1401" s="988"/>
      <c r="E1401" s="989"/>
      <c r="G1401" s="990"/>
    </row>
    <row r="1402" spans="4:7" s="972" customFormat="1">
      <c r="D1402" s="988"/>
      <c r="E1402" s="989"/>
      <c r="G1402" s="990"/>
    </row>
    <row r="1403" spans="4:7" s="972" customFormat="1">
      <c r="D1403" s="988"/>
      <c r="E1403" s="989"/>
      <c r="G1403" s="990"/>
    </row>
    <row r="1404" spans="4:7" s="972" customFormat="1">
      <c r="D1404" s="988"/>
      <c r="E1404" s="989"/>
      <c r="G1404" s="990"/>
    </row>
    <row r="1405" spans="4:7" s="972" customFormat="1">
      <c r="D1405" s="988"/>
      <c r="E1405" s="989"/>
      <c r="G1405" s="990"/>
    </row>
    <row r="1406" spans="4:7" s="972" customFormat="1">
      <c r="D1406" s="988"/>
      <c r="E1406" s="989"/>
      <c r="G1406" s="990"/>
    </row>
    <row r="1407" spans="4:7" s="972" customFormat="1">
      <c r="D1407" s="988"/>
      <c r="E1407" s="989"/>
      <c r="G1407" s="990"/>
    </row>
    <row r="1408" spans="4:7" s="972" customFormat="1">
      <c r="D1408" s="988"/>
      <c r="E1408" s="989"/>
      <c r="G1408" s="990"/>
    </row>
    <row r="1409" spans="4:7" s="972" customFormat="1">
      <c r="D1409" s="988"/>
      <c r="E1409" s="989"/>
      <c r="G1409" s="990"/>
    </row>
    <row r="1410" spans="4:7" s="972" customFormat="1">
      <c r="D1410" s="988"/>
      <c r="E1410" s="989"/>
      <c r="G1410" s="990"/>
    </row>
    <row r="1411" spans="4:7" s="972" customFormat="1">
      <c r="D1411" s="988"/>
      <c r="E1411" s="989"/>
      <c r="G1411" s="990"/>
    </row>
    <row r="1412" spans="4:7" s="972" customFormat="1">
      <c r="D1412" s="988"/>
      <c r="E1412" s="989"/>
      <c r="G1412" s="990"/>
    </row>
    <row r="1413" spans="4:7" s="972" customFormat="1">
      <c r="D1413" s="988"/>
      <c r="E1413" s="989"/>
      <c r="G1413" s="990"/>
    </row>
    <row r="1414" spans="4:7" s="972" customFormat="1">
      <c r="D1414" s="988"/>
      <c r="E1414" s="989"/>
      <c r="G1414" s="990"/>
    </row>
    <row r="1415" spans="4:7" s="972" customFormat="1">
      <c r="D1415" s="988"/>
      <c r="E1415" s="989"/>
      <c r="G1415" s="990"/>
    </row>
    <row r="1416" spans="4:7" s="972" customFormat="1">
      <c r="D1416" s="988"/>
      <c r="E1416" s="989"/>
      <c r="G1416" s="990"/>
    </row>
    <row r="1417" spans="4:7" s="972" customFormat="1">
      <c r="D1417" s="988"/>
      <c r="E1417" s="989"/>
      <c r="G1417" s="990"/>
    </row>
    <row r="1418" spans="4:7" s="972" customFormat="1">
      <c r="D1418" s="988"/>
      <c r="E1418" s="989"/>
      <c r="G1418" s="990"/>
    </row>
    <row r="1419" spans="4:7" s="972" customFormat="1">
      <c r="D1419" s="988"/>
      <c r="E1419" s="989"/>
      <c r="G1419" s="990"/>
    </row>
    <row r="1420" spans="4:7" s="972" customFormat="1">
      <c r="D1420" s="988"/>
      <c r="E1420" s="989"/>
      <c r="G1420" s="990"/>
    </row>
    <row r="1421" spans="4:7" s="972" customFormat="1">
      <c r="D1421" s="988"/>
      <c r="E1421" s="989"/>
      <c r="G1421" s="990"/>
    </row>
    <row r="1422" spans="4:7" s="972" customFormat="1">
      <c r="D1422" s="988"/>
      <c r="E1422" s="989"/>
      <c r="G1422" s="990"/>
    </row>
    <row r="1423" spans="4:7" s="972" customFormat="1">
      <c r="D1423" s="988"/>
      <c r="E1423" s="989"/>
      <c r="G1423" s="990"/>
    </row>
    <row r="1424" spans="4:7" s="972" customFormat="1">
      <c r="D1424" s="988"/>
      <c r="E1424" s="989"/>
      <c r="G1424" s="990"/>
    </row>
    <row r="1425" spans="4:17" s="972" customFormat="1">
      <c r="D1425" s="988"/>
      <c r="E1425" s="989"/>
      <c r="G1425" s="990"/>
    </row>
    <row r="1426" spans="4:17" s="972" customFormat="1">
      <c r="D1426" s="988"/>
      <c r="E1426" s="989"/>
      <c r="G1426" s="990"/>
    </row>
    <row r="1427" spans="4:17" s="972" customFormat="1">
      <c r="D1427" s="988"/>
      <c r="E1427" s="989"/>
      <c r="G1427" s="990"/>
    </row>
    <row r="1428" spans="4:17" s="972" customFormat="1">
      <c r="D1428" s="988"/>
      <c r="E1428" s="989"/>
      <c r="G1428" s="990"/>
    </row>
    <row r="1429" spans="4:17" s="972" customFormat="1">
      <c r="D1429" s="988"/>
      <c r="E1429" s="989"/>
      <c r="G1429" s="990"/>
      <c r="O1429" s="379"/>
    </row>
    <row r="1430" spans="4:17" s="972" customFormat="1">
      <c r="D1430" s="988"/>
      <c r="E1430" s="989"/>
      <c r="G1430" s="990"/>
      <c r="O1430" s="379"/>
    </row>
    <row r="1431" spans="4:17" s="972" customFormat="1">
      <c r="D1431" s="988"/>
      <c r="E1431" s="989"/>
      <c r="G1431" s="990"/>
      <c r="O1431" s="379"/>
      <c r="P1431" s="379"/>
      <c r="Q1431" s="379"/>
    </row>
    <row r="1432" spans="4:17" s="972" customFormat="1">
      <c r="D1432" s="988"/>
      <c r="E1432" s="989"/>
      <c r="G1432" s="990"/>
      <c r="O1432" s="379"/>
      <c r="P1432" s="379"/>
      <c r="Q1432" s="379"/>
    </row>
    <row r="1433" spans="4:17">
      <c r="L1433" s="972"/>
    </row>
    <row r="1434" spans="4:17">
      <c r="L1434" s="972"/>
    </row>
    <row r="1435" spans="4:17">
      <c r="L1435" s="972"/>
    </row>
    <row r="1436" spans="4:17">
      <c r="D1436" s="379"/>
    </row>
    <row r="1441" spans="4:11">
      <c r="D1441" s="379"/>
    </row>
    <row r="1442" spans="4:11">
      <c r="D1442" s="379"/>
    </row>
    <row r="1443" spans="4:11">
      <c r="D1443" s="379"/>
      <c r="K1443" s="379"/>
    </row>
    <row r="1445" spans="4:11">
      <c r="D1445" s="379"/>
    </row>
    <row r="1447" spans="4:11">
      <c r="D1447" s="379"/>
    </row>
    <row r="1450" spans="4:11">
      <c r="D1450" s="379"/>
      <c r="K1450" s="379"/>
    </row>
    <row r="1451" spans="4:11">
      <c r="D1451" s="379"/>
    </row>
    <row r="1456" spans="4:11">
      <c r="D1456" s="379"/>
      <c r="K1456" s="379"/>
    </row>
    <row r="1465" spans="4:11">
      <c r="D1465" s="379"/>
      <c r="K1465" s="379"/>
    </row>
  </sheetData>
  <autoFilter ref="A260:XFD313"/>
  <mergeCells count="69">
    <mergeCell ref="A1:K1"/>
    <mergeCell ref="A2:I2"/>
    <mergeCell ref="B5:B9"/>
    <mergeCell ref="B10:B13"/>
    <mergeCell ref="B19:B20"/>
    <mergeCell ref="B21:B23"/>
    <mergeCell ref="B27:B28"/>
    <mergeCell ref="B29:B31"/>
    <mergeCell ref="B37:B39"/>
    <mergeCell ref="B40:B42"/>
    <mergeCell ref="B43:B46"/>
    <mergeCell ref="B47:B48"/>
    <mergeCell ref="B49:B50"/>
    <mergeCell ref="B51:B52"/>
    <mergeCell ref="B53:B54"/>
    <mergeCell ref="B57:B60"/>
    <mergeCell ref="A66:K66"/>
    <mergeCell ref="A67:I67"/>
    <mergeCell ref="B70:B72"/>
    <mergeCell ref="B73:B78"/>
    <mergeCell ref="B82:B85"/>
    <mergeCell ref="B86:B89"/>
    <mergeCell ref="B93:B98"/>
    <mergeCell ref="B101:B103"/>
    <mergeCell ref="B104:B105"/>
    <mergeCell ref="B106:B107"/>
    <mergeCell ref="A111:K111"/>
    <mergeCell ref="A112:I112"/>
    <mergeCell ref="B115:B124"/>
    <mergeCell ref="B125:B127"/>
    <mergeCell ref="B130:B135"/>
    <mergeCell ref="B138:B139"/>
    <mergeCell ref="B140:B142"/>
    <mergeCell ref="B143:B145"/>
    <mergeCell ref="B149:B154"/>
    <mergeCell ref="B160:B165"/>
    <mergeCell ref="B166:B169"/>
    <mergeCell ref="B174:B176"/>
    <mergeCell ref="B177:B179"/>
    <mergeCell ref="B180:B182"/>
    <mergeCell ref="B184:B186"/>
    <mergeCell ref="B187:B190"/>
    <mergeCell ref="A194:K194"/>
    <mergeCell ref="A195:I195"/>
    <mergeCell ref="B198:B202"/>
    <mergeCell ref="B203:B205"/>
    <mergeCell ref="B206:B209"/>
    <mergeCell ref="B210:B211"/>
    <mergeCell ref="B215:B221"/>
    <mergeCell ref="B222:B224"/>
    <mergeCell ref="B229:B232"/>
    <mergeCell ref="B233:B237"/>
    <mergeCell ref="B238:B239"/>
    <mergeCell ref="B240:B242"/>
    <mergeCell ref="B245:B251"/>
    <mergeCell ref="B253:B255"/>
    <mergeCell ref="B256:B257"/>
    <mergeCell ref="B261:B264"/>
    <mergeCell ref="B265:B266"/>
    <mergeCell ref="B268:B270"/>
    <mergeCell ref="B292:B295"/>
    <mergeCell ref="B296:B299"/>
    <mergeCell ref="B300:B301"/>
    <mergeCell ref="B302:B305"/>
    <mergeCell ref="B271:B272"/>
    <mergeCell ref="B275:B280"/>
    <mergeCell ref="B281:B283"/>
    <mergeCell ref="B284:B286"/>
    <mergeCell ref="B287:B288"/>
  </mergeCells>
  <printOptions horizontalCentered="1"/>
  <pageMargins left="0" right="0" top="0.118055555555556" bottom="0" header="0.51180555555555496" footer="0.51180555555555496"/>
  <pageSetup paperSize="9" scale="55" firstPageNumber="0" orientation="portrait" horizontalDpi="300" verticalDpi="300"/>
  <rowBreaks count="4" manualBreakCount="4">
    <brk id="65" max="16383" man="1"/>
    <brk id="110" max="16383" man="1"/>
    <brk id="193" max="16383" man="1"/>
    <brk id="273" max="16383" man="1"/>
  </row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66"/>
  <sheetViews>
    <sheetView zoomScaleNormal="100" workbookViewId="0">
      <selection activeCell="K21" sqref="K21"/>
    </sheetView>
  </sheetViews>
  <sheetFormatPr defaultRowHeight="15"/>
  <cols>
    <col min="1" max="1" width="4.5703125" customWidth="1"/>
    <col min="2" max="2" width="23.42578125" customWidth="1"/>
    <col min="3" max="3" width="28.140625" customWidth="1"/>
    <col min="4" max="4" width="13.28515625" customWidth="1"/>
    <col min="5" max="5" width="14.7109375" customWidth="1"/>
    <col min="6" max="6" width="11.7109375" customWidth="1"/>
    <col min="7" max="8" width="9.140625" customWidth="1"/>
    <col min="9" max="9" width="11.5703125" customWidth="1"/>
    <col min="10" max="10" width="10" customWidth="1"/>
    <col min="11" max="11" width="9.140625" customWidth="1"/>
    <col min="12" max="12" width="10.5703125" hidden="1" customWidth="1"/>
    <col min="13" max="13" width="12.7109375" customWidth="1"/>
    <col min="14" max="15" width="9.5703125" customWidth="1"/>
    <col min="16" max="1025" width="8.7109375" customWidth="1"/>
  </cols>
  <sheetData>
    <row r="1" spans="1:13">
      <c r="A1" s="1366">
        <v>45351</v>
      </c>
      <c r="B1" s="1366"/>
      <c r="C1" s="1366"/>
      <c r="D1" s="1366"/>
      <c r="E1" s="1366"/>
      <c r="F1" s="1366"/>
      <c r="G1" s="1366"/>
    </row>
    <row r="2" spans="1:13">
      <c r="A2" s="1367" t="s">
        <v>2523</v>
      </c>
      <c r="B2" s="1367"/>
      <c r="C2" s="1367"/>
      <c r="D2" s="1367"/>
      <c r="E2" s="1367"/>
      <c r="F2" s="1367"/>
      <c r="G2" s="1367"/>
    </row>
    <row r="3" spans="1:13">
      <c r="A3" s="1367" t="s">
        <v>2524</v>
      </c>
      <c r="B3" s="1367"/>
      <c r="C3" s="1367"/>
      <c r="D3" s="1367"/>
      <c r="E3" s="1367"/>
      <c r="F3" s="1367"/>
      <c r="G3" s="1367"/>
    </row>
    <row r="4" spans="1:13">
      <c r="A4" s="1367" t="s">
        <v>2525</v>
      </c>
      <c r="B4" s="1367"/>
      <c r="C4" s="1367"/>
      <c r="D4" s="1367"/>
      <c r="E4" s="1367"/>
      <c r="F4" s="1367"/>
      <c r="G4" s="1367"/>
    </row>
    <row r="5" spans="1:13" ht="31.5">
      <c r="A5" s="995" t="s">
        <v>2526</v>
      </c>
      <c r="B5" s="995" t="s">
        <v>2527</v>
      </c>
      <c r="C5" s="995" t="s">
        <v>2528</v>
      </c>
      <c r="D5" s="996" t="s">
        <v>2529</v>
      </c>
      <c r="E5" s="996" t="s">
        <v>2530</v>
      </c>
      <c r="F5" s="354" t="s">
        <v>2531</v>
      </c>
      <c r="G5" s="354" t="s">
        <v>2532</v>
      </c>
    </row>
    <row r="6" spans="1:13" ht="15.75">
      <c r="A6" s="997"/>
      <c r="B6" s="997"/>
      <c r="C6" s="998"/>
      <c r="D6" s="999"/>
      <c r="E6" s="999"/>
      <c r="F6" s="133"/>
      <c r="G6" s="133"/>
    </row>
    <row r="7" spans="1:13" ht="15.75" customHeight="1">
      <c r="A7" s="1368">
        <v>1</v>
      </c>
      <c r="B7" s="1360" t="s">
        <v>156</v>
      </c>
      <c r="C7" s="1001" t="s">
        <v>2533</v>
      </c>
      <c r="D7" s="1002">
        <v>204837.89</v>
      </c>
      <c r="E7" s="1002"/>
      <c r="F7" s="133">
        <v>18118.009999999998</v>
      </c>
      <c r="G7" s="133">
        <v>1.6</v>
      </c>
      <c r="I7" t="s">
        <v>2534</v>
      </c>
      <c r="K7" t="s">
        <v>2535</v>
      </c>
    </row>
    <row r="8" spans="1:13" ht="15.75">
      <c r="A8" s="1368"/>
      <c r="B8" s="1360"/>
      <c r="C8" s="1001" t="s">
        <v>2536</v>
      </c>
      <c r="D8" s="1002">
        <v>1475882.81</v>
      </c>
      <c r="E8" s="1002"/>
      <c r="F8" s="133"/>
      <c r="G8" s="133"/>
      <c r="M8" t="s">
        <v>2537</v>
      </c>
    </row>
    <row r="9" spans="1:13" ht="15.75">
      <c r="A9" s="1368"/>
      <c r="B9" s="1360"/>
      <c r="C9" s="1001" t="s">
        <v>2538</v>
      </c>
      <c r="D9" s="1002"/>
      <c r="E9" s="1002">
        <v>837240.23</v>
      </c>
      <c r="F9" s="133">
        <f t="shared" ref="F9:F72" si="0">D9+E9</f>
        <v>837240.23</v>
      </c>
      <c r="G9" s="133"/>
      <c r="I9" s="87">
        <v>1505220.7</v>
      </c>
      <c r="J9" t="s">
        <v>1370</v>
      </c>
      <c r="K9">
        <f>VLOOKUP(J9,Sheet27!C:J,8,0)</f>
        <v>1489000</v>
      </c>
      <c r="L9" s="87">
        <f>I9/K9</f>
        <v>1.0108936870382808</v>
      </c>
      <c r="M9">
        <f>(I9-K9)/K9*100</f>
        <v>1.0893687038280693</v>
      </c>
    </row>
    <row r="10" spans="1:13" ht="15.75">
      <c r="A10" s="1368"/>
      <c r="B10" s="1360"/>
      <c r="C10" s="1001" t="s">
        <v>2539</v>
      </c>
      <c r="D10" s="1002"/>
      <c r="E10" s="1002">
        <v>648437.5</v>
      </c>
      <c r="F10" s="133">
        <f t="shared" si="0"/>
        <v>648437.5</v>
      </c>
      <c r="G10" s="133"/>
      <c r="I10" s="87">
        <v>903242.19</v>
      </c>
      <c r="J10" t="s">
        <v>1366</v>
      </c>
      <c r="K10">
        <f>VLOOKUP(J10,Sheet27!C:J,8,0)</f>
        <v>900971.08089999994</v>
      </c>
      <c r="L10" s="87">
        <f>I10/K10</f>
        <v>1.0025207347362708</v>
      </c>
      <c r="M10">
        <f>(I10-K10)/K10*100</f>
        <v>0.25207347362707139</v>
      </c>
    </row>
    <row r="11" spans="1:13" ht="15.75">
      <c r="A11" s="1368"/>
      <c r="B11" s="1360"/>
      <c r="C11" s="1001" t="s">
        <v>2540</v>
      </c>
      <c r="D11" s="1002"/>
      <c r="E11" s="1002">
        <v>123539.06</v>
      </c>
      <c r="F11" s="133">
        <f t="shared" si="0"/>
        <v>123539.06</v>
      </c>
      <c r="G11" s="133"/>
      <c r="I11" s="87">
        <v>192720.7</v>
      </c>
      <c r="J11" t="s">
        <v>1367</v>
      </c>
      <c r="K11">
        <f>VLOOKUP(J11,Sheet27!C:J,8,0)</f>
        <v>190200.00000001164</v>
      </c>
      <c r="L11" s="87">
        <f>I11/K11</f>
        <v>1.0132528916928929</v>
      </c>
      <c r="M11">
        <f>(I11-K11)/K11*100</f>
        <v>1.3252891692892828</v>
      </c>
    </row>
    <row r="12" spans="1:13" ht="15.75">
      <c r="A12" s="1368"/>
      <c r="B12" s="1360"/>
      <c r="C12" s="1001" t="s">
        <v>1609</v>
      </c>
      <c r="D12" s="1002"/>
      <c r="E12" s="1002">
        <v>56439.99</v>
      </c>
      <c r="F12" s="133">
        <f t="shared" si="0"/>
        <v>56439.99</v>
      </c>
      <c r="G12" s="133"/>
      <c r="I12" s="87">
        <v>69559.98</v>
      </c>
      <c r="J12" t="s">
        <v>1369</v>
      </c>
      <c r="K12">
        <f>VLOOKUP(J12,Sheet27!C:J,8,0)</f>
        <v>70199.999999999825</v>
      </c>
      <c r="L12" s="87">
        <f>I12/K12</f>
        <v>0.9908829059829084</v>
      </c>
      <c r="M12">
        <f>(I12-K12)/K12*100</f>
        <v>-0.91170940170916104</v>
      </c>
    </row>
    <row r="13" spans="1:13" ht="15.75">
      <c r="A13" s="1368"/>
      <c r="B13" s="1360"/>
      <c r="C13" s="1001" t="s">
        <v>2541</v>
      </c>
      <c r="D13" s="1002"/>
      <c r="E13" s="1002">
        <v>20799.810000000001</v>
      </c>
      <c r="F13" s="133">
        <f t="shared" si="0"/>
        <v>20799.810000000001</v>
      </c>
      <c r="G13" s="133"/>
      <c r="I13" s="87">
        <v>28640.15</v>
      </c>
      <c r="J13" t="s">
        <v>1372</v>
      </c>
      <c r="K13">
        <f>VLOOKUP(J13,Sheet27!C:J,8,0)</f>
        <v>28345.958000000021</v>
      </c>
      <c r="L13" s="87">
        <f>I13/K13</f>
        <v>1.0103786225888001</v>
      </c>
      <c r="M13">
        <f>(I13-K13)/K13*100</f>
        <v>1.0378622588800164</v>
      </c>
    </row>
    <row r="14" spans="1:13" ht="15.75">
      <c r="A14" s="1368"/>
      <c r="B14" s="1360"/>
      <c r="C14" s="1000" t="s">
        <v>71</v>
      </c>
      <c r="D14" s="1003">
        <v>1680720.7</v>
      </c>
      <c r="E14" s="1003">
        <v>1686456.59</v>
      </c>
      <c r="F14" s="133">
        <f t="shared" si="0"/>
        <v>3367177.29</v>
      </c>
      <c r="G14" s="133"/>
      <c r="I14" s="87">
        <v>2699383.72</v>
      </c>
      <c r="K14" t="e">
        <f>VLOOKUP(J14,Sheet27!C:J,8,0)</f>
        <v>#N/A</v>
      </c>
      <c r="L14" s="87"/>
    </row>
    <row r="15" spans="1:13" ht="15.75">
      <c r="A15" s="1001"/>
      <c r="B15" s="1004"/>
      <c r="C15" s="1001"/>
      <c r="D15" s="1002"/>
      <c r="E15" s="1002"/>
      <c r="F15" s="133">
        <f t="shared" si="0"/>
        <v>0</v>
      </c>
      <c r="G15" s="133"/>
      <c r="I15" s="87" t="e">
        <f>#N/A</f>
        <v>#N/A</v>
      </c>
      <c r="K15" t="e">
        <f>VLOOKUP(J15,Sheet27!C:J,8,0)</f>
        <v>#N/A</v>
      </c>
      <c r="L15" s="87"/>
    </row>
    <row r="16" spans="1:13" ht="15.75" customHeight="1">
      <c r="A16" s="1368">
        <v>2</v>
      </c>
      <c r="B16" s="1360" t="s">
        <v>928</v>
      </c>
      <c r="C16" s="1001" t="s">
        <v>2533</v>
      </c>
      <c r="D16" s="1002">
        <v>468720.7</v>
      </c>
      <c r="E16" s="1002"/>
      <c r="F16" s="133">
        <f t="shared" si="0"/>
        <v>468720.7</v>
      </c>
      <c r="G16" s="133">
        <v>1.06</v>
      </c>
      <c r="I16" s="87">
        <v>0</v>
      </c>
      <c r="K16" t="e">
        <f>VLOOKUP(J16,Sheet27!C:J,8,0)</f>
        <v>#N/A</v>
      </c>
      <c r="L16" s="87"/>
    </row>
    <row r="17" spans="1:13" ht="15.75">
      <c r="A17" s="1368"/>
      <c r="B17" s="1360"/>
      <c r="C17" s="1001" t="s">
        <v>2542</v>
      </c>
      <c r="D17" s="1002">
        <v>570837.89</v>
      </c>
      <c r="E17" s="1002"/>
      <c r="F17" s="133">
        <f t="shared" si="0"/>
        <v>570837.89</v>
      </c>
      <c r="G17" s="133"/>
      <c r="I17" s="87">
        <v>0</v>
      </c>
      <c r="K17" t="e">
        <f>VLOOKUP(J17,Sheet27!C:J,8,0)</f>
        <v>#N/A</v>
      </c>
      <c r="L17" s="87"/>
    </row>
    <row r="18" spans="1:13" ht="15.75">
      <c r="A18" s="1368"/>
      <c r="B18" s="1360"/>
      <c r="C18" s="1001" t="s">
        <v>2543</v>
      </c>
      <c r="D18" s="1002"/>
      <c r="E18" s="1002">
        <v>411120.11</v>
      </c>
      <c r="F18" s="133">
        <f t="shared" si="0"/>
        <v>411120.11</v>
      </c>
      <c r="G18" s="133"/>
      <c r="I18" s="87">
        <v>419879.88</v>
      </c>
      <c r="J18" t="s">
        <v>335</v>
      </c>
      <c r="K18">
        <f>VLOOKUP(J18,Sheet27!C:J,8,0)</f>
        <v>419000</v>
      </c>
      <c r="L18" s="87">
        <f>I18/K18</f>
        <v>1.0020999522673031</v>
      </c>
      <c r="M18">
        <f t="shared" ref="M18:M81" si="1">(I18-K18)/K18*100</f>
        <v>0.20999522673031137</v>
      </c>
    </row>
    <row r="19" spans="1:13" ht="15.75">
      <c r="A19" s="1368"/>
      <c r="B19" s="1360"/>
      <c r="C19" s="1001" t="s">
        <v>2544</v>
      </c>
      <c r="D19" s="1002"/>
      <c r="E19" s="1002">
        <v>51560.06</v>
      </c>
      <c r="F19" s="133">
        <f t="shared" si="0"/>
        <v>51560.06</v>
      </c>
      <c r="G19" s="133"/>
      <c r="I19" s="87">
        <v>72839.839999999997</v>
      </c>
      <c r="J19" t="s">
        <v>1384</v>
      </c>
      <c r="K19">
        <f>VLOOKUP(J19,Sheet27!C:J,8,0)</f>
        <v>153000</v>
      </c>
      <c r="L19" s="87">
        <f>I19/K19</f>
        <v>0.47607738562091501</v>
      </c>
      <c r="M19">
        <f t="shared" si="1"/>
        <v>-52.392261437908495</v>
      </c>
    </row>
    <row r="20" spans="1:13" ht="15.75">
      <c r="A20" s="1368"/>
      <c r="B20" s="1360"/>
      <c r="C20" s="1001" t="s">
        <v>2545</v>
      </c>
      <c r="D20" s="1002"/>
      <c r="E20" s="1002">
        <v>570539.06000000006</v>
      </c>
      <c r="F20" s="133">
        <f t="shared" si="0"/>
        <v>570539.06000000006</v>
      </c>
      <c r="G20" s="133"/>
      <c r="I20" s="87">
        <v>498539.06</v>
      </c>
      <c r="J20" t="s">
        <v>1386</v>
      </c>
      <c r="K20">
        <f>VLOOKUP(J20,Sheet27!C:J,8,0)</f>
        <v>692800.00000000291</v>
      </c>
      <c r="L20" s="87">
        <f>I20/K20</f>
        <v>0.71960025981523945</v>
      </c>
      <c r="M20">
        <f t="shared" si="1"/>
        <v>-28.039974018476055</v>
      </c>
    </row>
    <row r="21" spans="1:13" ht="15.75">
      <c r="A21" s="1368"/>
      <c r="B21" s="1360"/>
      <c r="C21" s="1000" t="s">
        <v>71</v>
      </c>
      <c r="D21" s="1003">
        <v>1039558.59</v>
      </c>
      <c r="E21" s="1003">
        <v>1033219.23</v>
      </c>
      <c r="F21" s="133">
        <f t="shared" si="0"/>
        <v>2072777.8199999998</v>
      </c>
      <c r="G21" s="133"/>
      <c r="I21" s="87">
        <v>2699383.72</v>
      </c>
      <c r="K21" t="e">
        <f>VLOOKUP(J21,Sheet27!C:J,8,0)</f>
        <v>#N/A</v>
      </c>
      <c r="L21" s="87"/>
      <c r="M21" t="e">
        <f t="shared" si="1"/>
        <v>#N/A</v>
      </c>
    </row>
    <row r="22" spans="1:13" ht="15.75">
      <c r="A22" s="1001"/>
      <c r="B22" s="1004"/>
      <c r="C22" s="1001"/>
      <c r="D22" s="1002"/>
      <c r="E22" s="1002"/>
      <c r="F22" s="133">
        <f t="shared" si="0"/>
        <v>0</v>
      </c>
      <c r="G22" s="133"/>
      <c r="I22" s="87" t="e">
        <f>#N/A</f>
        <v>#N/A</v>
      </c>
      <c r="K22" t="e">
        <f>VLOOKUP(J22,Sheet27!C:J,8,0)</f>
        <v>#N/A</v>
      </c>
      <c r="L22" s="87"/>
      <c r="M22" t="e">
        <f t="shared" si="1"/>
        <v>#N/A</v>
      </c>
    </row>
    <row r="23" spans="1:13" ht="15.75" customHeight="1">
      <c r="A23" s="1368">
        <v>3</v>
      </c>
      <c r="B23" s="1360" t="s">
        <v>198</v>
      </c>
      <c r="C23" s="1001" t="s">
        <v>2546</v>
      </c>
      <c r="D23" s="1002">
        <v>644040.52</v>
      </c>
      <c r="E23" s="1002"/>
      <c r="F23" s="133">
        <f t="shared" si="0"/>
        <v>644040.52</v>
      </c>
      <c r="G23" s="133">
        <v>1.34</v>
      </c>
      <c r="I23" s="87">
        <v>0</v>
      </c>
      <c r="K23" t="e">
        <f>VLOOKUP(J23,Sheet27!C:J,8,0)</f>
        <v>#N/A</v>
      </c>
      <c r="L23" s="87"/>
      <c r="M23" t="e">
        <f t="shared" si="1"/>
        <v>#N/A</v>
      </c>
    </row>
    <row r="24" spans="1:13" ht="15.75">
      <c r="A24" s="1368"/>
      <c r="B24" s="1360"/>
      <c r="C24" s="1001" t="s">
        <v>2547</v>
      </c>
      <c r="D24" s="1002">
        <v>6481.93</v>
      </c>
      <c r="E24" s="1002"/>
      <c r="F24" s="133">
        <f t="shared" si="0"/>
        <v>6481.93</v>
      </c>
      <c r="G24" s="133"/>
      <c r="I24" s="87">
        <v>0</v>
      </c>
      <c r="K24" t="e">
        <f>VLOOKUP(J24,Sheet27!C:J,8,0)</f>
        <v>#N/A</v>
      </c>
      <c r="L24" s="87"/>
      <c r="M24" t="e">
        <f t="shared" si="1"/>
        <v>#N/A</v>
      </c>
    </row>
    <row r="25" spans="1:13" ht="15.75">
      <c r="A25" s="1368"/>
      <c r="B25" s="1360"/>
      <c r="C25" s="1001" t="s">
        <v>2548</v>
      </c>
      <c r="D25" s="1002"/>
      <c r="E25" s="1002">
        <v>193880.87</v>
      </c>
      <c r="F25" s="133">
        <f t="shared" si="0"/>
        <v>193880.87</v>
      </c>
      <c r="G25" s="133"/>
      <c r="I25" s="87">
        <v>275798.83</v>
      </c>
      <c r="J25" t="s">
        <v>1413</v>
      </c>
      <c r="K25">
        <f>VLOOKUP(J25,Sheet27!C:J,8,0)</f>
        <v>274600.00000000582</v>
      </c>
      <c r="L25" s="87">
        <f>I25/K25</f>
        <v>1.0043657319737589</v>
      </c>
      <c r="M25">
        <f t="shared" si="1"/>
        <v>0.43657319737588135</v>
      </c>
    </row>
    <row r="26" spans="1:13" ht="15.75">
      <c r="A26" s="1368"/>
      <c r="B26" s="1360"/>
      <c r="C26" s="1001" t="s">
        <v>2549</v>
      </c>
      <c r="D26" s="1002"/>
      <c r="E26" s="1002">
        <v>444919.93</v>
      </c>
      <c r="F26" s="133">
        <f t="shared" si="0"/>
        <v>444919.93</v>
      </c>
      <c r="G26" s="133"/>
      <c r="I26" s="87">
        <v>887960.94</v>
      </c>
      <c r="J26" t="s">
        <v>1415</v>
      </c>
      <c r="K26">
        <f>VLOOKUP(J26,Sheet27!C:J,8,0)</f>
        <v>880230</v>
      </c>
      <c r="L26" s="87">
        <f>I26/K26</f>
        <v>1.0087828635697487</v>
      </c>
      <c r="M26">
        <f t="shared" si="1"/>
        <v>0.87828635697487523</v>
      </c>
    </row>
    <row r="27" spans="1:13" ht="15.75">
      <c r="A27" s="1368"/>
      <c r="B27" s="1360"/>
      <c r="C27" s="1001" t="s">
        <v>2550</v>
      </c>
      <c r="D27" s="1002"/>
      <c r="E27" s="1002">
        <v>0</v>
      </c>
      <c r="F27" s="133">
        <f t="shared" si="0"/>
        <v>0</v>
      </c>
      <c r="G27" s="133"/>
      <c r="I27" s="87">
        <v>291357.42</v>
      </c>
      <c r="J27" t="s">
        <v>1411</v>
      </c>
      <c r="K27">
        <f>VLOOKUP(J27,Sheet27!C:J,8,0)</f>
        <v>291599.99999997672</v>
      </c>
      <c r="L27" s="87">
        <f>I27/K27</f>
        <v>0.99916810699596448</v>
      </c>
      <c r="M27">
        <f t="shared" si="1"/>
        <v>-8.318930040355027E-2</v>
      </c>
    </row>
    <row r="28" spans="1:13" ht="15.75">
      <c r="A28" s="1368"/>
      <c r="B28" s="1360"/>
      <c r="C28" s="1000" t="s">
        <v>71</v>
      </c>
      <c r="D28" s="1003">
        <v>650522.46</v>
      </c>
      <c r="E28" s="1003">
        <v>638800.79</v>
      </c>
      <c r="F28" s="133">
        <f t="shared" si="0"/>
        <v>1289323.25</v>
      </c>
      <c r="G28" s="133"/>
      <c r="I28" s="87">
        <v>2699383.72</v>
      </c>
      <c r="K28" t="e">
        <f>VLOOKUP(J28,Sheet27!C:J,8,0)</f>
        <v>#N/A</v>
      </c>
      <c r="L28" s="87"/>
      <c r="M28" t="e">
        <f t="shared" si="1"/>
        <v>#N/A</v>
      </c>
    </row>
    <row r="29" spans="1:13" ht="15.75">
      <c r="A29" s="1001"/>
      <c r="B29" s="1004"/>
      <c r="C29" s="12"/>
      <c r="D29" s="1005"/>
      <c r="E29" s="1005"/>
      <c r="F29" s="133">
        <f t="shared" si="0"/>
        <v>0</v>
      </c>
      <c r="G29" s="133"/>
      <c r="I29" s="87" t="e">
        <f>#N/A</f>
        <v>#N/A</v>
      </c>
      <c r="K29" t="e">
        <f>VLOOKUP(J29,Sheet27!C:J,8,0)</f>
        <v>#N/A</v>
      </c>
      <c r="L29" s="87"/>
      <c r="M29" t="e">
        <f t="shared" si="1"/>
        <v>#N/A</v>
      </c>
    </row>
    <row r="30" spans="1:13" ht="15.75" customHeight="1">
      <c r="A30" s="1360">
        <v>4</v>
      </c>
      <c r="B30" s="1360" t="s">
        <v>2551</v>
      </c>
      <c r="C30" s="1001" t="s">
        <v>2546</v>
      </c>
      <c r="D30" s="1002">
        <v>1550636.72</v>
      </c>
      <c r="E30" s="1002"/>
      <c r="F30" s="133">
        <f t="shared" si="0"/>
        <v>1550636.72</v>
      </c>
      <c r="G30" s="133">
        <v>0.82</v>
      </c>
      <c r="I30" s="87">
        <v>0</v>
      </c>
      <c r="K30" t="e">
        <f>VLOOKUP(J30,Sheet27!C:J,8,0)</f>
        <v>#N/A</v>
      </c>
      <c r="L30" s="87"/>
      <c r="M30" t="e">
        <f t="shared" si="1"/>
        <v>#N/A</v>
      </c>
    </row>
    <row r="31" spans="1:13" ht="15.75">
      <c r="A31" s="1360"/>
      <c r="B31" s="1360"/>
      <c r="C31" s="1001" t="s">
        <v>2547</v>
      </c>
      <c r="D31" s="1002">
        <v>580798.82999999996</v>
      </c>
      <c r="E31" s="1002"/>
      <c r="F31" s="133">
        <f t="shared" si="0"/>
        <v>580798.82999999996</v>
      </c>
      <c r="G31" s="133"/>
      <c r="I31" s="87">
        <v>0</v>
      </c>
      <c r="K31" t="e">
        <f>VLOOKUP(J31,Sheet27!C:J,8,0)</f>
        <v>#N/A</v>
      </c>
      <c r="L31" s="87"/>
      <c r="M31" t="e">
        <f t="shared" si="1"/>
        <v>#N/A</v>
      </c>
    </row>
    <row r="32" spans="1:13" ht="15.75">
      <c r="A32" s="1360"/>
      <c r="B32" s="1360"/>
      <c r="C32" s="1001" t="s">
        <v>2552</v>
      </c>
      <c r="D32" s="1002"/>
      <c r="E32" s="1002">
        <v>97399.9</v>
      </c>
      <c r="F32" s="133">
        <f t="shared" si="0"/>
        <v>97399.9</v>
      </c>
      <c r="G32" s="133"/>
      <c r="I32" s="87">
        <v>136360.35</v>
      </c>
      <c r="J32" t="s">
        <v>1436</v>
      </c>
      <c r="K32">
        <f>VLOOKUP(J32,Sheet27!C:J,8,0)</f>
        <v>135866.32700000072</v>
      </c>
      <c r="L32" s="87">
        <f>I32/K32</f>
        <v>1.0036360959400874</v>
      </c>
      <c r="M32">
        <f t="shared" si="1"/>
        <v>0.36360959400873877</v>
      </c>
    </row>
    <row r="33" spans="1:13" ht="15.75">
      <c r="A33" s="1360"/>
      <c r="B33" s="1360"/>
      <c r="C33" s="1001" t="s">
        <v>2553</v>
      </c>
      <c r="D33" s="1002"/>
      <c r="E33" s="1002">
        <v>806158.2</v>
      </c>
      <c r="F33" s="133">
        <f t="shared" si="0"/>
        <v>806158.2</v>
      </c>
      <c r="G33" s="133"/>
      <c r="I33" s="87">
        <v>1115562.5</v>
      </c>
      <c r="J33" t="s">
        <v>1432</v>
      </c>
      <c r="K33">
        <f>VLOOKUP(J33,Sheet27!C:J,8,0)</f>
        <v>1115866.6387700008</v>
      </c>
      <c r="L33" s="87">
        <f>I33/K33</f>
        <v>0.99972744164989458</v>
      </c>
      <c r="M33">
        <f t="shared" si="1"/>
        <v>-2.7255835010536997E-2</v>
      </c>
    </row>
    <row r="34" spans="1:13" ht="15.75">
      <c r="A34" s="1360"/>
      <c r="B34" s="1360"/>
      <c r="C34" s="1001" t="s">
        <v>2554</v>
      </c>
      <c r="D34" s="1002"/>
      <c r="E34" s="1002">
        <v>479370.11</v>
      </c>
      <c r="F34" s="133">
        <f t="shared" si="0"/>
        <v>479370.11</v>
      </c>
      <c r="G34" s="133"/>
      <c r="I34" s="87">
        <v>683279.3</v>
      </c>
      <c r="J34" t="s">
        <v>1438</v>
      </c>
      <c r="K34">
        <f>VLOOKUP(J34,Sheet27!C:J,8,0)</f>
        <v>684500</v>
      </c>
      <c r="L34" s="87">
        <f>I34/K34</f>
        <v>0.99821665449233021</v>
      </c>
      <c r="M34">
        <f t="shared" si="1"/>
        <v>-0.17833455076697641</v>
      </c>
    </row>
    <row r="35" spans="1:13" ht="15.75">
      <c r="A35" s="1360"/>
      <c r="B35" s="1360"/>
      <c r="C35" s="1001" t="s">
        <v>2555</v>
      </c>
      <c r="D35" s="1002"/>
      <c r="E35" s="1002">
        <v>737639.64</v>
      </c>
      <c r="F35" s="133">
        <f t="shared" si="0"/>
        <v>737639.64</v>
      </c>
      <c r="G35" s="133"/>
      <c r="I35" s="87">
        <v>1008720.7</v>
      </c>
      <c r="J35" t="s">
        <v>1434</v>
      </c>
      <c r="K35">
        <f>VLOOKUP(J35,Sheet27!C:J,8,0)</f>
        <v>1007999.9999999928</v>
      </c>
      <c r="L35" s="87">
        <f>I35/K35</f>
        <v>1.0007149801587374</v>
      </c>
      <c r="M35">
        <f t="shared" si="1"/>
        <v>7.149801587372781E-2</v>
      </c>
    </row>
    <row r="36" spans="1:13" ht="15.75">
      <c r="A36" s="1360"/>
      <c r="B36" s="1360"/>
      <c r="C36" s="1000" t="s">
        <v>71</v>
      </c>
      <c r="D36" s="1003">
        <v>2131435.5499999998</v>
      </c>
      <c r="E36" s="1003">
        <v>2120567.85</v>
      </c>
      <c r="F36" s="133">
        <f t="shared" si="0"/>
        <v>4252003.4000000004</v>
      </c>
      <c r="G36" s="133"/>
      <c r="I36" s="87">
        <v>2699383.72</v>
      </c>
      <c r="K36" t="e">
        <f>VLOOKUP(J36,Sheet27!C:J,8,0)</f>
        <v>#N/A</v>
      </c>
      <c r="L36" s="87"/>
      <c r="M36" t="e">
        <f t="shared" si="1"/>
        <v>#N/A</v>
      </c>
    </row>
    <row r="37" spans="1:13" ht="15.75">
      <c r="A37" s="1001"/>
      <c r="B37" s="1004"/>
      <c r="C37" s="12"/>
      <c r="D37" s="1005"/>
      <c r="E37" s="1005"/>
      <c r="F37" s="133">
        <f t="shared" si="0"/>
        <v>0</v>
      </c>
      <c r="G37" s="133"/>
      <c r="I37" s="87" t="e">
        <f>#N/A</f>
        <v>#N/A</v>
      </c>
      <c r="K37" t="e">
        <f>VLOOKUP(J37,Sheet27!C:J,8,0)</f>
        <v>#N/A</v>
      </c>
      <c r="L37" s="87"/>
      <c r="M37" t="e">
        <f t="shared" si="1"/>
        <v>#N/A</v>
      </c>
    </row>
    <row r="38" spans="1:13" ht="15.75" customHeight="1">
      <c r="A38" s="1360">
        <v>5</v>
      </c>
      <c r="B38" s="1360" t="s">
        <v>1284</v>
      </c>
      <c r="C38" s="1001" t="s">
        <v>2546</v>
      </c>
      <c r="D38" s="1002">
        <v>1694167.97</v>
      </c>
      <c r="E38" s="1002"/>
      <c r="F38" s="133">
        <f t="shared" si="0"/>
        <v>1694167.97</v>
      </c>
      <c r="G38" s="133">
        <v>15.12</v>
      </c>
      <c r="I38" s="87">
        <v>0</v>
      </c>
      <c r="K38" t="e">
        <f>VLOOKUP(J38,Sheet27!C:J,8,0)</f>
        <v>#N/A</v>
      </c>
      <c r="L38" s="87"/>
      <c r="M38" t="e">
        <f t="shared" si="1"/>
        <v>#N/A</v>
      </c>
    </row>
    <row r="39" spans="1:13" ht="15.75">
      <c r="A39" s="1360"/>
      <c r="B39" s="1360"/>
      <c r="C39" s="1001" t="s">
        <v>2556</v>
      </c>
      <c r="D39" s="1002"/>
      <c r="E39" s="1002">
        <v>891320.31</v>
      </c>
      <c r="F39" s="133">
        <f t="shared" si="0"/>
        <v>891320.31</v>
      </c>
      <c r="G39" s="133"/>
      <c r="I39" s="87">
        <v>1169757.81</v>
      </c>
      <c r="J39" t="s">
        <v>1405</v>
      </c>
      <c r="K39">
        <f>VLOOKUP(J39,Sheet27!C:J,8,0)</f>
        <v>1224200.0000000116</v>
      </c>
      <c r="L39" s="87">
        <f>I39/K39</f>
        <v>0.95552835321025076</v>
      </c>
      <c r="M39">
        <f t="shared" si="1"/>
        <v>-4.4471646789749277</v>
      </c>
    </row>
    <row r="40" spans="1:13" ht="15.75">
      <c r="A40" s="1360"/>
      <c r="B40" s="1360"/>
      <c r="C40" s="1001" t="s">
        <v>2557</v>
      </c>
      <c r="D40" s="1002"/>
      <c r="E40" s="1002">
        <v>765720.7</v>
      </c>
      <c r="F40" s="133">
        <f t="shared" si="0"/>
        <v>765720.7</v>
      </c>
      <c r="G40" s="133"/>
      <c r="I40" s="87">
        <v>789902.34</v>
      </c>
      <c r="J40" t="s">
        <v>1403</v>
      </c>
      <c r="K40">
        <f>VLOOKUP(J40,Sheet27!C:J,8,0)</f>
        <v>789731.35900000378</v>
      </c>
      <c r="L40" s="87">
        <f>I40/K40</f>
        <v>1.0002165052685925</v>
      </c>
      <c r="M40">
        <f t="shared" si="1"/>
        <v>2.1650526859246368E-2</v>
      </c>
    </row>
    <row r="41" spans="1:13" ht="15.75">
      <c r="A41" s="1360"/>
      <c r="B41" s="1360"/>
      <c r="C41" s="1000" t="s">
        <v>71</v>
      </c>
      <c r="D41" s="1003">
        <v>1694167.97</v>
      </c>
      <c r="E41" s="1003">
        <v>1657041.01</v>
      </c>
      <c r="F41" s="133">
        <f t="shared" si="0"/>
        <v>3351208.98</v>
      </c>
      <c r="G41" s="133"/>
      <c r="I41" s="87">
        <v>2699383.72</v>
      </c>
      <c r="K41" t="e">
        <f>VLOOKUP(J41,Sheet27!C:J,8,0)</f>
        <v>#N/A</v>
      </c>
      <c r="L41" s="87"/>
      <c r="M41" t="e">
        <f t="shared" si="1"/>
        <v>#N/A</v>
      </c>
    </row>
    <row r="42" spans="1:13" ht="15.75">
      <c r="A42" s="1001"/>
      <c r="B42" s="1004"/>
      <c r="C42" s="12"/>
      <c r="D42" s="1005"/>
      <c r="E42" s="1005"/>
      <c r="F42" s="133">
        <f t="shared" si="0"/>
        <v>0</v>
      </c>
      <c r="G42" s="133"/>
      <c r="I42" s="87" t="e">
        <f>#N/A</f>
        <v>#N/A</v>
      </c>
      <c r="K42" t="e">
        <f>VLOOKUP(J42,Sheet27!C:J,8,0)</f>
        <v>#N/A</v>
      </c>
      <c r="L42" s="87"/>
      <c r="M42" t="e">
        <f t="shared" si="1"/>
        <v>#N/A</v>
      </c>
    </row>
    <row r="43" spans="1:13" ht="15.75" customHeight="1">
      <c r="A43" s="1360">
        <v>6</v>
      </c>
      <c r="B43" s="1360" t="s">
        <v>2558</v>
      </c>
      <c r="C43" s="1001" t="s">
        <v>2546</v>
      </c>
      <c r="D43" s="1002">
        <v>1145700.44</v>
      </c>
      <c r="E43" s="1002"/>
      <c r="F43" s="133">
        <f t="shared" si="0"/>
        <v>1145700.44</v>
      </c>
      <c r="G43" s="133">
        <v>1.5</v>
      </c>
      <c r="I43" s="87">
        <v>0</v>
      </c>
      <c r="K43" t="e">
        <f>VLOOKUP(J43,Sheet27!C:J,8,0)</f>
        <v>#N/A</v>
      </c>
      <c r="L43" s="87"/>
      <c r="M43" t="e">
        <f t="shared" si="1"/>
        <v>#N/A</v>
      </c>
    </row>
    <row r="44" spans="1:13" ht="15.75">
      <c r="A44" s="1360"/>
      <c r="B44" s="1360"/>
      <c r="C44" s="1001" t="s">
        <v>2547</v>
      </c>
      <c r="D44" s="1002">
        <v>956520.27</v>
      </c>
      <c r="E44" s="1002"/>
      <c r="F44" s="133">
        <f t="shared" si="0"/>
        <v>956520.27</v>
      </c>
      <c r="G44" s="133"/>
      <c r="I44" s="87">
        <v>0</v>
      </c>
      <c r="K44" t="e">
        <f>VLOOKUP(J44,Sheet27!C:J,8,0)</f>
        <v>#N/A</v>
      </c>
      <c r="L44" s="87"/>
      <c r="M44" t="e">
        <f t="shared" si="1"/>
        <v>#N/A</v>
      </c>
    </row>
    <row r="45" spans="1:13" ht="15.75">
      <c r="A45" s="1360"/>
      <c r="B45" s="1360"/>
      <c r="C45" s="1001" t="s">
        <v>2559</v>
      </c>
      <c r="D45" s="1002"/>
      <c r="E45" s="1002">
        <v>853160.16</v>
      </c>
      <c r="F45" s="133">
        <f t="shared" si="0"/>
        <v>853160.16</v>
      </c>
      <c r="G45" s="133"/>
      <c r="I45" s="87">
        <v>1214360.3500000001</v>
      </c>
      <c r="J45" t="s">
        <v>1398</v>
      </c>
      <c r="K45">
        <f>VLOOKUP(J45,Sheet27!C:J,8,0)</f>
        <v>1227319.9999999998</v>
      </c>
      <c r="L45" s="87">
        <f>I45/K45</f>
        <v>0.98944069191408945</v>
      </c>
      <c r="M45">
        <f t="shared" si="1"/>
        <v>-1.0559308085910502</v>
      </c>
    </row>
    <row r="46" spans="1:13" ht="15.75">
      <c r="A46" s="1360"/>
      <c r="B46" s="1360"/>
      <c r="C46" s="1001" t="s">
        <v>2560</v>
      </c>
      <c r="D46" s="1002"/>
      <c r="E46" s="1002">
        <v>277520.02</v>
      </c>
      <c r="F46" s="133">
        <f t="shared" si="0"/>
        <v>277520.02</v>
      </c>
      <c r="G46" s="133"/>
      <c r="I46" s="87">
        <v>377799.8</v>
      </c>
      <c r="J46" t="s">
        <v>1395</v>
      </c>
      <c r="K46">
        <f>VLOOKUP(J46,Sheet27!C:J,8,0)</f>
        <v>382260.00000000023</v>
      </c>
      <c r="L46" s="87">
        <f>I46/K46</f>
        <v>0.98833202532307785</v>
      </c>
      <c r="M46">
        <f t="shared" si="1"/>
        <v>-1.1667974676922099</v>
      </c>
    </row>
    <row r="47" spans="1:13" ht="15.75">
      <c r="A47" s="1360"/>
      <c r="B47" s="1360"/>
      <c r="C47" s="1001" t="s">
        <v>2561</v>
      </c>
      <c r="D47" s="1002"/>
      <c r="E47" s="1002">
        <v>943200.19</v>
      </c>
      <c r="F47" s="133">
        <f t="shared" si="0"/>
        <v>943200.19</v>
      </c>
      <c r="G47" s="133"/>
      <c r="I47" s="87">
        <v>1216958.98</v>
      </c>
      <c r="J47" t="s">
        <v>1396</v>
      </c>
      <c r="K47">
        <f>VLOOKUP(J47,Sheet27!C:J,8,0)</f>
        <v>1229159.9999999998</v>
      </c>
      <c r="L47" s="87">
        <f>I47/K47</f>
        <v>0.99007369260307865</v>
      </c>
      <c r="M47">
        <f t="shared" si="1"/>
        <v>-0.99263073969213023</v>
      </c>
    </row>
    <row r="48" spans="1:13" ht="15.75">
      <c r="A48" s="1360"/>
      <c r="B48" s="1360"/>
      <c r="C48" s="1000" t="s">
        <v>71</v>
      </c>
      <c r="D48" s="1003">
        <v>2102220.71</v>
      </c>
      <c r="E48" s="1003">
        <v>2073880.37</v>
      </c>
      <c r="F48" s="133">
        <f t="shared" si="0"/>
        <v>4176101.08</v>
      </c>
      <c r="G48" s="133"/>
      <c r="I48" s="87">
        <v>2699383.72</v>
      </c>
      <c r="J48" t="s">
        <v>2562</v>
      </c>
      <c r="K48" t="e">
        <f>VLOOKUP(J48,Sheet27!C:J,8,0)</f>
        <v>#N/A</v>
      </c>
      <c r="L48" s="87"/>
      <c r="M48" t="e">
        <f t="shared" si="1"/>
        <v>#N/A</v>
      </c>
    </row>
    <row r="49" spans="1:13" ht="15.75">
      <c r="A49" s="1001"/>
      <c r="B49" s="1004"/>
      <c r="C49" s="12"/>
      <c r="D49" s="1005"/>
      <c r="E49" s="1005"/>
      <c r="F49" s="133">
        <f t="shared" si="0"/>
        <v>0</v>
      </c>
      <c r="G49" s="133"/>
      <c r="I49" s="87" t="e">
        <f>#N/A</f>
        <v>#N/A</v>
      </c>
      <c r="K49" t="e">
        <f>VLOOKUP(J49,Sheet27!C:J,8,0)</f>
        <v>#N/A</v>
      </c>
      <c r="L49" s="87"/>
      <c r="M49" t="e">
        <f t="shared" si="1"/>
        <v>#N/A</v>
      </c>
    </row>
    <row r="50" spans="1:13" ht="15.75" customHeight="1">
      <c r="A50" s="1360">
        <v>7</v>
      </c>
      <c r="B50" s="1360" t="s">
        <v>2563</v>
      </c>
      <c r="C50" s="1001" t="s">
        <v>2546</v>
      </c>
      <c r="D50" s="1002">
        <v>2292720.7000000002</v>
      </c>
      <c r="E50" s="1002"/>
      <c r="F50" s="133">
        <f t="shared" si="0"/>
        <v>2292720.7000000002</v>
      </c>
      <c r="G50" s="133">
        <v>0.27</v>
      </c>
      <c r="I50" s="87">
        <v>0</v>
      </c>
      <c r="K50" t="e">
        <f>VLOOKUP(J50,Sheet27!C:J,8,0)</f>
        <v>#N/A</v>
      </c>
      <c r="L50" s="87"/>
      <c r="M50" t="e">
        <f t="shared" si="1"/>
        <v>#N/A</v>
      </c>
    </row>
    <row r="51" spans="1:13" ht="15.75">
      <c r="A51" s="1360"/>
      <c r="B51" s="1360"/>
      <c r="C51" s="1001" t="s">
        <v>2564</v>
      </c>
      <c r="D51" s="1002"/>
      <c r="E51" s="1002">
        <v>1349818.36</v>
      </c>
      <c r="F51" s="133">
        <f t="shared" si="0"/>
        <v>1349818.36</v>
      </c>
      <c r="G51" s="133"/>
      <c r="I51" s="87">
        <v>1926720.7</v>
      </c>
      <c r="J51" t="s">
        <v>1378</v>
      </c>
      <c r="K51">
        <f>VLOOKUP(J51,Sheet27!C:J,8,0)</f>
        <v>1927199.9999999972</v>
      </c>
      <c r="L51" s="87">
        <f>I51/K51</f>
        <v>0.99975129721876443</v>
      </c>
      <c r="M51">
        <f t="shared" si="1"/>
        <v>-2.4870278123560258E-2</v>
      </c>
    </row>
    <row r="52" spans="1:13" ht="15.75">
      <c r="A52" s="1360"/>
      <c r="B52" s="1360"/>
      <c r="C52" s="1001" t="s">
        <v>2565</v>
      </c>
      <c r="D52" s="1002"/>
      <c r="E52" s="1002">
        <v>595796.88</v>
      </c>
      <c r="F52" s="133">
        <f t="shared" si="0"/>
        <v>595796.88</v>
      </c>
      <c r="G52" s="133"/>
      <c r="I52" s="87">
        <v>338562.5</v>
      </c>
      <c r="J52" t="s">
        <v>1379</v>
      </c>
      <c r="K52">
        <f>VLOOKUP(J52,Sheet27!C:J,8,0)</f>
        <v>338800.00000000291</v>
      </c>
      <c r="L52" s="87">
        <f>I52/K52</f>
        <v>0.99929899645807874</v>
      </c>
      <c r="M52">
        <f t="shared" si="1"/>
        <v>-7.0100354192121711E-2</v>
      </c>
    </row>
    <row r="53" spans="1:13" ht="15.75">
      <c r="A53" s="1360"/>
      <c r="B53" s="1360"/>
      <c r="C53" s="1001" t="s">
        <v>2566</v>
      </c>
      <c r="D53" s="1002"/>
      <c r="E53" s="1002">
        <v>336558.59</v>
      </c>
      <c r="F53" s="133">
        <f t="shared" si="0"/>
        <v>336558.59</v>
      </c>
      <c r="G53" s="133"/>
      <c r="I53" s="87">
        <v>425640.63</v>
      </c>
      <c r="J53" t="s">
        <v>1377</v>
      </c>
      <c r="K53">
        <f>VLOOKUP(J53,Sheet27!C:J,8,0)</f>
        <v>434400.00000000052</v>
      </c>
      <c r="L53" s="87">
        <f>I53/K53</f>
        <v>0.97983570441988832</v>
      </c>
      <c r="M53">
        <f t="shared" si="1"/>
        <v>-2.0164295580111671</v>
      </c>
    </row>
    <row r="54" spans="1:13" ht="15.75">
      <c r="A54" s="1360"/>
      <c r="B54" s="1360"/>
      <c r="C54" s="1000" t="s">
        <v>71</v>
      </c>
      <c r="D54" s="1003">
        <v>2292720.7000000002</v>
      </c>
      <c r="E54" s="1003">
        <v>2282173.8199999998</v>
      </c>
      <c r="F54" s="133">
        <f t="shared" si="0"/>
        <v>4574894.5199999996</v>
      </c>
      <c r="G54" s="133"/>
      <c r="I54" s="87">
        <v>2699383.72</v>
      </c>
      <c r="K54" t="e">
        <f>VLOOKUP(J54,Sheet27!C:J,8,0)</f>
        <v>#N/A</v>
      </c>
      <c r="L54" s="87"/>
      <c r="M54" t="e">
        <f t="shared" si="1"/>
        <v>#N/A</v>
      </c>
    </row>
    <row r="55" spans="1:13" ht="15.75">
      <c r="A55" s="1001"/>
      <c r="B55" s="1004"/>
      <c r="C55" s="12"/>
      <c r="D55" s="1005"/>
      <c r="E55" s="1005"/>
      <c r="F55" s="133">
        <f t="shared" si="0"/>
        <v>0</v>
      </c>
      <c r="G55" s="133"/>
      <c r="I55" s="87" t="e">
        <f>#N/A</f>
        <v>#N/A</v>
      </c>
      <c r="K55" t="e">
        <f>VLOOKUP(J55,Sheet27!C:J,8,0)</f>
        <v>#N/A</v>
      </c>
      <c r="L55" s="87"/>
      <c r="M55" t="e">
        <f t="shared" si="1"/>
        <v>#N/A</v>
      </c>
    </row>
    <row r="56" spans="1:13" ht="15.75" customHeight="1">
      <c r="A56" s="1360">
        <v>8</v>
      </c>
      <c r="B56" s="1360" t="s">
        <v>202</v>
      </c>
      <c r="C56" s="1001" t="s">
        <v>2567</v>
      </c>
      <c r="D56" s="1002">
        <v>2224078.12</v>
      </c>
      <c r="E56" s="1002"/>
      <c r="F56" s="133">
        <f t="shared" si="0"/>
        <v>2224078.12</v>
      </c>
      <c r="G56" s="133">
        <v>0.6</v>
      </c>
      <c r="I56" s="87">
        <v>0</v>
      </c>
      <c r="K56" t="e">
        <f>VLOOKUP(J56,Sheet27!C:J,8,0)</f>
        <v>#N/A</v>
      </c>
      <c r="L56" s="87"/>
      <c r="M56" t="e">
        <f t="shared" si="1"/>
        <v>#N/A</v>
      </c>
    </row>
    <row r="57" spans="1:13" ht="15.75">
      <c r="A57" s="1360"/>
      <c r="B57" s="1360"/>
      <c r="C57" s="1001" t="s">
        <v>2568</v>
      </c>
      <c r="D57" s="1002">
        <v>1181220.7</v>
      </c>
      <c r="E57" s="1002"/>
      <c r="F57" s="133">
        <f t="shared" si="0"/>
        <v>1181220.7</v>
      </c>
      <c r="G57" s="133"/>
      <c r="I57" s="87">
        <v>0</v>
      </c>
      <c r="K57" t="e">
        <f>VLOOKUP(J57,Sheet27!C:J,8,0)</f>
        <v>#N/A</v>
      </c>
      <c r="L57" s="87"/>
      <c r="M57" t="e">
        <f t="shared" si="1"/>
        <v>#N/A</v>
      </c>
    </row>
    <row r="58" spans="1:13" ht="15.75">
      <c r="A58" s="1360"/>
      <c r="B58" s="1360"/>
      <c r="C58" s="1001" t="s">
        <v>2569</v>
      </c>
      <c r="D58" s="1002"/>
      <c r="E58" s="1002">
        <v>673439.82</v>
      </c>
      <c r="F58" s="133">
        <f t="shared" si="0"/>
        <v>673439.82</v>
      </c>
      <c r="G58" s="133"/>
      <c r="I58" s="87">
        <v>1025100.58</v>
      </c>
      <c r="J58" t="s">
        <v>1426</v>
      </c>
      <c r="K58">
        <f>VLOOKUP(J58,Sheet27!C:J,8,0)</f>
        <v>1015799.9999999993</v>
      </c>
      <c r="L58" s="87">
        <f>I58/K58</f>
        <v>1.0091559165190005</v>
      </c>
      <c r="M58">
        <f t="shared" si="1"/>
        <v>0.91559165190004554</v>
      </c>
    </row>
    <row r="59" spans="1:13" ht="15.75">
      <c r="A59" s="1360"/>
      <c r="B59" s="1360"/>
      <c r="C59" s="1001" t="s">
        <v>2570</v>
      </c>
      <c r="D59" s="1002"/>
      <c r="E59" s="1002">
        <v>578839.84</v>
      </c>
      <c r="F59" s="133">
        <f t="shared" si="0"/>
        <v>578839.84</v>
      </c>
      <c r="G59" s="133"/>
      <c r="I59" s="87">
        <v>809798.83</v>
      </c>
      <c r="J59" t="s">
        <v>1424</v>
      </c>
      <c r="K59">
        <f>VLOOKUP(J59,Sheet27!C:J,8,0)</f>
        <v>797699.99999999895</v>
      </c>
      <c r="L59" s="87">
        <f>I59/K59</f>
        <v>1.0151671430362303</v>
      </c>
      <c r="M59">
        <f t="shared" si="1"/>
        <v>1.5167143036230439</v>
      </c>
    </row>
    <row r="60" spans="1:13" ht="15.75">
      <c r="A60" s="1360"/>
      <c r="B60" s="1360"/>
      <c r="C60" s="1001" t="s">
        <v>2571</v>
      </c>
      <c r="D60" s="1002"/>
      <c r="E60" s="1002">
        <v>870058.59</v>
      </c>
      <c r="F60" s="133">
        <f t="shared" si="0"/>
        <v>870058.59</v>
      </c>
      <c r="G60" s="133"/>
      <c r="I60" s="87">
        <v>1170421.8700000001</v>
      </c>
      <c r="J60" t="s">
        <v>1422</v>
      </c>
      <c r="K60">
        <f>VLOOKUP(J60,Sheet27!C:J,8,0)</f>
        <v>1165919.9999999981</v>
      </c>
      <c r="L60" s="87">
        <f>I60/K60</f>
        <v>1.0038612168930989</v>
      </c>
      <c r="M60">
        <f t="shared" si="1"/>
        <v>0.3861216893098996</v>
      </c>
    </row>
    <row r="61" spans="1:13" ht="15.75">
      <c r="A61" s="1360"/>
      <c r="B61" s="1360"/>
      <c r="C61" s="1001" t="s">
        <v>2572</v>
      </c>
      <c r="D61" s="1002"/>
      <c r="E61" s="1002">
        <v>450840.82</v>
      </c>
      <c r="F61" s="133">
        <f t="shared" si="0"/>
        <v>450840.82</v>
      </c>
      <c r="G61" s="133"/>
      <c r="I61" s="87">
        <v>513840.82</v>
      </c>
      <c r="J61" t="s">
        <v>1420</v>
      </c>
      <c r="K61">
        <f>VLOOKUP(J61,Sheet27!C:J,8,0)</f>
        <v>707160.00000000349</v>
      </c>
      <c r="L61" s="87">
        <f>I61/K61</f>
        <v>0.72662596866338236</v>
      </c>
      <c r="M61">
        <f t="shared" si="1"/>
        <v>-27.337403133661763</v>
      </c>
    </row>
    <row r="62" spans="1:13" ht="15.75">
      <c r="A62" s="1360"/>
      <c r="B62" s="1360"/>
      <c r="C62" s="1001" t="s">
        <v>2573</v>
      </c>
      <c r="D62" s="1002"/>
      <c r="E62" s="1002">
        <v>557200.19999999995</v>
      </c>
      <c r="F62" s="133">
        <f t="shared" si="0"/>
        <v>557200.19999999995</v>
      </c>
      <c r="G62" s="133"/>
      <c r="I62" s="87">
        <v>681399.41</v>
      </c>
      <c r="J62" t="s">
        <v>1428</v>
      </c>
      <c r="K62">
        <f>VLOOKUP(J62,Sheet27!C:J,8,0)</f>
        <v>971670</v>
      </c>
      <c r="L62" s="87">
        <f>I62/K62</f>
        <v>0.70126628382063871</v>
      </c>
      <c r="M62">
        <f t="shared" si="1"/>
        <v>-29.873371617936129</v>
      </c>
    </row>
    <row r="63" spans="1:13" ht="15.75">
      <c r="A63" s="1360"/>
      <c r="B63" s="1360"/>
      <c r="C63" s="1000" t="s">
        <v>71</v>
      </c>
      <c r="D63" s="1003">
        <v>3405298.83</v>
      </c>
      <c r="E63" s="1003">
        <v>3130379.27</v>
      </c>
      <c r="F63" s="133">
        <f t="shared" si="0"/>
        <v>6535678.0999999996</v>
      </c>
      <c r="G63" s="133"/>
      <c r="I63" s="87">
        <v>2699383.72</v>
      </c>
      <c r="K63" t="e">
        <f>VLOOKUP(J63,Sheet27!C:J,8,0)</f>
        <v>#N/A</v>
      </c>
      <c r="L63" s="87"/>
      <c r="M63" t="e">
        <f t="shared" si="1"/>
        <v>#N/A</v>
      </c>
    </row>
    <row r="64" spans="1:13" ht="15.75">
      <c r="A64" s="1006"/>
      <c r="B64" s="1006"/>
      <c r="C64" s="1000"/>
      <c r="D64" s="1003"/>
      <c r="E64" s="1003"/>
      <c r="F64" s="133">
        <f t="shared" si="0"/>
        <v>0</v>
      </c>
      <c r="G64" s="133"/>
      <c r="I64" s="87" t="e">
        <f>#N/A</f>
        <v>#N/A</v>
      </c>
      <c r="K64" t="e">
        <f>VLOOKUP(J64,Sheet27!C:J,8,0)</f>
        <v>#N/A</v>
      </c>
      <c r="L64" s="87"/>
      <c r="M64" t="e">
        <f t="shared" si="1"/>
        <v>#N/A</v>
      </c>
    </row>
    <row r="65" spans="1:13" ht="15.75" customHeight="1">
      <c r="A65" s="1360">
        <v>9</v>
      </c>
      <c r="B65" s="1360" t="s">
        <v>1288</v>
      </c>
      <c r="C65" s="1001" t="s">
        <v>2567</v>
      </c>
      <c r="D65" s="1002">
        <v>505040.22</v>
      </c>
      <c r="E65" s="1007"/>
      <c r="F65" s="133">
        <f t="shared" si="0"/>
        <v>505040.22</v>
      </c>
      <c r="G65" s="133">
        <v>0.15</v>
      </c>
      <c r="I65" s="87">
        <v>0</v>
      </c>
      <c r="K65" t="e">
        <f>VLOOKUP(J65,Sheet27!C:J,8,0)</f>
        <v>#N/A</v>
      </c>
      <c r="L65" s="87"/>
      <c r="M65" t="e">
        <f t="shared" si="1"/>
        <v>#N/A</v>
      </c>
    </row>
    <row r="66" spans="1:13" ht="15.75">
      <c r="A66" s="1360"/>
      <c r="B66" s="1360"/>
      <c r="C66" s="1001" t="s">
        <v>2574</v>
      </c>
      <c r="D66" s="1002"/>
      <c r="E66" s="1007">
        <v>496980.1</v>
      </c>
      <c r="F66" s="133">
        <f t="shared" si="0"/>
        <v>496980.1</v>
      </c>
      <c r="G66" s="133"/>
      <c r="I66" s="87">
        <v>515069.82</v>
      </c>
      <c r="J66">
        <v>3300073</v>
      </c>
      <c r="K66">
        <f>VLOOKUP(J66,Sheet27!C:J,8,0)</f>
        <v>608864.77800000005</v>
      </c>
      <c r="L66" s="87">
        <f>I66/K66</f>
        <v>0.84595108571052857</v>
      </c>
      <c r="M66">
        <f t="shared" si="1"/>
        <v>-15.40489142894714</v>
      </c>
    </row>
    <row r="67" spans="1:13" ht="15.75">
      <c r="A67" s="1360"/>
      <c r="B67" s="1360"/>
      <c r="C67" s="1001" t="s">
        <v>2575</v>
      </c>
      <c r="D67" s="1002"/>
      <c r="E67" s="1007">
        <v>0</v>
      </c>
      <c r="F67" s="133">
        <f t="shared" si="0"/>
        <v>0</v>
      </c>
      <c r="G67" s="133"/>
      <c r="I67" s="87">
        <v>0</v>
      </c>
      <c r="K67" t="e">
        <f>VLOOKUP(J67,Sheet27!C:J,8,0)</f>
        <v>#N/A</v>
      </c>
      <c r="L67" s="87"/>
      <c r="M67" t="e">
        <f t="shared" si="1"/>
        <v>#N/A</v>
      </c>
    </row>
    <row r="68" spans="1:13" ht="15.75">
      <c r="A68" s="1360"/>
      <c r="B68" s="1360"/>
      <c r="C68" s="1000" t="s">
        <v>71</v>
      </c>
      <c r="D68" s="1003">
        <v>505040.22</v>
      </c>
      <c r="E68" s="996">
        <v>496980.1</v>
      </c>
      <c r="F68" s="133">
        <f t="shared" si="0"/>
        <v>1002020.32</v>
      </c>
      <c r="G68" s="133"/>
      <c r="I68" s="87">
        <v>2699383.72</v>
      </c>
      <c r="K68" t="e">
        <f>VLOOKUP(J68,Sheet27!C:J,8,0)</f>
        <v>#N/A</v>
      </c>
      <c r="L68" s="87"/>
      <c r="M68" t="e">
        <f t="shared" si="1"/>
        <v>#N/A</v>
      </c>
    </row>
    <row r="69" spans="1:13" ht="15.75">
      <c r="A69" s="1001"/>
      <c r="B69" s="1004"/>
      <c r="C69" s="220"/>
      <c r="D69" s="296"/>
      <c r="E69" s="296"/>
      <c r="F69" s="133">
        <f t="shared" si="0"/>
        <v>0</v>
      </c>
      <c r="G69" s="133"/>
      <c r="I69" s="87" t="e">
        <f>#N/A</f>
        <v>#N/A</v>
      </c>
      <c r="K69" t="e">
        <f>VLOOKUP(J69,Sheet27!C:J,8,0)</f>
        <v>#N/A</v>
      </c>
      <c r="L69" s="87"/>
      <c r="M69" t="e">
        <f t="shared" si="1"/>
        <v>#N/A</v>
      </c>
    </row>
    <row r="70" spans="1:13" ht="15.75" customHeight="1">
      <c r="A70" s="1360">
        <v>10</v>
      </c>
      <c r="B70" s="1360" t="s">
        <v>1289</v>
      </c>
      <c r="C70" s="1001" t="s">
        <v>2567</v>
      </c>
      <c r="D70" s="1002">
        <v>63700.02</v>
      </c>
      <c r="E70" s="1002"/>
      <c r="F70" s="133">
        <f t="shared" si="0"/>
        <v>63700.02</v>
      </c>
      <c r="G70" s="133">
        <v>1.78</v>
      </c>
      <c r="I70" s="87">
        <v>0</v>
      </c>
      <c r="K70" t="e">
        <f>VLOOKUP(J70,Sheet27!C:J,8,0)</f>
        <v>#N/A</v>
      </c>
      <c r="L70" s="87"/>
      <c r="M70" t="e">
        <f t="shared" si="1"/>
        <v>#N/A</v>
      </c>
    </row>
    <row r="71" spans="1:13" ht="15.75">
      <c r="A71" s="1360"/>
      <c r="B71" s="1360"/>
      <c r="C71" s="1001" t="s">
        <v>2576</v>
      </c>
      <c r="D71" s="1002"/>
      <c r="E71" s="1002">
        <v>38560.01</v>
      </c>
      <c r="F71" s="133">
        <f t="shared" si="0"/>
        <v>38560.01</v>
      </c>
      <c r="G71" s="133"/>
      <c r="I71" s="87">
        <v>38920</v>
      </c>
      <c r="K71" t="e">
        <f>VLOOKUP(J71,Sheet27!C:J,8,0)</f>
        <v>#N/A</v>
      </c>
      <c r="L71" s="87"/>
      <c r="M71" t="e">
        <f t="shared" si="1"/>
        <v>#N/A</v>
      </c>
    </row>
    <row r="72" spans="1:13" ht="15.75">
      <c r="A72" s="1360"/>
      <c r="B72" s="1360"/>
      <c r="C72" s="1001" t="s">
        <v>2577</v>
      </c>
      <c r="D72" s="1002"/>
      <c r="E72" s="1002">
        <v>26359.88</v>
      </c>
      <c r="F72" s="133">
        <f t="shared" si="0"/>
        <v>26359.88</v>
      </c>
      <c r="G72" s="133"/>
      <c r="I72" s="87">
        <v>27880.14</v>
      </c>
      <c r="J72" t="s">
        <v>1453</v>
      </c>
      <c r="K72">
        <f>VLOOKUP(J72,Sheet27!C:J,8,0)</f>
        <v>28335</v>
      </c>
      <c r="L72" s="87">
        <f>I72/K72</f>
        <v>0.98394706193753312</v>
      </c>
      <c r="M72">
        <f t="shared" si="1"/>
        <v>-1.6052938062466933</v>
      </c>
    </row>
    <row r="73" spans="1:13" ht="15.75">
      <c r="A73" s="1360"/>
      <c r="B73" s="1360"/>
      <c r="C73" s="1000" t="s">
        <v>71</v>
      </c>
      <c r="D73" s="1003">
        <v>63700.02</v>
      </c>
      <c r="E73" s="1003">
        <v>64919.89</v>
      </c>
      <c r="F73" s="133">
        <f t="shared" ref="F73:F136" si="2">D73+E73</f>
        <v>128619.91</v>
      </c>
      <c r="G73" s="133"/>
      <c r="I73" s="87">
        <v>2699383.72</v>
      </c>
      <c r="K73" t="e">
        <f>VLOOKUP(J73,Sheet27!C:J,8,0)</f>
        <v>#N/A</v>
      </c>
      <c r="L73" s="87"/>
      <c r="M73" t="e">
        <f t="shared" si="1"/>
        <v>#N/A</v>
      </c>
    </row>
    <row r="74" spans="1:13" ht="15.75">
      <c r="A74" s="1008"/>
      <c r="B74" s="1009"/>
      <c r="C74" s="1010"/>
      <c r="D74" s="1003"/>
      <c r="E74" s="1003"/>
      <c r="F74" s="133">
        <f t="shared" si="2"/>
        <v>0</v>
      </c>
      <c r="G74" s="133"/>
      <c r="I74" s="87" t="e">
        <f>#N/A</f>
        <v>#N/A</v>
      </c>
      <c r="K74" t="e">
        <f>VLOOKUP(J74,Sheet27!C:J,8,0)</f>
        <v>#N/A</v>
      </c>
      <c r="L74" s="87"/>
      <c r="M74" t="e">
        <f t="shared" si="1"/>
        <v>#N/A</v>
      </c>
    </row>
    <row r="75" spans="1:13" ht="15.75" customHeight="1">
      <c r="A75" s="1365">
        <v>11</v>
      </c>
      <c r="B75" s="1360" t="s">
        <v>1291</v>
      </c>
      <c r="C75" s="1011" t="s">
        <v>2567</v>
      </c>
      <c r="D75" s="1002">
        <v>919709.47</v>
      </c>
      <c r="E75" s="1002"/>
      <c r="F75" s="133">
        <f t="shared" si="2"/>
        <v>919709.47</v>
      </c>
      <c r="G75" s="133">
        <v>21.16</v>
      </c>
      <c r="I75" s="87">
        <v>0</v>
      </c>
      <c r="K75" t="e">
        <f>VLOOKUP(J75,Sheet27!C:J,8,0)</f>
        <v>#N/A</v>
      </c>
      <c r="L75" s="87"/>
      <c r="M75" t="e">
        <f t="shared" si="1"/>
        <v>#N/A</v>
      </c>
    </row>
    <row r="76" spans="1:13" ht="15.75">
      <c r="A76" s="1365"/>
      <c r="B76" s="1360"/>
      <c r="C76" s="1011" t="s">
        <v>2578</v>
      </c>
      <c r="D76" s="1002">
        <v>1060198.24</v>
      </c>
      <c r="E76" s="1002"/>
      <c r="F76" s="133">
        <f t="shared" si="2"/>
        <v>1060198.24</v>
      </c>
      <c r="G76" s="133"/>
      <c r="I76" s="87">
        <v>0</v>
      </c>
      <c r="K76" t="e">
        <f>VLOOKUP(J76,Sheet27!C:J,8,0)</f>
        <v>#N/A</v>
      </c>
      <c r="L76" s="87"/>
      <c r="M76" t="e">
        <f t="shared" si="1"/>
        <v>#N/A</v>
      </c>
    </row>
    <row r="77" spans="1:13" ht="15.75">
      <c r="A77" s="1365"/>
      <c r="B77" s="1360"/>
      <c r="C77" s="1011" t="s">
        <v>2579</v>
      </c>
      <c r="D77" s="1002"/>
      <c r="E77" s="1002"/>
      <c r="F77" s="133">
        <f t="shared" si="2"/>
        <v>0</v>
      </c>
      <c r="G77" s="133"/>
      <c r="I77" s="87">
        <v>0</v>
      </c>
      <c r="K77" t="e">
        <f>VLOOKUP(J77,Sheet27!C:J,8,0)</f>
        <v>#N/A</v>
      </c>
      <c r="L77" s="87"/>
      <c r="M77" t="e">
        <f t="shared" si="1"/>
        <v>#N/A</v>
      </c>
    </row>
    <row r="78" spans="1:13" ht="15.75">
      <c r="A78" s="1365"/>
      <c r="B78" s="1360"/>
      <c r="C78" s="1011" t="s">
        <v>2580</v>
      </c>
      <c r="D78" s="1002"/>
      <c r="E78" s="1002">
        <v>172380.01</v>
      </c>
      <c r="F78" s="133">
        <f t="shared" si="2"/>
        <v>172380.01</v>
      </c>
      <c r="G78" s="133"/>
      <c r="I78" s="87">
        <v>206700</v>
      </c>
      <c r="J78" t="s">
        <v>1467</v>
      </c>
      <c r="K78">
        <f>VLOOKUP(J78,Sheet27!C:J,8,0)</f>
        <v>377700</v>
      </c>
      <c r="L78" s="87">
        <f>I78/K78</f>
        <v>0.54725972994440031</v>
      </c>
      <c r="M78">
        <f t="shared" si="1"/>
        <v>-45.274027005559972</v>
      </c>
    </row>
    <row r="79" spans="1:13" ht="15.75">
      <c r="A79" s="1365"/>
      <c r="B79" s="1360"/>
      <c r="C79" s="1011" t="s">
        <v>2581</v>
      </c>
      <c r="D79" s="1002"/>
      <c r="E79" s="1002">
        <v>477120.12</v>
      </c>
      <c r="F79" s="133">
        <f t="shared" si="2"/>
        <v>477120.12</v>
      </c>
      <c r="G79" s="133"/>
      <c r="I79" s="87">
        <v>826678.71</v>
      </c>
      <c r="J79" t="s">
        <v>1462</v>
      </c>
      <c r="K79">
        <f>VLOOKUP(J79,Sheet27!C:J,8,0)</f>
        <v>829320.00000000151</v>
      </c>
      <c r="L79" s="87">
        <f>I79/K79</f>
        <v>0.99681511358703334</v>
      </c>
      <c r="M79" s="201">
        <f t="shared" si="1"/>
        <v>-0.31848864129667026</v>
      </c>
    </row>
    <row r="80" spans="1:13" ht="15.75">
      <c r="A80" s="1365"/>
      <c r="B80" s="1360"/>
      <c r="C80" s="1011" t="s">
        <v>2582</v>
      </c>
      <c r="D80" s="1002"/>
      <c r="E80" s="1002">
        <v>336000</v>
      </c>
      <c r="F80" s="133">
        <f t="shared" si="2"/>
        <v>336000</v>
      </c>
      <c r="G80" s="133"/>
      <c r="I80" s="87">
        <v>602040.52</v>
      </c>
      <c r="J80" t="s">
        <v>1463</v>
      </c>
      <c r="K80">
        <f>VLOOKUP(J80,Sheet27!C:J,8,0)</f>
        <v>569040.00000000093</v>
      </c>
      <c r="L80" s="87">
        <f>I80/K80</f>
        <v>1.0579933220863191</v>
      </c>
      <c r="M80" s="201">
        <f t="shared" si="1"/>
        <v>5.7993322086319123</v>
      </c>
    </row>
    <row r="81" spans="1:13" ht="15.75">
      <c r="A81" s="1365"/>
      <c r="B81" s="1360"/>
      <c r="C81" s="1011" t="s">
        <v>2583</v>
      </c>
      <c r="D81" s="1002"/>
      <c r="E81" s="1002">
        <v>524189.94</v>
      </c>
      <c r="F81" s="133">
        <f t="shared" si="2"/>
        <v>524189.94</v>
      </c>
      <c r="G81" s="133"/>
      <c r="I81" s="87">
        <v>808829.59</v>
      </c>
      <c r="J81" t="s">
        <v>1465</v>
      </c>
      <c r="K81">
        <f>VLOOKUP(J81,Sheet27!C:J,8,0)</f>
        <v>821219.9999999993</v>
      </c>
      <c r="L81" s="87">
        <f>I81/K81</f>
        <v>0.98491219161735055</v>
      </c>
      <c r="M81">
        <f t="shared" si="1"/>
        <v>-1.5087808382649404</v>
      </c>
    </row>
    <row r="82" spans="1:13" ht="15.75">
      <c r="A82" s="1365"/>
      <c r="B82" s="1360"/>
      <c r="C82" s="1011" t="s">
        <v>2584</v>
      </c>
      <c r="D82" s="1002"/>
      <c r="E82" s="1002">
        <v>533759.76</v>
      </c>
      <c r="F82" s="133">
        <f t="shared" si="2"/>
        <v>533759.76</v>
      </c>
      <c r="G82" s="133"/>
      <c r="I82" s="87">
        <v>796319.82</v>
      </c>
      <c r="J82" t="s">
        <v>1460</v>
      </c>
      <c r="K82">
        <f>VLOOKUP(J82,Sheet27!C:J,8,0)</f>
        <v>799080.00000000175</v>
      </c>
      <c r="L82" s="87">
        <f>I82/K82</f>
        <v>0.9965458026730718</v>
      </c>
      <c r="M82">
        <f t="shared" ref="M82:M145" si="3">(I82-K82)/K82*100</f>
        <v>-0.34541973269282067</v>
      </c>
    </row>
    <row r="83" spans="1:13" ht="15.75">
      <c r="A83" s="1365"/>
      <c r="B83" s="1360"/>
      <c r="C83" s="1000" t="s">
        <v>71</v>
      </c>
      <c r="D83" s="1003">
        <v>1979907.71</v>
      </c>
      <c r="E83" s="1003">
        <v>2043449.84</v>
      </c>
      <c r="F83" s="133">
        <f t="shared" si="2"/>
        <v>4023357.55</v>
      </c>
      <c r="G83" s="133"/>
      <c r="I83" s="87">
        <v>2699383.72</v>
      </c>
      <c r="K83" t="e">
        <f>VLOOKUP(J83,Sheet27!C:J,8,0)</f>
        <v>#N/A</v>
      </c>
      <c r="L83" s="87"/>
      <c r="M83" t="e">
        <f t="shared" si="3"/>
        <v>#N/A</v>
      </c>
    </row>
    <row r="84" spans="1:13" ht="15" customHeight="1">
      <c r="A84" s="1365">
        <v>12</v>
      </c>
      <c r="B84" s="1360" t="s">
        <v>2585</v>
      </c>
      <c r="C84" s="1012"/>
      <c r="D84" s="1013"/>
      <c r="E84" s="296"/>
      <c r="F84" s="133">
        <f t="shared" si="2"/>
        <v>0</v>
      </c>
      <c r="G84" s="133"/>
      <c r="I84" s="87" t="e">
        <f>#N/A</f>
        <v>#N/A</v>
      </c>
      <c r="K84" t="e">
        <f>VLOOKUP(J84,Sheet27!C:J,8,0)</f>
        <v>#N/A</v>
      </c>
      <c r="L84" s="87"/>
      <c r="M84" t="e">
        <f t="shared" si="3"/>
        <v>#N/A</v>
      </c>
    </row>
    <row r="85" spans="1:13" ht="15.75">
      <c r="A85" s="1365"/>
      <c r="B85" s="1360"/>
      <c r="C85" s="174" t="s">
        <v>2586</v>
      </c>
      <c r="D85" s="1014">
        <v>0</v>
      </c>
      <c r="E85" s="1002"/>
      <c r="F85" s="133">
        <f t="shared" si="2"/>
        <v>0</v>
      </c>
      <c r="G85" s="133">
        <v>3.75</v>
      </c>
      <c r="I85" s="87">
        <v>0</v>
      </c>
      <c r="K85" t="e">
        <f>VLOOKUP(J85,Sheet27!C:J,8,0)</f>
        <v>#N/A</v>
      </c>
      <c r="L85" s="87"/>
      <c r="M85" t="e">
        <f t="shared" si="3"/>
        <v>#N/A</v>
      </c>
    </row>
    <row r="86" spans="1:13" ht="15.75">
      <c r="A86" s="1365"/>
      <c r="B86" s="1360"/>
      <c r="C86" s="174" t="s">
        <v>2587</v>
      </c>
      <c r="D86" s="1014"/>
      <c r="E86" s="1002">
        <v>287219.96999999997</v>
      </c>
      <c r="F86" s="133">
        <f t="shared" si="2"/>
        <v>287219.96999999997</v>
      </c>
      <c r="G86" s="133"/>
      <c r="I86" s="87">
        <v>293380.01</v>
      </c>
      <c r="J86">
        <v>3310877</v>
      </c>
      <c r="K86">
        <f>VLOOKUP(J86,Sheet27!C:J,8,0)</f>
        <v>299763.00000000017</v>
      </c>
      <c r="L86" s="87">
        <f>I86/K86</f>
        <v>0.97870654483708741</v>
      </c>
      <c r="M86" s="1015">
        <f t="shared" si="3"/>
        <v>-2.1293455162912571</v>
      </c>
    </row>
    <row r="87" spans="1:13" ht="15.75">
      <c r="A87" s="1365"/>
      <c r="B87" s="1360"/>
      <c r="C87" s="174" t="s">
        <v>2588</v>
      </c>
      <c r="D87" s="1014"/>
      <c r="E87" s="1002">
        <v>290320.01</v>
      </c>
      <c r="F87" s="133">
        <f t="shared" si="2"/>
        <v>290320.01</v>
      </c>
      <c r="G87" s="133"/>
      <c r="I87" s="87">
        <v>296739.99</v>
      </c>
      <c r="J87" t="s">
        <v>1926</v>
      </c>
      <c r="K87">
        <f>VLOOKUP(J87,Sheet27!C:J,8,0)</f>
        <v>698160.00000000081</v>
      </c>
      <c r="L87" s="87">
        <f>I87/K87</f>
        <v>0.42503149707803317</v>
      </c>
      <c r="M87">
        <f t="shared" si="3"/>
        <v>-57.496850292196676</v>
      </c>
    </row>
    <row r="88" spans="1:13" ht="15.75">
      <c r="A88" s="1365"/>
      <c r="B88" s="1360"/>
      <c r="C88" s="1000" t="s">
        <v>71</v>
      </c>
      <c r="D88" s="1003">
        <v>0</v>
      </c>
      <c r="E88" s="1003">
        <v>577539.98</v>
      </c>
      <c r="F88" s="133">
        <f t="shared" si="2"/>
        <v>577539.98</v>
      </c>
      <c r="G88" s="133"/>
      <c r="I88" s="87">
        <v>2699383.72</v>
      </c>
      <c r="K88" t="e">
        <f>VLOOKUP(J88,Sheet27!C:J,8,0)</f>
        <v>#N/A</v>
      </c>
      <c r="L88" s="87"/>
      <c r="M88" t="e">
        <f t="shared" si="3"/>
        <v>#N/A</v>
      </c>
    </row>
    <row r="89" spans="1:13" ht="15" customHeight="1">
      <c r="A89" s="1365"/>
      <c r="B89" s="1360"/>
      <c r="C89" s="12"/>
      <c r="D89" s="12"/>
      <c r="E89" s="1016"/>
      <c r="F89" s="133">
        <f t="shared" si="2"/>
        <v>0</v>
      </c>
      <c r="G89" s="133"/>
      <c r="I89" s="87" t="e">
        <f>#N/A</f>
        <v>#N/A</v>
      </c>
      <c r="K89" t="e">
        <f>VLOOKUP(J89,Sheet27!C:J,8,0)</f>
        <v>#N/A</v>
      </c>
      <c r="L89" s="87"/>
      <c r="M89" t="e">
        <f t="shared" si="3"/>
        <v>#N/A</v>
      </c>
    </row>
    <row r="90" spans="1:13" ht="15" customHeight="1">
      <c r="A90" s="1365">
        <v>13</v>
      </c>
      <c r="B90" s="1360" t="s">
        <v>2589</v>
      </c>
      <c r="C90" s="220" t="s">
        <v>2586</v>
      </c>
      <c r="D90" s="220">
        <v>28080.03</v>
      </c>
      <c r="E90" s="220"/>
      <c r="F90" s="133">
        <f t="shared" si="2"/>
        <v>28080.03</v>
      </c>
      <c r="G90" s="133">
        <v>26.19647106</v>
      </c>
      <c r="I90" s="87">
        <v>0</v>
      </c>
      <c r="K90" t="e">
        <f>VLOOKUP(J90,Sheet27!C:J,8,0)</f>
        <v>#N/A</v>
      </c>
      <c r="L90" s="87"/>
      <c r="M90" t="e">
        <f t="shared" si="3"/>
        <v>#N/A</v>
      </c>
    </row>
    <row r="91" spans="1:13" ht="15" customHeight="1">
      <c r="A91" s="1365"/>
      <c r="B91" s="1360"/>
      <c r="C91" s="220" t="s">
        <v>2590</v>
      </c>
      <c r="D91" s="220"/>
      <c r="E91" s="220">
        <v>4400</v>
      </c>
      <c r="F91" s="133">
        <f t="shared" si="2"/>
        <v>4400</v>
      </c>
      <c r="G91" s="133"/>
      <c r="I91" s="87">
        <v>4400</v>
      </c>
      <c r="J91" t="s">
        <v>1475</v>
      </c>
      <c r="K91">
        <f>VLOOKUP(J91,Sheet27!C:J,8,0)</f>
        <v>19010</v>
      </c>
      <c r="L91" s="87">
        <f>I91/K91</f>
        <v>0.23145712782745922</v>
      </c>
      <c r="M91" s="201">
        <f t="shared" si="3"/>
        <v>-76.854287217254083</v>
      </c>
    </row>
    <row r="92" spans="1:13" ht="15" customHeight="1">
      <c r="A92" s="1365"/>
      <c r="B92" s="1360"/>
      <c r="C92" s="220" t="s">
        <v>2591</v>
      </c>
      <c r="D92" s="220"/>
      <c r="E92" s="220">
        <v>17559.98</v>
      </c>
      <c r="F92" s="133">
        <f t="shared" si="2"/>
        <v>17559.98</v>
      </c>
      <c r="G92" s="133"/>
      <c r="I92" s="87">
        <v>16199.97</v>
      </c>
      <c r="J92" t="s">
        <v>1477</v>
      </c>
      <c r="K92">
        <f>VLOOKUP(J92,Sheet27!C:J,8,0)</f>
        <v>6400</v>
      </c>
      <c r="L92" s="87">
        <f>I92/K92</f>
        <v>2.5312453124999998</v>
      </c>
      <c r="M92" s="201">
        <f t="shared" si="3"/>
        <v>153.12453124999999</v>
      </c>
    </row>
    <row r="93" spans="1:13" ht="15.75">
      <c r="A93" s="1365"/>
      <c r="B93" s="1360"/>
      <c r="C93" s="1000" t="s">
        <v>71</v>
      </c>
      <c r="D93" s="220">
        <v>28080.0291</v>
      </c>
      <c r="E93" s="220">
        <v>21959.980299999999</v>
      </c>
      <c r="F93" s="133">
        <f t="shared" si="2"/>
        <v>50040.009399999995</v>
      </c>
      <c r="G93" s="133"/>
      <c r="I93" s="87">
        <v>2699383.72</v>
      </c>
      <c r="J93" t="s">
        <v>2562</v>
      </c>
      <c r="K93" t="e">
        <f>VLOOKUP(J93,Sheet27!C:J,8,0)</f>
        <v>#N/A</v>
      </c>
      <c r="L93" s="87"/>
      <c r="M93" t="e">
        <f t="shared" si="3"/>
        <v>#N/A</v>
      </c>
    </row>
    <row r="94" spans="1:13" ht="15.75" customHeight="1">
      <c r="A94" s="1360">
        <v>13</v>
      </c>
      <c r="B94" s="1360" t="s">
        <v>2592</v>
      </c>
      <c r="C94" s="1001" t="s">
        <v>2546</v>
      </c>
      <c r="D94" s="1002">
        <v>1187279.3</v>
      </c>
      <c r="E94" s="1002"/>
      <c r="F94" s="133">
        <f t="shared" si="2"/>
        <v>1187279.3</v>
      </c>
      <c r="G94" s="133">
        <v>5.5</v>
      </c>
      <c r="I94" s="87">
        <v>0</v>
      </c>
      <c r="K94" t="e">
        <f>VLOOKUP(J94,Sheet27!C:J,8,0)</f>
        <v>#N/A</v>
      </c>
      <c r="L94" s="87"/>
      <c r="M94" t="e">
        <f t="shared" si="3"/>
        <v>#N/A</v>
      </c>
    </row>
    <row r="95" spans="1:13" ht="15.75">
      <c r="A95" s="1360"/>
      <c r="B95" s="1360"/>
      <c r="C95" s="1001" t="s">
        <v>2593</v>
      </c>
      <c r="D95" s="1002"/>
      <c r="E95" s="1002">
        <v>26859.99</v>
      </c>
      <c r="F95" s="133">
        <f t="shared" si="2"/>
        <v>26859.99</v>
      </c>
      <c r="G95" s="133"/>
      <c r="I95" s="87">
        <v>29680.06</v>
      </c>
      <c r="J95" t="s">
        <v>1822</v>
      </c>
      <c r="K95">
        <f>VLOOKUP(J95,Sheet27!C:J,8,0)</f>
        <v>29680</v>
      </c>
      <c r="L95" s="87">
        <f>I95/K95</f>
        <v>1.0000020215633423</v>
      </c>
      <c r="M95">
        <f t="shared" si="3"/>
        <v>2.0215633423621858E-4</v>
      </c>
    </row>
    <row r="96" spans="1:13" ht="15.75">
      <c r="A96" s="1360"/>
      <c r="B96" s="1360"/>
      <c r="C96" s="1001" t="s">
        <v>2594</v>
      </c>
      <c r="D96" s="1002"/>
      <c r="E96" s="1002">
        <v>368399.99</v>
      </c>
      <c r="F96" s="133">
        <f t="shared" si="2"/>
        <v>368399.99</v>
      </c>
      <c r="G96" s="133"/>
      <c r="I96" s="87">
        <v>502160.03</v>
      </c>
      <c r="J96" t="s">
        <v>1820</v>
      </c>
      <c r="K96">
        <f>VLOOKUP(J96,Sheet27!C:J,8,0)</f>
        <v>502000</v>
      </c>
      <c r="L96" s="87">
        <f>I96/K96</f>
        <v>1.0003187848605579</v>
      </c>
      <c r="M96" s="1015">
        <f t="shared" si="3"/>
        <v>3.187848605578246E-2</v>
      </c>
    </row>
    <row r="97" spans="1:13" ht="15.75">
      <c r="A97" s="1360"/>
      <c r="B97" s="1360"/>
      <c r="C97" s="1001" t="s">
        <v>2595</v>
      </c>
      <c r="D97" s="1002"/>
      <c r="E97" s="1002">
        <v>781863.28</v>
      </c>
      <c r="F97" s="133">
        <f t="shared" si="2"/>
        <v>781863.28</v>
      </c>
      <c r="G97" s="133"/>
      <c r="I97" s="87">
        <v>1170298.83</v>
      </c>
      <c r="J97" t="s">
        <v>1818</v>
      </c>
      <c r="K97">
        <f>VLOOKUP(J97,Sheet27!C:J,8,0)</f>
        <v>1169799.9999999884</v>
      </c>
      <c r="L97" s="87">
        <f>I97/K97</f>
        <v>1.0004264233202358</v>
      </c>
      <c r="M97">
        <f t="shared" si="3"/>
        <v>4.2642332023569929E-2</v>
      </c>
    </row>
    <row r="98" spans="1:13" ht="15.75">
      <c r="A98" s="1360"/>
      <c r="B98" s="1360"/>
      <c r="C98" s="1000" t="s">
        <v>91</v>
      </c>
      <c r="D98" s="1002">
        <v>1187279.3</v>
      </c>
      <c r="E98" s="1003">
        <v>1177123.26</v>
      </c>
      <c r="F98" s="133">
        <f t="shared" si="2"/>
        <v>2364402.56</v>
      </c>
      <c r="G98" s="133"/>
      <c r="I98" s="87">
        <v>1702138.92</v>
      </c>
      <c r="K98" t="e">
        <f>VLOOKUP(J98,Sheet27!C:J,8,0)</f>
        <v>#N/A</v>
      </c>
      <c r="L98" s="87"/>
      <c r="M98" t="e">
        <f t="shared" si="3"/>
        <v>#N/A</v>
      </c>
    </row>
    <row r="99" spans="1:13" ht="15.75" customHeight="1">
      <c r="A99" s="1360">
        <v>14</v>
      </c>
      <c r="B99" s="1360" t="s">
        <v>1071</v>
      </c>
      <c r="C99" s="1001" t="s">
        <v>2586</v>
      </c>
      <c r="D99" s="1002">
        <v>1136882.81</v>
      </c>
      <c r="E99" s="1002"/>
      <c r="F99" s="133">
        <f t="shared" si="2"/>
        <v>1136882.81</v>
      </c>
      <c r="G99" s="133">
        <v>-2.2999999999999998</v>
      </c>
      <c r="I99" s="87">
        <v>0</v>
      </c>
      <c r="K99" t="e">
        <f>VLOOKUP(J99,Sheet27!C:J,8,0)</f>
        <v>#N/A</v>
      </c>
      <c r="L99" s="87"/>
      <c r="M99" t="e">
        <f t="shared" si="3"/>
        <v>#N/A</v>
      </c>
    </row>
    <row r="100" spans="1:13" ht="15.75">
      <c r="A100" s="1360"/>
      <c r="B100" s="1360"/>
      <c r="C100" s="1001" t="s">
        <v>2596</v>
      </c>
      <c r="D100" s="1002"/>
      <c r="E100" s="1002">
        <v>697839.84</v>
      </c>
      <c r="F100" s="133">
        <f t="shared" si="2"/>
        <v>697839.84</v>
      </c>
      <c r="G100" s="133"/>
      <c r="I100" s="87">
        <v>911480.47</v>
      </c>
      <c r="J100" t="s">
        <v>1847</v>
      </c>
      <c r="K100">
        <f>VLOOKUP(J100,Sheet27!C:J,8,0)</f>
        <v>908664.3949999999</v>
      </c>
      <c r="L100" s="87">
        <f>I100/K100</f>
        <v>1.0030991365079294</v>
      </c>
      <c r="M100">
        <f t="shared" si="3"/>
        <v>0.30991365079293881</v>
      </c>
    </row>
    <row r="101" spans="1:13" ht="15.75">
      <c r="A101" s="1360"/>
      <c r="B101" s="1360"/>
      <c r="C101" s="1001" t="s">
        <v>2597</v>
      </c>
      <c r="D101" s="1002"/>
      <c r="E101" s="1002">
        <v>475800.78</v>
      </c>
      <c r="F101" s="133">
        <f t="shared" si="2"/>
        <v>475800.78</v>
      </c>
      <c r="G101" s="133"/>
      <c r="I101" s="87">
        <v>693919.92</v>
      </c>
      <c r="J101" t="s">
        <v>1846</v>
      </c>
      <c r="K101">
        <f>VLOOKUP(J101,Sheet27!C:J,8,0)</f>
        <v>691464.93799999799</v>
      </c>
      <c r="L101" s="87">
        <f>I101/K101</f>
        <v>1.0035504070634482</v>
      </c>
      <c r="M101">
        <f t="shared" si="3"/>
        <v>0.35504070634483315</v>
      </c>
    </row>
    <row r="102" spans="1:13" ht="15.75">
      <c r="A102" s="1360"/>
      <c r="B102" s="1360"/>
      <c r="C102" s="1000" t="s">
        <v>91</v>
      </c>
      <c r="D102" s="1002">
        <v>1136882.81</v>
      </c>
      <c r="E102" s="1003">
        <v>1173640.6299999999</v>
      </c>
      <c r="F102" s="133">
        <f t="shared" si="2"/>
        <v>2310523.44</v>
      </c>
      <c r="G102" s="133"/>
      <c r="I102" s="87">
        <v>1702138.92</v>
      </c>
      <c r="K102" t="e">
        <f>VLOOKUP(J102,Sheet27!C:J,8,0)</f>
        <v>#N/A</v>
      </c>
      <c r="L102" s="87"/>
      <c r="M102" t="e">
        <f t="shared" si="3"/>
        <v>#N/A</v>
      </c>
    </row>
    <row r="103" spans="1:13" ht="15.75" customHeight="1">
      <c r="A103" s="1360">
        <v>15</v>
      </c>
      <c r="B103" s="1360" t="s">
        <v>2598</v>
      </c>
      <c r="C103" s="1001" t="s">
        <v>2546</v>
      </c>
      <c r="D103" s="1002">
        <v>2118481.08</v>
      </c>
      <c r="E103" s="1002"/>
      <c r="F103" s="133">
        <f t="shared" si="2"/>
        <v>2118481.08</v>
      </c>
      <c r="G103" s="133">
        <v>-10.25</v>
      </c>
      <c r="I103" s="87">
        <v>0</v>
      </c>
      <c r="K103" t="e">
        <f>VLOOKUP(J103,Sheet27!C:J,8,0)</f>
        <v>#N/A</v>
      </c>
      <c r="L103" s="87"/>
      <c r="M103" t="e">
        <f t="shared" si="3"/>
        <v>#N/A</v>
      </c>
    </row>
    <row r="104" spans="1:13" ht="15.75">
      <c r="A104" s="1360"/>
      <c r="B104" s="1360"/>
      <c r="C104" s="1001" t="s">
        <v>2547</v>
      </c>
      <c r="D104" s="1002">
        <v>1219781</v>
      </c>
      <c r="E104" s="1002"/>
      <c r="F104" s="133">
        <f t="shared" si="2"/>
        <v>1219781</v>
      </c>
      <c r="G104" s="133"/>
      <c r="I104" s="87">
        <v>0</v>
      </c>
      <c r="K104" t="e">
        <f>VLOOKUP(J104,Sheet27!C:J,8,0)</f>
        <v>#N/A</v>
      </c>
      <c r="L104" s="87"/>
      <c r="M104" t="e">
        <f t="shared" si="3"/>
        <v>#N/A</v>
      </c>
    </row>
    <row r="105" spans="1:13" ht="15.75">
      <c r="A105" s="1360"/>
      <c r="B105" s="1360"/>
      <c r="C105" s="1001" t="s">
        <v>2599</v>
      </c>
      <c r="D105" s="1002"/>
      <c r="E105" s="1002">
        <v>1575902.34</v>
      </c>
      <c r="F105" s="133">
        <f t="shared" si="2"/>
        <v>1575902.34</v>
      </c>
      <c r="G105" s="133"/>
      <c r="I105" s="87">
        <v>2184597.66</v>
      </c>
      <c r="J105" t="s">
        <v>1656</v>
      </c>
      <c r="K105">
        <f>VLOOKUP(J105,Sheet27!C:J,8,0)</f>
        <v>2179440</v>
      </c>
      <c r="L105" s="87">
        <f>I105/K105</f>
        <v>1.002366506992622</v>
      </c>
      <c r="M105">
        <f t="shared" si="3"/>
        <v>0.23665069926220261</v>
      </c>
    </row>
    <row r="106" spans="1:13" ht="15.75">
      <c r="A106" s="1360"/>
      <c r="B106" s="1360"/>
      <c r="C106" s="1001" t="s">
        <v>2600</v>
      </c>
      <c r="D106" s="1002"/>
      <c r="E106" s="1002">
        <v>524159.18</v>
      </c>
      <c r="F106" s="133">
        <f t="shared" si="2"/>
        <v>524159.18</v>
      </c>
      <c r="G106" s="133"/>
      <c r="I106" s="87">
        <v>749762.69</v>
      </c>
      <c r="J106" t="s">
        <v>1658</v>
      </c>
      <c r="K106">
        <f>VLOOKUP(J106,Sheet27!C:J,8,0)</f>
        <v>752199.99999999709</v>
      </c>
      <c r="L106" s="87">
        <f>I106/K106</f>
        <v>0.99675975804307748</v>
      </c>
      <c r="M106">
        <f t="shared" si="3"/>
        <v>-0.32402419569225671</v>
      </c>
    </row>
    <row r="107" spans="1:13" ht="15.75">
      <c r="A107" s="1360"/>
      <c r="B107" s="1360"/>
      <c r="C107" s="1001" t="s">
        <v>2601</v>
      </c>
      <c r="D107" s="1002"/>
      <c r="E107" s="1002">
        <v>516000</v>
      </c>
      <c r="F107" s="133">
        <f t="shared" si="2"/>
        <v>516000</v>
      </c>
      <c r="G107" s="133"/>
      <c r="I107" s="87">
        <v>775500</v>
      </c>
      <c r="J107" t="s">
        <v>1654</v>
      </c>
      <c r="K107">
        <f>VLOOKUP(J107,Sheet27!C:J,8,0)</f>
        <v>772440.00000000955</v>
      </c>
      <c r="L107" s="87">
        <f>I107/K107</f>
        <v>1.003961472735734</v>
      </c>
      <c r="M107">
        <f t="shared" si="3"/>
        <v>0.39614727357340584</v>
      </c>
    </row>
    <row r="108" spans="1:13" ht="15.75">
      <c r="A108" s="1360"/>
      <c r="B108" s="1360"/>
      <c r="C108" s="1001" t="s">
        <v>2602</v>
      </c>
      <c r="D108" s="1002"/>
      <c r="E108" s="1002">
        <v>675039.06</v>
      </c>
      <c r="F108" s="133">
        <f t="shared" si="2"/>
        <v>675039.06</v>
      </c>
      <c r="G108" s="133"/>
      <c r="I108" s="87">
        <v>973921.88</v>
      </c>
      <c r="J108" t="s">
        <v>1652</v>
      </c>
      <c r="K108">
        <f>VLOOKUP(J108,Sheet27!C:J,8,0)</f>
        <v>970879.9999999901</v>
      </c>
      <c r="L108" s="87">
        <f>I108/K108</f>
        <v>1.0031331163480657</v>
      </c>
      <c r="M108">
        <f t="shared" si="3"/>
        <v>0.3133116348065601</v>
      </c>
    </row>
    <row r="109" spans="1:13" ht="15.75">
      <c r="A109" s="1360"/>
      <c r="B109" s="1360"/>
      <c r="C109" s="1000" t="s">
        <v>91</v>
      </c>
      <c r="D109" s="1003">
        <v>3338262.09</v>
      </c>
      <c r="E109" s="1003">
        <v>3291100.58</v>
      </c>
      <c r="F109" s="133">
        <f t="shared" si="2"/>
        <v>6629362.6699999999</v>
      </c>
      <c r="G109" s="133"/>
      <c r="I109" s="87">
        <v>1702138.92</v>
      </c>
      <c r="K109" t="e">
        <f>VLOOKUP(J109,Sheet27!C:J,8,0)</f>
        <v>#N/A</v>
      </c>
      <c r="L109" s="87"/>
      <c r="M109" t="e">
        <f t="shared" si="3"/>
        <v>#N/A</v>
      </c>
    </row>
    <row r="110" spans="1:13" ht="15.75" customHeight="1">
      <c r="A110" s="1360">
        <v>16</v>
      </c>
      <c r="B110" s="1360" t="s">
        <v>2603</v>
      </c>
      <c r="C110" s="1001" t="s">
        <v>2546</v>
      </c>
      <c r="D110" s="1002">
        <v>1223103.52</v>
      </c>
      <c r="E110" s="1002"/>
      <c r="F110" s="133">
        <f t="shared" si="2"/>
        <v>1223103.52</v>
      </c>
      <c r="G110" s="133">
        <v>0.47</v>
      </c>
      <c r="I110" s="87">
        <v>0</v>
      </c>
      <c r="K110" t="e">
        <f>VLOOKUP(J110,Sheet27!C:J,8,0)</f>
        <v>#N/A</v>
      </c>
      <c r="L110" s="87"/>
      <c r="M110" t="e">
        <f t="shared" si="3"/>
        <v>#N/A</v>
      </c>
    </row>
    <row r="111" spans="1:13" ht="15.75">
      <c r="A111" s="1360"/>
      <c r="B111" s="1360"/>
      <c r="C111" s="1001" t="s">
        <v>2547</v>
      </c>
      <c r="D111" s="1002">
        <v>1184853.51</v>
      </c>
      <c r="E111" s="1002"/>
      <c r="F111" s="133">
        <f t="shared" si="2"/>
        <v>1184853.51</v>
      </c>
      <c r="G111" s="133"/>
      <c r="I111" s="87">
        <v>0</v>
      </c>
      <c r="K111" t="e">
        <f>VLOOKUP(J111,Sheet27!C:J,8,0)</f>
        <v>#N/A</v>
      </c>
      <c r="L111" s="87"/>
      <c r="M111" t="e">
        <f t="shared" si="3"/>
        <v>#N/A</v>
      </c>
    </row>
    <row r="112" spans="1:13" ht="15.75">
      <c r="A112" s="1360"/>
      <c r="B112" s="1360"/>
      <c r="C112" s="1001" t="s">
        <v>2604</v>
      </c>
      <c r="D112" s="1002">
        <v>1139879.8899999999</v>
      </c>
      <c r="E112" s="1002"/>
      <c r="F112" s="133">
        <f t="shared" si="2"/>
        <v>1139879.8899999999</v>
      </c>
      <c r="G112" s="133"/>
      <c r="I112" s="87">
        <v>0</v>
      </c>
      <c r="K112" t="e">
        <f>VLOOKUP(J112,Sheet27!C:J,8,0)</f>
        <v>#N/A</v>
      </c>
      <c r="L112" s="87"/>
      <c r="M112" t="e">
        <f t="shared" si="3"/>
        <v>#N/A</v>
      </c>
    </row>
    <row r="113" spans="1:13" ht="15.75">
      <c r="A113" s="1360"/>
      <c r="B113" s="1360"/>
      <c r="C113" s="1001" t="s">
        <v>2605</v>
      </c>
      <c r="D113" s="1002"/>
      <c r="E113" s="1002">
        <v>613839.85</v>
      </c>
      <c r="F113" s="133">
        <f t="shared" si="2"/>
        <v>613839.85</v>
      </c>
      <c r="G113" s="133"/>
      <c r="I113" s="87">
        <v>945201.17</v>
      </c>
      <c r="J113">
        <v>9916388</v>
      </c>
      <c r="K113">
        <f>VLOOKUP(J113,Sheet27!C:J,8,0)</f>
        <v>985387.99999999814</v>
      </c>
      <c r="L113" s="87">
        <f>I113/K113</f>
        <v>0.95921725249343592</v>
      </c>
      <c r="M113">
        <f t="shared" si="3"/>
        <v>-4.0782747506564085</v>
      </c>
    </row>
    <row r="114" spans="1:13" ht="15.75">
      <c r="A114" s="1360"/>
      <c r="B114" s="1360"/>
      <c r="C114" s="1001" t="s">
        <v>2606</v>
      </c>
      <c r="D114" s="1002"/>
      <c r="E114" s="1002">
        <v>503200.19</v>
      </c>
      <c r="F114" s="133">
        <f t="shared" si="2"/>
        <v>503200.19</v>
      </c>
      <c r="G114" s="133"/>
      <c r="I114" s="87">
        <v>757000</v>
      </c>
      <c r="J114">
        <v>9916390</v>
      </c>
      <c r="K114">
        <f>VLOOKUP(J114,Sheet27!C:J,8,0)</f>
        <v>760227.99999999814</v>
      </c>
      <c r="L114" s="87">
        <f>I114/K114</f>
        <v>0.99575390540732756</v>
      </c>
      <c r="M114">
        <f t="shared" si="3"/>
        <v>-0.42460945926723892</v>
      </c>
    </row>
    <row r="115" spans="1:13" ht="15.75">
      <c r="A115" s="1360"/>
      <c r="B115" s="1360"/>
      <c r="C115" s="1001" t="s">
        <v>2607</v>
      </c>
      <c r="D115" s="1002"/>
      <c r="E115" s="1002">
        <v>1143120.1200000001</v>
      </c>
      <c r="F115" s="133">
        <f t="shared" si="2"/>
        <v>1143120.1200000001</v>
      </c>
      <c r="G115" s="133"/>
      <c r="I115" s="87">
        <v>1587479.74</v>
      </c>
      <c r="J115" t="s">
        <v>1838</v>
      </c>
      <c r="K115">
        <f>VLOOKUP(J115,Sheet27!C:J,8,0)</f>
        <v>1589879.9999999974</v>
      </c>
      <c r="L115" s="87">
        <f>I115/K115</f>
        <v>0.99849028857524003</v>
      </c>
      <c r="M115">
        <f t="shared" si="3"/>
        <v>-0.15097114247600146</v>
      </c>
    </row>
    <row r="116" spans="1:13" ht="15.75">
      <c r="A116" s="1360"/>
      <c r="B116" s="1360"/>
      <c r="C116" s="1001" t="s">
        <v>2608</v>
      </c>
      <c r="D116" s="1002"/>
      <c r="E116" s="1002">
        <v>561960.21</v>
      </c>
      <c r="F116" s="133">
        <f t="shared" si="2"/>
        <v>561960.21</v>
      </c>
      <c r="G116" s="133"/>
      <c r="I116" s="87">
        <v>721919.68</v>
      </c>
      <c r="J116" t="s">
        <v>1840</v>
      </c>
      <c r="K116">
        <f>VLOOKUP(J116,Sheet27!C:J,8,0)</f>
        <v>721000</v>
      </c>
      <c r="L116" s="87">
        <f>I116/K116</f>
        <v>1.0012755617198337</v>
      </c>
      <c r="M116">
        <f t="shared" si="3"/>
        <v>0.12755617198336355</v>
      </c>
    </row>
    <row r="117" spans="1:13" ht="15.75">
      <c r="A117" s="1360"/>
      <c r="B117" s="1360"/>
      <c r="C117" s="1001" t="s">
        <v>2609</v>
      </c>
      <c r="D117" s="1002"/>
      <c r="E117" s="1002">
        <v>659701.17000000004</v>
      </c>
      <c r="F117" s="133">
        <f t="shared" si="2"/>
        <v>659701.17000000004</v>
      </c>
      <c r="G117" s="133"/>
      <c r="I117" s="87">
        <v>949198.24</v>
      </c>
      <c r="J117" t="s">
        <v>1843</v>
      </c>
      <c r="K117">
        <f>VLOOKUP(J117,Sheet27!C:J,8,0)</f>
        <v>1420600.0000000058</v>
      </c>
      <c r="L117" s="87">
        <f>I117/K117</f>
        <v>0.66816714064479521</v>
      </c>
      <c r="M117" s="1015">
        <f t="shared" si="3"/>
        <v>-33.18328593552048</v>
      </c>
    </row>
    <row r="118" spans="1:13" ht="15.75">
      <c r="A118" s="1360"/>
      <c r="B118" s="1360"/>
      <c r="C118" s="1000" t="s">
        <v>91</v>
      </c>
      <c r="D118" s="1003">
        <v>3547836.92</v>
      </c>
      <c r="E118" s="1003">
        <v>3481821.54</v>
      </c>
      <c r="F118" s="133">
        <f t="shared" si="2"/>
        <v>7029658.46</v>
      </c>
      <c r="G118" s="133"/>
      <c r="I118" s="87">
        <v>1702138.92</v>
      </c>
      <c r="K118" t="e">
        <f>VLOOKUP(J118,Sheet27!C:J,8,0)</f>
        <v>#N/A</v>
      </c>
      <c r="L118" s="87"/>
      <c r="M118" t="e">
        <f t="shared" si="3"/>
        <v>#N/A</v>
      </c>
    </row>
    <row r="119" spans="1:13" ht="15.75" customHeight="1">
      <c r="A119" s="1361">
        <v>17</v>
      </c>
      <c r="B119" s="1363" t="s">
        <v>1068</v>
      </c>
      <c r="C119" s="1019" t="s">
        <v>2546</v>
      </c>
      <c r="D119" s="1002">
        <v>2305558.59</v>
      </c>
      <c r="E119" s="1002"/>
      <c r="F119" s="133">
        <f t="shared" si="2"/>
        <v>2305558.59</v>
      </c>
      <c r="G119" s="133">
        <v>3.97</v>
      </c>
      <c r="I119" s="87">
        <v>0</v>
      </c>
      <c r="K119" t="e">
        <f>VLOOKUP(J119,Sheet27!C:J,8,0)</f>
        <v>#N/A</v>
      </c>
      <c r="L119" s="87"/>
      <c r="M119" t="e">
        <f t="shared" si="3"/>
        <v>#N/A</v>
      </c>
    </row>
    <row r="120" spans="1:13" ht="15.75">
      <c r="A120" s="1361"/>
      <c r="B120" s="1363"/>
      <c r="C120" s="1019" t="s">
        <v>2547</v>
      </c>
      <c r="D120" s="1002">
        <v>1062000</v>
      </c>
      <c r="E120" s="1002"/>
      <c r="F120" s="133">
        <f t="shared" si="2"/>
        <v>1062000</v>
      </c>
      <c r="G120" s="133"/>
      <c r="I120" s="87">
        <v>0</v>
      </c>
      <c r="K120" t="e">
        <f>VLOOKUP(J120,Sheet27!C:J,8,0)</f>
        <v>#N/A</v>
      </c>
      <c r="L120" s="87"/>
      <c r="M120" t="e">
        <f t="shared" si="3"/>
        <v>#N/A</v>
      </c>
    </row>
    <row r="121" spans="1:13" ht="15.75">
      <c r="A121" s="1361"/>
      <c r="B121" s="1363"/>
      <c r="C121" s="1019" t="s">
        <v>2610</v>
      </c>
      <c r="D121" s="1002"/>
      <c r="E121" s="1002">
        <v>649259.76</v>
      </c>
      <c r="F121" s="133">
        <f t="shared" si="2"/>
        <v>649259.76</v>
      </c>
      <c r="G121" s="133"/>
      <c r="I121" s="87">
        <v>886740.23</v>
      </c>
      <c r="J121" t="s">
        <v>1703</v>
      </c>
      <c r="K121">
        <f>VLOOKUP(J121,Sheet27!C:J,8,0)</f>
        <v>886599.9999999986</v>
      </c>
      <c r="L121" s="87">
        <f>I121/K121</f>
        <v>1.0001581660275225</v>
      </c>
      <c r="M121">
        <f t="shared" si="3"/>
        <v>1.5816602752242115E-2</v>
      </c>
    </row>
    <row r="122" spans="1:13" ht="15.75">
      <c r="A122" s="1361"/>
      <c r="B122" s="1363"/>
      <c r="C122" s="1019" t="s">
        <v>2611</v>
      </c>
      <c r="D122" s="1002"/>
      <c r="E122" s="1002">
        <v>1873746.09</v>
      </c>
      <c r="F122" s="133">
        <f t="shared" si="2"/>
        <v>1873746.09</v>
      </c>
      <c r="G122" s="133"/>
      <c r="I122" s="87">
        <v>2518019.5299999998</v>
      </c>
      <c r="J122" t="s">
        <v>1699</v>
      </c>
      <c r="K122">
        <f>VLOOKUP(J122,Sheet27!C:J,8,0)</f>
        <v>2516200.0000000116</v>
      </c>
      <c r="L122" s="87">
        <f>I122/K122</f>
        <v>1.0007231261425913</v>
      </c>
      <c r="M122">
        <f t="shared" si="3"/>
        <v>7.2312614259126662E-2</v>
      </c>
    </row>
    <row r="123" spans="1:13" ht="15.75">
      <c r="A123" s="1361"/>
      <c r="B123" s="1363"/>
      <c r="C123" s="1019" t="s">
        <v>2612</v>
      </c>
      <c r="D123" s="1002"/>
      <c r="E123" s="1002">
        <v>418480.47</v>
      </c>
      <c r="F123" s="133">
        <f t="shared" si="2"/>
        <v>418480.47</v>
      </c>
      <c r="G123" s="133"/>
      <c r="I123" s="87">
        <v>547039.06000000006</v>
      </c>
      <c r="J123" t="s">
        <v>1701</v>
      </c>
      <c r="K123">
        <f>VLOOKUP(J123,Sheet27!C:J,8,0)</f>
        <v>545466.53030000057</v>
      </c>
      <c r="L123" s="87">
        <f>I123/K123</f>
        <v>1.0028829077727914</v>
      </c>
      <c r="M123">
        <f t="shared" si="3"/>
        <v>0.28829077727915142</v>
      </c>
    </row>
    <row r="124" spans="1:13" ht="15.75">
      <c r="A124" s="1361"/>
      <c r="B124" s="1363"/>
      <c r="C124" s="1019" t="s">
        <v>2613</v>
      </c>
      <c r="D124" s="1002"/>
      <c r="E124" s="1002">
        <v>398039.06</v>
      </c>
      <c r="F124" s="133">
        <f t="shared" si="2"/>
        <v>398039.06</v>
      </c>
      <c r="G124" s="133"/>
      <c r="I124" s="87">
        <v>566340.81999999995</v>
      </c>
      <c r="J124" t="s">
        <v>1704</v>
      </c>
      <c r="K124">
        <f>VLOOKUP(J124,Sheet27!C:J,8,0)</f>
        <v>570000</v>
      </c>
      <c r="L124" s="87">
        <f>I124/K124</f>
        <v>0.99358038596491216</v>
      </c>
      <c r="M124">
        <f t="shared" si="3"/>
        <v>-0.64196140350878095</v>
      </c>
    </row>
    <row r="125" spans="1:13" ht="15.75">
      <c r="A125" s="1361"/>
      <c r="B125" s="1363"/>
      <c r="C125" s="1000" t="s">
        <v>91</v>
      </c>
      <c r="D125" s="1003">
        <v>3367558.6</v>
      </c>
      <c r="E125" s="1020">
        <v>3339525.38</v>
      </c>
      <c r="F125" s="133">
        <f t="shared" si="2"/>
        <v>6707083.9800000004</v>
      </c>
      <c r="G125" s="133"/>
      <c r="I125" s="87">
        <v>1702138.92</v>
      </c>
      <c r="K125" t="e">
        <f>VLOOKUP(J125,Sheet27!C:J,8,0)</f>
        <v>#N/A</v>
      </c>
      <c r="L125" s="87"/>
      <c r="M125" t="e">
        <f t="shared" si="3"/>
        <v>#N/A</v>
      </c>
    </row>
    <row r="126" spans="1:13" ht="15.75" customHeight="1">
      <c r="A126" s="1361">
        <v>18</v>
      </c>
      <c r="B126" s="1363" t="s">
        <v>1812</v>
      </c>
      <c r="C126" s="1019" t="s">
        <v>2546</v>
      </c>
      <c r="D126" s="1002">
        <v>1983960.94</v>
      </c>
      <c r="E126" s="1002"/>
      <c r="F126" s="133">
        <f t="shared" si="2"/>
        <v>1983960.94</v>
      </c>
      <c r="G126" s="133">
        <v>1.6</v>
      </c>
      <c r="I126" s="87">
        <v>0</v>
      </c>
      <c r="K126" t="e">
        <f>VLOOKUP(J126,Sheet27!C:J,8,0)</f>
        <v>#N/A</v>
      </c>
      <c r="L126" s="87"/>
      <c r="M126" t="e">
        <f t="shared" si="3"/>
        <v>#N/A</v>
      </c>
    </row>
    <row r="127" spans="1:13" ht="15.75">
      <c r="A127" s="1361"/>
      <c r="B127" s="1363"/>
      <c r="C127" s="1019" t="s">
        <v>1808</v>
      </c>
      <c r="D127" s="1002"/>
      <c r="E127" s="1002">
        <v>994761.72</v>
      </c>
      <c r="F127" s="133">
        <f t="shared" si="2"/>
        <v>994761.72</v>
      </c>
      <c r="G127" s="133"/>
      <c r="I127" s="87">
        <v>1121281.25</v>
      </c>
      <c r="J127" t="s">
        <v>1810</v>
      </c>
      <c r="K127">
        <f>VLOOKUP(J127,Sheet27!C:J,8,0)</f>
        <v>1119066.386900004</v>
      </c>
      <c r="L127" s="87">
        <f>I127/K127</f>
        <v>1.0019792061721482</v>
      </c>
      <c r="M127">
        <f t="shared" si="3"/>
        <v>0.19792061721481349</v>
      </c>
    </row>
    <row r="128" spans="1:13" ht="15.75">
      <c r="A128" s="1361"/>
      <c r="B128" s="1363"/>
      <c r="C128" s="1019" t="s">
        <v>1811</v>
      </c>
      <c r="D128" s="1002"/>
      <c r="E128" s="1002">
        <v>609519.53</v>
      </c>
      <c r="F128" s="133">
        <f t="shared" si="2"/>
        <v>609519.53</v>
      </c>
      <c r="G128" s="133"/>
      <c r="I128" s="87">
        <v>973640.63</v>
      </c>
      <c r="J128" t="s">
        <v>1813</v>
      </c>
      <c r="K128">
        <f>VLOOKUP(J128,Sheet27!C:J,8,0)</f>
        <v>970000</v>
      </c>
      <c r="L128" s="87">
        <f>I128/K128</f>
        <v>1.0037532268041238</v>
      </c>
      <c r="M128">
        <f t="shared" si="3"/>
        <v>0.3753226804123716</v>
      </c>
    </row>
    <row r="129" spans="1:13" ht="15.75">
      <c r="A129" s="1361"/>
      <c r="B129" s="1363"/>
      <c r="C129" s="1019" t="s">
        <v>1814</v>
      </c>
      <c r="D129" s="1002"/>
      <c r="E129" s="1002">
        <v>380162.11</v>
      </c>
      <c r="F129" s="133">
        <f t="shared" si="2"/>
        <v>380162.11</v>
      </c>
      <c r="G129" s="133"/>
      <c r="I129" s="87">
        <v>522117.19</v>
      </c>
      <c r="J129" t="s">
        <v>1807</v>
      </c>
      <c r="K129">
        <f>VLOOKUP(J129,Sheet27!C:J,8,0)</f>
        <v>520000</v>
      </c>
      <c r="L129" s="87">
        <f>I129/K129</f>
        <v>1.0040715192307692</v>
      </c>
      <c r="M129">
        <f t="shared" si="3"/>
        <v>0.40715192307692355</v>
      </c>
    </row>
    <row r="130" spans="1:13" ht="15.75">
      <c r="A130" s="1361"/>
      <c r="B130" s="1363"/>
      <c r="C130" s="1000" t="s">
        <v>91</v>
      </c>
      <c r="D130" s="1003">
        <v>1983960.94</v>
      </c>
      <c r="E130" s="1003">
        <v>1984443.37</v>
      </c>
      <c r="F130" s="133">
        <f t="shared" si="2"/>
        <v>3968404.31</v>
      </c>
      <c r="G130" s="133"/>
      <c r="I130" s="87">
        <v>1702138.92</v>
      </c>
      <c r="K130" t="e">
        <f>VLOOKUP(J130,Sheet27!C:J,8,0)</f>
        <v>#N/A</v>
      </c>
      <c r="L130" s="87"/>
      <c r="M130" t="e">
        <f t="shared" si="3"/>
        <v>#N/A</v>
      </c>
    </row>
    <row r="131" spans="1:13" ht="15.75" customHeight="1">
      <c r="A131" s="1361">
        <v>19</v>
      </c>
      <c r="B131" s="1363" t="s">
        <v>1322</v>
      </c>
      <c r="C131" s="1021" t="s">
        <v>2546</v>
      </c>
      <c r="D131" s="1002">
        <v>177240.24</v>
      </c>
      <c r="E131" s="1002"/>
      <c r="F131" s="133">
        <f t="shared" si="2"/>
        <v>177240.24</v>
      </c>
      <c r="G131" s="133">
        <v>1.46</v>
      </c>
      <c r="I131" s="87">
        <v>0</v>
      </c>
      <c r="K131" t="e">
        <f>VLOOKUP(J131,Sheet27!C:J,8,0)</f>
        <v>#N/A</v>
      </c>
      <c r="L131" s="87"/>
      <c r="M131" t="e">
        <f t="shared" si="3"/>
        <v>#N/A</v>
      </c>
    </row>
    <row r="132" spans="1:13" ht="15.75">
      <c r="A132" s="1361"/>
      <c r="B132" s="1363"/>
      <c r="C132" s="1021" t="s">
        <v>2547</v>
      </c>
      <c r="D132" s="1002">
        <v>195363.28</v>
      </c>
      <c r="E132" s="1002"/>
      <c r="F132" s="133">
        <f t="shared" si="2"/>
        <v>195363.28</v>
      </c>
      <c r="G132" s="133"/>
      <c r="I132" s="87">
        <v>0</v>
      </c>
      <c r="K132" t="e">
        <f>VLOOKUP(J132,Sheet27!C:J,8,0)</f>
        <v>#N/A</v>
      </c>
      <c r="L132" s="87"/>
      <c r="M132" t="e">
        <f t="shared" si="3"/>
        <v>#N/A</v>
      </c>
    </row>
    <row r="133" spans="1:13" ht="15.75">
      <c r="A133" s="1361"/>
      <c r="B133" s="1363"/>
      <c r="C133" s="1021" t="s">
        <v>1604</v>
      </c>
      <c r="D133" s="1002"/>
      <c r="E133" s="1002">
        <v>130740.24</v>
      </c>
      <c r="F133" s="133">
        <f t="shared" si="2"/>
        <v>130740.24</v>
      </c>
      <c r="G133" s="133"/>
      <c r="I133" s="87">
        <v>0</v>
      </c>
      <c r="J133" t="s">
        <v>1603</v>
      </c>
      <c r="K133">
        <f>VLOOKUP(J133,Sheet27!C:J,8,0)</f>
        <v>1168399.9999999942</v>
      </c>
      <c r="L133" s="87">
        <f>I133/K133</f>
        <v>0</v>
      </c>
      <c r="M133">
        <f t="shared" si="3"/>
        <v>-100</v>
      </c>
    </row>
    <row r="134" spans="1:13" ht="15.75">
      <c r="A134" s="1361"/>
      <c r="B134" s="1363"/>
      <c r="C134" s="1021" t="s">
        <v>1607</v>
      </c>
      <c r="D134" s="1002"/>
      <c r="E134" s="1002">
        <v>45298.83</v>
      </c>
      <c r="F134" s="133">
        <f t="shared" si="2"/>
        <v>45298.83</v>
      </c>
      <c r="G134" s="133"/>
      <c r="I134" s="87">
        <v>0</v>
      </c>
      <c r="J134" t="s">
        <v>1606</v>
      </c>
      <c r="K134">
        <f>VLOOKUP(J134,Sheet27!C:J,8,0)</f>
        <v>464440.00000000012</v>
      </c>
      <c r="L134" s="87">
        <f>I134/K134</f>
        <v>0</v>
      </c>
      <c r="M134">
        <f t="shared" si="3"/>
        <v>-100</v>
      </c>
    </row>
    <row r="135" spans="1:13" ht="15.75">
      <c r="A135" s="1361"/>
      <c r="B135" s="1363"/>
      <c r="C135" s="1021" t="s">
        <v>1609</v>
      </c>
      <c r="D135" s="1002"/>
      <c r="E135" s="1002">
        <v>116548.83</v>
      </c>
      <c r="F135" s="133">
        <f t="shared" si="2"/>
        <v>116548.83</v>
      </c>
      <c r="G135" s="133"/>
      <c r="I135" s="87">
        <v>69559.98</v>
      </c>
      <c r="J135" t="s">
        <v>1608</v>
      </c>
      <c r="K135">
        <f>VLOOKUP(J135,Sheet27!C:J,8,0)</f>
        <v>705400.0000000014</v>
      </c>
      <c r="L135" s="87">
        <f>I135/K135</f>
        <v>9.8610688970796515E-2</v>
      </c>
      <c r="M135">
        <f t="shared" si="3"/>
        <v>-90.138931102920353</v>
      </c>
    </row>
    <row r="136" spans="1:13" ht="15.75">
      <c r="A136" s="1361"/>
      <c r="B136" s="1363"/>
      <c r="C136" s="1021" t="s">
        <v>1612</v>
      </c>
      <c r="D136" s="1002"/>
      <c r="E136" s="1002">
        <v>76561.52</v>
      </c>
      <c r="F136" s="133">
        <f t="shared" si="2"/>
        <v>76561.52</v>
      </c>
      <c r="G136" s="133"/>
      <c r="I136" s="87">
        <v>0</v>
      </c>
      <c r="J136" t="s">
        <v>1611</v>
      </c>
      <c r="K136">
        <f>VLOOKUP(J136,Sheet27!C:J,8,0)</f>
        <v>360200</v>
      </c>
      <c r="L136" s="87">
        <f>I136/K136</f>
        <v>0</v>
      </c>
      <c r="M136">
        <f t="shared" si="3"/>
        <v>-100</v>
      </c>
    </row>
    <row r="137" spans="1:13" ht="15.75">
      <c r="A137" s="1361"/>
      <c r="B137" s="1363"/>
      <c r="C137" s="1000" t="s">
        <v>91</v>
      </c>
      <c r="D137" s="1003">
        <v>372603.52</v>
      </c>
      <c r="E137" s="1003">
        <v>369149.42</v>
      </c>
      <c r="F137" s="133">
        <f t="shared" ref="F137:F200" si="4">D137+E137</f>
        <v>741752.94</v>
      </c>
      <c r="G137" s="133"/>
      <c r="I137" s="87">
        <v>1702138.92</v>
      </c>
      <c r="K137" t="e">
        <f>VLOOKUP(J137,Sheet27!C:J,8,0)</f>
        <v>#N/A</v>
      </c>
      <c r="L137" s="87"/>
      <c r="M137" t="e">
        <f t="shared" si="3"/>
        <v>#N/A</v>
      </c>
    </row>
    <row r="138" spans="1:13" ht="15.75" customHeight="1">
      <c r="A138" s="1361">
        <v>20</v>
      </c>
      <c r="B138" s="1364" t="s">
        <v>2614</v>
      </c>
      <c r="C138" s="1021" t="s">
        <v>2586</v>
      </c>
      <c r="D138" s="1002">
        <v>67950.45</v>
      </c>
      <c r="E138" s="1002"/>
      <c r="F138" s="133">
        <f t="shared" si="4"/>
        <v>67950.45</v>
      </c>
      <c r="G138" s="133">
        <v>2.6</v>
      </c>
      <c r="I138" s="87">
        <v>0</v>
      </c>
      <c r="K138" t="e">
        <f>VLOOKUP(J138,Sheet27!C:J,8,0)</f>
        <v>#N/A</v>
      </c>
      <c r="L138" s="87"/>
      <c r="M138" t="e">
        <f t="shared" si="3"/>
        <v>#N/A</v>
      </c>
    </row>
    <row r="139" spans="1:13" ht="15.75">
      <c r="A139" s="1361"/>
      <c r="B139" s="1364"/>
      <c r="C139" s="1021" t="s">
        <v>2615</v>
      </c>
      <c r="D139" s="1002">
        <v>347130.05</v>
      </c>
      <c r="E139" s="1002"/>
      <c r="F139" s="133">
        <f t="shared" si="4"/>
        <v>347130.05</v>
      </c>
      <c r="G139" s="133"/>
      <c r="I139" s="87">
        <v>0</v>
      </c>
      <c r="K139" t="e">
        <f>VLOOKUP(J139,Sheet27!C:J,8,0)</f>
        <v>#N/A</v>
      </c>
      <c r="L139" s="87"/>
      <c r="M139" t="e">
        <f t="shared" si="3"/>
        <v>#N/A</v>
      </c>
    </row>
    <row r="140" spans="1:13" ht="15.75">
      <c r="A140" s="1361"/>
      <c r="B140" s="1364"/>
      <c r="C140" s="1021" t="s">
        <v>2616</v>
      </c>
      <c r="D140" s="1002"/>
      <c r="E140" s="1002">
        <v>53159.92</v>
      </c>
      <c r="F140" s="133">
        <f t="shared" si="4"/>
        <v>53159.92</v>
      </c>
      <c r="G140" s="133"/>
      <c r="I140" s="87">
        <v>83280.03</v>
      </c>
      <c r="J140" t="s">
        <v>1827</v>
      </c>
      <c r="K140">
        <f>VLOOKUP(J140,Sheet27!C:J,8,0)</f>
        <v>83199.979200000729</v>
      </c>
      <c r="L140" s="87">
        <f>I140/K140</f>
        <v>1.00096214927899</v>
      </c>
      <c r="M140">
        <f t="shared" si="3"/>
        <v>9.6214927899007166E-2</v>
      </c>
    </row>
    <row r="141" spans="1:13" ht="15.75">
      <c r="A141" s="1361"/>
      <c r="B141" s="1364"/>
      <c r="C141" s="1021" t="s">
        <v>2617</v>
      </c>
      <c r="D141" s="1002"/>
      <c r="E141" s="1002">
        <v>11080.07</v>
      </c>
      <c r="F141" s="133">
        <f t="shared" si="4"/>
        <v>11080.07</v>
      </c>
      <c r="G141" s="133"/>
      <c r="I141" s="87">
        <v>129299.81</v>
      </c>
      <c r="J141" t="s">
        <v>1829</v>
      </c>
      <c r="K141">
        <f>VLOOKUP(J141,Sheet27!C:J,8,0)</f>
        <v>129266.53739999977</v>
      </c>
      <c r="L141" s="87">
        <f>I141/K141</f>
        <v>1.0002573953063914</v>
      </c>
      <c r="M141">
        <f t="shared" si="3"/>
        <v>2.5739530639140872E-2</v>
      </c>
    </row>
    <row r="142" spans="1:13" ht="15.75">
      <c r="A142" s="1361"/>
      <c r="B142" s="1364"/>
      <c r="C142" s="1021" t="s">
        <v>2618</v>
      </c>
      <c r="D142" s="1002"/>
      <c r="E142" s="1002">
        <v>71699.7</v>
      </c>
      <c r="F142" s="133">
        <f t="shared" si="4"/>
        <v>71699.7</v>
      </c>
      <c r="G142" s="133"/>
      <c r="I142" s="87">
        <v>183839.84</v>
      </c>
      <c r="J142" t="s">
        <v>1831</v>
      </c>
      <c r="K142">
        <f>VLOOKUP(J142,Sheet27!C:J,8,0)</f>
        <v>198666.16999999998</v>
      </c>
      <c r="L142" s="87">
        <f>I142/K142</f>
        <v>0.92537063557424004</v>
      </c>
      <c r="M142">
        <f t="shared" si="3"/>
        <v>-7.4629364425759999</v>
      </c>
    </row>
    <row r="143" spans="1:13" ht="15.75">
      <c r="A143" s="1361"/>
      <c r="B143" s="1364"/>
      <c r="C143" s="1021" t="s">
        <v>2619</v>
      </c>
      <c r="D143" s="1002"/>
      <c r="E143" s="1002">
        <v>272639.89</v>
      </c>
      <c r="F143" s="133">
        <f t="shared" si="4"/>
        <v>272639.89</v>
      </c>
      <c r="G143" s="133"/>
      <c r="I143" s="87">
        <v>363140.14</v>
      </c>
      <c r="J143">
        <v>3300077</v>
      </c>
      <c r="K143">
        <f>VLOOKUP(J143,Sheet27!C:J,8,0)</f>
        <v>364761.32421430043</v>
      </c>
      <c r="L143" s="87">
        <f>I143/K143</f>
        <v>0.99555549312199565</v>
      </c>
      <c r="M143">
        <f t="shared" si="3"/>
        <v>-0.44445068780043079</v>
      </c>
    </row>
    <row r="144" spans="1:13" ht="15.75">
      <c r="A144" s="1361"/>
      <c r="B144" s="1023"/>
      <c r="C144" s="1000" t="s">
        <v>91</v>
      </c>
      <c r="D144" s="1003">
        <v>415080.5</v>
      </c>
      <c r="E144" s="1003">
        <v>408579.59</v>
      </c>
      <c r="F144" s="133">
        <f t="shared" si="4"/>
        <v>823660.09000000008</v>
      </c>
      <c r="G144" s="133"/>
      <c r="I144" s="87">
        <v>1702138.92</v>
      </c>
      <c r="K144" t="e">
        <f>VLOOKUP(J144,Sheet27!C:J,8,0)</f>
        <v>#N/A</v>
      </c>
      <c r="L144" s="87"/>
      <c r="M144" t="e">
        <f t="shared" si="3"/>
        <v>#N/A</v>
      </c>
    </row>
    <row r="145" spans="1:14" ht="15.75" customHeight="1">
      <c r="A145" s="1361">
        <v>21</v>
      </c>
      <c r="B145" s="1363" t="s">
        <v>2620</v>
      </c>
      <c r="C145" s="1021" t="s">
        <v>2567</v>
      </c>
      <c r="D145" s="1002">
        <v>1138559.94</v>
      </c>
      <c r="E145" s="1002"/>
      <c r="F145" s="133">
        <f t="shared" si="4"/>
        <v>1138559.94</v>
      </c>
      <c r="G145" s="133">
        <v>-2.15</v>
      </c>
      <c r="I145" s="87">
        <v>0</v>
      </c>
      <c r="K145" t="e">
        <f>VLOOKUP(J145,Sheet27!C:J,8,0)</f>
        <v>#N/A</v>
      </c>
      <c r="L145" s="87"/>
      <c r="M145" t="e">
        <f t="shared" si="3"/>
        <v>#N/A</v>
      </c>
    </row>
    <row r="146" spans="1:14" ht="15.75">
      <c r="A146" s="1361"/>
      <c r="B146" s="1363"/>
      <c r="C146" s="1021" t="s">
        <v>2547</v>
      </c>
      <c r="D146" s="1002">
        <v>1220038.33</v>
      </c>
      <c r="E146" s="1002"/>
      <c r="F146" s="133">
        <f t="shared" si="4"/>
        <v>1220038.33</v>
      </c>
      <c r="G146" s="133"/>
      <c r="I146" s="87">
        <v>0</v>
      </c>
      <c r="K146" t="e">
        <f>VLOOKUP(J146,Sheet27!C:J,8,0)</f>
        <v>#N/A</v>
      </c>
      <c r="L146" s="87"/>
      <c r="M146" t="e">
        <f t="shared" ref="M146:M209" si="5">(I146-K146)/K146*100</f>
        <v>#N/A</v>
      </c>
    </row>
    <row r="147" spans="1:14" ht="15.75">
      <c r="A147" s="1361"/>
      <c r="B147" s="1363"/>
      <c r="C147" s="1021" t="s">
        <v>2621</v>
      </c>
      <c r="D147" s="1002"/>
      <c r="E147" s="1002">
        <v>798960.94</v>
      </c>
      <c r="F147" s="133">
        <f t="shared" si="4"/>
        <v>798960.94</v>
      </c>
      <c r="G147" s="133"/>
      <c r="I147" s="87">
        <v>1182181.6399999999</v>
      </c>
      <c r="J147" t="s">
        <v>1754</v>
      </c>
      <c r="K147">
        <f>VLOOKUP(J147,Sheet27!C:J,8,0)</f>
        <v>1183399.9999999942</v>
      </c>
      <c r="L147" s="87">
        <f>I147/K147</f>
        <v>0.99897045800237094</v>
      </c>
      <c r="M147">
        <f t="shared" si="5"/>
        <v>-0.1029541997629109</v>
      </c>
    </row>
    <row r="148" spans="1:14" ht="15.75">
      <c r="A148" s="1361"/>
      <c r="B148" s="1363"/>
      <c r="C148" s="1021" t="s">
        <v>2622</v>
      </c>
      <c r="D148" s="1002"/>
      <c r="E148" s="1002">
        <v>416339.36</v>
      </c>
      <c r="F148" s="133">
        <f t="shared" si="4"/>
        <v>416339.36</v>
      </c>
      <c r="G148" s="133"/>
      <c r="I148" s="87">
        <v>610560.06000000006</v>
      </c>
      <c r="J148" t="s">
        <v>1756</v>
      </c>
      <c r="K148">
        <f>VLOOKUP(J148,Sheet27!C:J,8,0)</f>
        <v>611200.00000000803</v>
      </c>
      <c r="L148" s="87">
        <f>I148/K148</f>
        <v>0.99895297774867808</v>
      </c>
      <c r="M148">
        <f t="shared" si="5"/>
        <v>-0.10470222513219378</v>
      </c>
    </row>
    <row r="149" spans="1:14" ht="15.75">
      <c r="A149" s="1361"/>
      <c r="B149" s="1363"/>
      <c r="C149" s="1021" t="s">
        <v>2623</v>
      </c>
      <c r="D149" s="1002"/>
      <c r="E149" s="1002">
        <v>558421.87</v>
      </c>
      <c r="F149" s="133">
        <f t="shared" si="4"/>
        <v>558421.87</v>
      </c>
      <c r="G149" s="133"/>
      <c r="I149" s="87">
        <v>829227.54</v>
      </c>
      <c r="J149" t="s">
        <v>1761</v>
      </c>
      <c r="K149">
        <f>VLOOKUP(J149,Sheet27!C:J,8,0)</f>
        <v>830209.99999999988</v>
      </c>
      <c r="L149" s="87">
        <f>I149/K149</f>
        <v>0.9988166126642658</v>
      </c>
      <c r="M149">
        <f t="shared" si="5"/>
        <v>-0.11833873357341475</v>
      </c>
    </row>
    <row r="150" spans="1:14" ht="15.75">
      <c r="A150" s="1361"/>
      <c r="B150" s="1363"/>
      <c r="C150" s="1021" t="s">
        <v>2624</v>
      </c>
      <c r="D150" s="1002"/>
      <c r="E150" s="1002">
        <v>407581.52</v>
      </c>
      <c r="F150" s="133">
        <f t="shared" si="4"/>
        <v>407581.52</v>
      </c>
      <c r="G150" s="133"/>
      <c r="I150" s="87">
        <v>617188.48</v>
      </c>
      <c r="J150">
        <v>3190952</v>
      </c>
      <c r="K150">
        <f>VLOOKUP(J150,Sheet27!C:J,8,0)</f>
        <v>718415.9999999986</v>
      </c>
      <c r="L150" s="87">
        <f>I150/K150</f>
        <v>0.85909623393688506</v>
      </c>
      <c r="M150">
        <f t="shared" si="5"/>
        <v>-14.0903766063115</v>
      </c>
    </row>
    <row r="151" spans="1:14" ht="15.75">
      <c r="A151" s="1361"/>
      <c r="B151" s="1363"/>
      <c r="C151" s="1021" t="s">
        <v>2625</v>
      </c>
      <c r="D151" s="1002"/>
      <c r="E151" s="1002">
        <v>253290.53</v>
      </c>
      <c r="F151" s="133">
        <f t="shared" si="4"/>
        <v>253290.53</v>
      </c>
      <c r="G151" s="133"/>
      <c r="I151" s="87">
        <v>366929.44</v>
      </c>
      <c r="J151" t="s">
        <v>1759</v>
      </c>
      <c r="K151">
        <f>VLOOKUP(J151,Sheet27!C:J,8,0)</f>
        <v>366389.99999999994</v>
      </c>
      <c r="L151" s="87">
        <f>I151/K151</f>
        <v>1.0014723109255166</v>
      </c>
      <c r="M151">
        <f t="shared" si="5"/>
        <v>0.14723109255166916</v>
      </c>
    </row>
    <row r="152" spans="1:14" ht="15.75">
      <c r="A152" s="1361"/>
      <c r="B152" s="1363"/>
      <c r="C152" s="1000" t="s">
        <v>91</v>
      </c>
      <c r="D152" s="1003">
        <v>2358598.2799999998</v>
      </c>
      <c r="E152" s="1003">
        <v>2434594.2200000002</v>
      </c>
      <c r="F152" s="133">
        <f t="shared" si="4"/>
        <v>4793192.5</v>
      </c>
      <c r="G152" s="133"/>
      <c r="I152" s="87">
        <v>1702138.92</v>
      </c>
      <c r="K152" t="e">
        <f>VLOOKUP(J152,Sheet27!C:J,8,0)</f>
        <v>#N/A</v>
      </c>
      <c r="L152" s="87"/>
      <c r="M152" t="e">
        <f t="shared" si="5"/>
        <v>#N/A</v>
      </c>
    </row>
    <row r="153" spans="1:14" ht="15.75" customHeight="1">
      <c r="A153" s="1361">
        <v>22</v>
      </c>
      <c r="B153" s="1363" t="s">
        <v>2626</v>
      </c>
      <c r="C153" s="1021" t="s">
        <v>2586</v>
      </c>
      <c r="D153" s="1002">
        <v>1480681.64</v>
      </c>
      <c r="E153" s="1002"/>
      <c r="F153" s="133">
        <f t="shared" si="4"/>
        <v>1480681.64</v>
      </c>
      <c r="G153" s="133">
        <v>-2.21</v>
      </c>
      <c r="I153" s="87">
        <v>0</v>
      </c>
      <c r="K153" t="e">
        <f>VLOOKUP(J153,Sheet27!C:J,8,0)</f>
        <v>#N/A</v>
      </c>
      <c r="L153" s="87"/>
      <c r="M153" t="e">
        <f t="shared" si="5"/>
        <v>#N/A</v>
      </c>
    </row>
    <row r="154" spans="1:14" ht="15.75">
      <c r="A154" s="1361"/>
      <c r="B154" s="1363"/>
      <c r="C154" s="1021" t="s">
        <v>2615</v>
      </c>
      <c r="D154" s="1002">
        <v>836639.1</v>
      </c>
      <c r="E154" s="1002"/>
      <c r="F154" s="133">
        <f t="shared" si="4"/>
        <v>836639.1</v>
      </c>
      <c r="G154" s="133"/>
      <c r="I154" s="87">
        <v>0</v>
      </c>
      <c r="K154" t="e">
        <f>VLOOKUP(J154,Sheet27!C:J,8,0)</f>
        <v>#N/A</v>
      </c>
      <c r="L154" s="87"/>
      <c r="M154" t="e">
        <f t="shared" si="5"/>
        <v>#N/A</v>
      </c>
    </row>
    <row r="155" spans="1:14" ht="15.75">
      <c r="A155" s="1361"/>
      <c r="B155" s="1363"/>
      <c r="C155" s="1021" t="s">
        <v>2627</v>
      </c>
      <c r="D155" s="1002">
        <v>845909.91</v>
      </c>
      <c r="E155" s="1002"/>
      <c r="F155" s="133">
        <f t="shared" si="4"/>
        <v>845909.91</v>
      </c>
      <c r="G155" s="133"/>
      <c r="I155" s="87">
        <v>0</v>
      </c>
      <c r="K155" t="e">
        <f>VLOOKUP(J155,Sheet27!C:J,8,0)</f>
        <v>#N/A</v>
      </c>
      <c r="L155" s="87"/>
      <c r="M155" t="e">
        <f t="shared" si="5"/>
        <v>#N/A</v>
      </c>
    </row>
    <row r="156" spans="1:14" ht="15.75">
      <c r="A156" s="1361"/>
      <c r="B156" s="1363"/>
      <c r="C156" s="1021" t="s">
        <v>2628</v>
      </c>
      <c r="D156" s="1002"/>
      <c r="E156" s="1002">
        <v>1299181.6399999999</v>
      </c>
      <c r="F156" s="133">
        <f t="shared" si="4"/>
        <v>1299181.6399999999</v>
      </c>
      <c r="G156" s="133"/>
      <c r="I156" s="87">
        <v>1248720.7</v>
      </c>
      <c r="J156" t="s">
        <v>1744</v>
      </c>
      <c r="K156">
        <f>VLOOKUP(J156,Sheet27!C:J,8,0)</f>
        <v>1253599.9999999877</v>
      </c>
      <c r="L156" s="87">
        <f t="shared" ref="L156:L161" si="6">I156/K156</f>
        <v>0.99610776962349412</v>
      </c>
      <c r="M156">
        <f t="shared" si="5"/>
        <v>-0.38922303765058669</v>
      </c>
    </row>
    <row r="157" spans="1:14" ht="15.75">
      <c r="A157" s="1361"/>
      <c r="B157" s="1363"/>
      <c r="C157" s="1021" t="s">
        <v>2629</v>
      </c>
      <c r="D157" s="1002"/>
      <c r="E157" s="1002">
        <v>364601.56</v>
      </c>
      <c r="F157" s="133">
        <f t="shared" si="4"/>
        <v>364601.56</v>
      </c>
      <c r="G157" s="133"/>
      <c r="I157" s="87">
        <v>558119.14</v>
      </c>
      <c r="J157" t="s">
        <v>1742</v>
      </c>
      <c r="K157">
        <f>VLOOKUP(J157,Sheet27!C:J,8,0)</f>
        <v>623600.00000000582</v>
      </c>
      <c r="L157" s="87">
        <f t="shared" si="6"/>
        <v>0.89499541372673963</v>
      </c>
      <c r="M157" s="1015">
        <f t="shared" si="5"/>
        <v>-10.500458627326042</v>
      </c>
    </row>
    <row r="158" spans="1:14" ht="15.75">
      <c r="A158" s="1361"/>
      <c r="B158" s="1363"/>
      <c r="C158" s="1021" t="s">
        <v>2630</v>
      </c>
      <c r="D158" s="1002"/>
      <c r="E158" s="1002">
        <v>62040.04</v>
      </c>
      <c r="F158" s="133">
        <f t="shared" si="4"/>
        <v>62040.04</v>
      </c>
      <c r="G158" s="133"/>
      <c r="I158" s="87">
        <v>102520.5</v>
      </c>
      <c r="J158" t="s">
        <v>2115</v>
      </c>
      <c r="K158">
        <f>VLOOKUP(J158,Sheet27!C:J,8,0)</f>
        <v>107400.00000000146</v>
      </c>
      <c r="L158" s="87">
        <f t="shared" si="6"/>
        <v>0.95456703910613228</v>
      </c>
      <c r="M158" s="1015">
        <f t="shared" si="5"/>
        <v>-4.543296089386768</v>
      </c>
      <c r="N158" s="87"/>
    </row>
    <row r="159" spans="1:14" ht="15.75">
      <c r="A159" s="1361"/>
      <c r="B159" s="1363"/>
      <c r="C159" s="1021" t="s">
        <v>2631</v>
      </c>
      <c r="D159" s="1002"/>
      <c r="E159" s="1002">
        <v>251400.01</v>
      </c>
      <c r="F159" s="133">
        <f t="shared" si="4"/>
        <v>251400.01</v>
      </c>
      <c r="G159" s="133"/>
      <c r="I159" s="87">
        <v>347639.93</v>
      </c>
      <c r="J159" t="s">
        <v>1746</v>
      </c>
      <c r="K159">
        <f>VLOOKUP(J159,Sheet27!C:J,8,0)</f>
        <v>417360</v>
      </c>
      <c r="L159" s="87">
        <f t="shared" si="6"/>
        <v>0.83294980352693115</v>
      </c>
      <c r="M159">
        <f t="shared" si="5"/>
        <v>-16.70501964730688</v>
      </c>
    </row>
    <row r="160" spans="1:14" ht="15.75">
      <c r="A160" s="1361"/>
      <c r="B160" s="1363"/>
      <c r="C160" s="1021" t="s">
        <v>2632</v>
      </c>
      <c r="D160" s="1002"/>
      <c r="E160" s="1002">
        <v>541859.9</v>
      </c>
      <c r="F160" s="133">
        <f t="shared" si="4"/>
        <v>541859.9</v>
      </c>
      <c r="G160" s="133"/>
      <c r="I160" s="87">
        <v>766500.18</v>
      </c>
      <c r="J160" t="s">
        <v>1748</v>
      </c>
      <c r="K160">
        <f>VLOOKUP(J160,Sheet27!C:J,8,0)</f>
        <v>1158359.9999999998</v>
      </c>
      <c r="L160" s="87">
        <f t="shared" si="6"/>
        <v>0.66171154045374514</v>
      </c>
      <c r="M160" s="1015">
        <f t="shared" si="5"/>
        <v>-33.828845954625486</v>
      </c>
    </row>
    <row r="161" spans="1:13" ht="15.75">
      <c r="A161" s="1361"/>
      <c r="B161" s="1363"/>
      <c r="C161" s="1021" t="s">
        <v>2633</v>
      </c>
      <c r="D161" s="1002"/>
      <c r="E161" s="1002">
        <v>1048959.96</v>
      </c>
      <c r="F161" s="133">
        <f t="shared" si="4"/>
        <v>1048959.96</v>
      </c>
      <c r="G161" s="133"/>
      <c r="I161" s="87">
        <v>1394279.3</v>
      </c>
      <c r="J161" t="s">
        <v>1738</v>
      </c>
      <c r="K161">
        <f>VLOOKUP(J161,Sheet27!C:J,8,0)</f>
        <v>1488400.0000000014</v>
      </c>
      <c r="L161" s="87">
        <f t="shared" si="6"/>
        <v>0.93676384036549232</v>
      </c>
      <c r="M161">
        <f t="shared" si="5"/>
        <v>-6.32361596345077</v>
      </c>
    </row>
    <row r="162" spans="1:13" ht="15.75">
      <c r="A162" s="1361"/>
      <c r="B162" s="1023"/>
      <c r="C162" s="1000" t="s">
        <v>91</v>
      </c>
      <c r="D162" s="1003">
        <v>3163230.65</v>
      </c>
      <c r="E162" s="1003">
        <v>3568043.11</v>
      </c>
      <c r="F162" s="133">
        <f t="shared" si="4"/>
        <v>6731273.7599999998</v>
      </c>
      <c r="G162" s="133"/>
      <c r="I162" s="87">
        <v>1702138.92</v>
      </c>
      <c r="J162" t="s">
        <v>2562</v>
      </c>
      <c r="K162" t="e">
        <f>VLOOKUP(J162,Sheet27!C:J,8,0)</f>
        <v>#N/A</v>
      </c>
      <c r="L162" s="87"/>
      <c r="M162" t="e">
        <f t="shared" si="5"/>
        <v>#N/A</v>
      </c>
    </row>
    <row r="163" spans="1:13" ht="15.75" customHeight="1">
      <c r="A163" s="1361">
        <v>23</v>
      </c>
      <c r="B163" s="1363" t="s">
        <v>2634</v>
      </c>
      <c r="C163" s="1021" t="s">
        <v>2546</v>
      </c>
      <c r="D163" s="1002">
        <v>2172963.87</v>
      </c>
      <c r="E163" s="1002"/>
      <c r="F163" s="133">
        <f t="shared" si="4"/>
        <v>2172963.87</v>
      </c>
      <c r="G163" s="133">
        <v>0.42</v>
      </c>
      <c r="I163" s="87">
        <v>0</v>
      </c>
      <c r="K163" t="e">
        <f>VLOOKUP(J163,Sheet27!C:J,8,0)</f>
        <v>#N/A</v>
      </c>
      <c r="L163" s="87"/>
      <c r="M163" t="e">
        <f t="shared" si="5"/>
        <v>#N/A</v>
      </c>
    </row>
    <row r="164" spans="1:13" ht="15.75">
      <c r="A164" s="1361"/>
      <c r="B164" s="1363"/>
      <c r="C164" s="1021" t="s">
        <v>2547</v>
      </c>
      <c r="D164" s="1002">
        <v>1809597.66</v>
      </c>
      <c r="E164" s="1002"/>
      <c r="F164" s="133">
        <f t="shared" si="4"/>
        <v>1809597.66</v>
      </c>
      <c r="G164" s="133"/>
      <c r="I164" s="87">
        <v>0</v>
      </c>
      <c r="K164" t="e">
        <f>VLOOKUP(J164,Sheet27!C:J,8,0)</f>
        <v>#N/A</v>
      </c>
      <c r="L164" s="87"/>
      <c r="M164" t="e">
        <f t="shared" si="5"/>
        <v>#N/A</v>
      </c>
    </row>
    <row r="165" spans="1:13" ht="15.75">
      <c r="A165" s="1361"/>
      <c r="B165" s="1363"/>
      <c r="C165" s="1021" t="s">
        <v>2635</v>
      </c>
      <c r="D165" s="1002"/>
      <c r="E165" s="1002">
        <v>1507083.99</v>
      </c>
      <c r="F165" s="133">
        <f t="shared" si="4"/>
        <v>1507083.99</v>
      </c>
      <c r="G165" s="133"/>
      <c r="I165" s="87">
        <v>2114519.5299999998</v>
      </c>
      <c r="J165" t="s">
        <v>1768</v>
      </c>
      <c r="K165">
        <f>VLOOKUP(J165,Sheet27!C:J,8,0)</f>
        <v>2104290.0000000009</v>
      </c>
      <c r="L165" s="87">
        <f>I165/K165</f>
        <v>1.0048612738738476</v>
      </c>
      <c r="M165">
        <f t="shared" si="5"/>
        <v>0.48612738738476446</v>
      </c>
    </row>
    <row r="166" spans="1:13" ht="15.75">
      <c r="A166" s="1361"/>
      <c r="B166" s="1363"/>
      <c r="C166" s="1021" t="s">
        <v>2636</v>
      </c>
      <c r="D166" s="1002"/>
      <c r="E166" s="1002">
        <v>656519.53</v>
      </c>
      <c r="F166" s="133">
        <f t="shared" si="4"/>
        <v>656519.53</v>
      </c>
      <c r="G166" s="133"/>
      <c r="I166" s="87">
        <v>898649.41</v>
      </c>
      <c r="J166" t="s">
        <v>1770</v>
      </c>
      <c r="K166">
        <f>VLOOKUP(J166,Sheet27!C:J,8,0)</f>
        <v>895770.00000000047</v>
      </c>
      <c r="L166" s="87">
        <f>I166/K166</f>
        <v>1.0032144523705857</v>
      </c>
      <c r="M166">
        <f t="shared" si="5"/>
        <v>0.32144523705857142</v>
      </c>
    </row>
    <row r="167" spans="1:13" ht="15.75">
      <c r="A167" s="1361"/>
      <c r="B167" s="1363"/>
      <c r="C167" s="1021" t="s">
        <v>2637</v>
      </c>
      <c r="D167" s="1002"/>
      <c r="E167" s="1002">
        <v>710519.53</v>
      </c>
      <c r="F167" s="133">
        <f t="shared" si="4"/>
        <v>710519.53</v>
      </c>
      <c r="G167" s="133"/>
      <c r="I167" s="87">
        <v>902701.17</v>
      </c>
      <c r="J167" t="s">
        <v>1774</v>
      </c>
      <c r="K167">
        <f>VLOOKUP(J167,Sheet27!C:J,8,0)</f>
        <v>898800.00000000291</v>
      </c>
      <c r="L167" s="87">
        <f>I167/K167</f>
        <v>1.0043404205607445</v>
      </c>
      <c r="M167">
        <f t="shared" si="5"/>
        <v>0.43404205607444579</v>
      </c>
    </row>
    <row r="168" spans="1:13" ht="15.75">
      <c r="A168" s="1361"/>
      <c r="B168" s="1363"/>
      <c r="C168" s="1021" t="s">
        <v>2638</v>
      </c>
      <c r="D168" s="1002"/>
      <c r="E168" s="1002">
        <v>964437.5</v>
      </c>
      <c r="F168" s="133">
        <f t="shared" si="4"/>
        <v>964437.5</v>
      </c>
      <c r="G168" s="133"/>
      <c r="I168" s="87">
        <v>1217960.94</v>
      </c>
      <c r="J168" t="s">
        <v>1772</v>
      </c>
      <c r="K168">
        <f>VLOOKUP(J168,Sheet27!C:J,8,0)</f>
        <v>1333400.0000000088</v>
      </c>
      <c r="L168" s="87">
        <f>I168/K168</f>
        <v>0.91342503374830653</v>
      </c>
      <c r="M168">
        <f t="shared" si="5"/>
        <v>-8.657496625169351</v>
      </c>
    </row>
    <row r="169" spans="1:13" ht="15.75">
      <c r="A169" s="1361"/>
      <c r="B169" s="1023"/>
      <c r="C169" s="1000" t="s">
        <v>91</v>
      </c>
      <c r="D169" s="1003">
        <v>3982561.52</v>
      </c>
      <c r="E169" s="1003">
        <v>3838560.54</v>
      </c>
      <c r="F169" s="133">
        <f t="shared" si="4"/>
        <v>7821122.0600000005</v>
      </c>
      <c r="G169" s="133"/>
      <c r="I169" s="87">
        <v>1702138.92</v>
      </c>
      <c r="K169" t="e">
        <f>VLOOKUP(J169,Sheet27!C:J,8,0)</f>
        <v>#N/A</v>
      </c>
      <c r="L169" s="87"/>
      <c r="M169" t="e">
        <f t="shared" si="5"/>
        <v>#N/A</v>
      </c>
    </row>
    <row r="170" spans="1:13" ht="15.75" customHeight="1">
      <c r="A170" s="1361">
        <v>24</v>
      </c>
      <c r="B170" s="1364" t="s">
        <v>1078</v>
      </c>
      <c r="C170" s="1021" t="s">
        <v>2546</v>
      </c>
      <c r="D170" s="1002">
        <v>973081.05</v>
      </c>
      <c r="E170" s="1002"/>
      <c r="F170" s="133">
        <f t="shared" si="4"/>
        <v>973081.05</v>
      </c>
      <c r="G170" s="133">
        <v>-11.35</v>
      </c>
      <c r="I170" s="87">
        <v>0</v>
      </c>
      <c r="K170" t="e">
        <f>VLOOKUP(J170,Sheet27!C:J,8,0)</f>
        <v>#N/A</v>
      </c>
      <c r="L170" s="87"/>
      <c r="M170" t="e">
        <f t="shared" si="5"/>
        <v>#N/A</v>
      </c>
    </row>
    <row r="171" spans="1:13" ht="15.75">
      <c r="A171" s="1361"/>
      <c r="B171" s="1364"/>
      <c r="C171" s="1021" t="s">
        <v>2547</v>
      </c>
      <c r="D171" s="1002">
        <v>1463462.34</v>
      </c>
      <c r="E171" s="1002"/>
      <c r="F171" s="133">
        <f t="shared" si="4"/>
        <v>1463462.34</v>
      </c>
      <c r="G171" s="133"/>
      <c r="I171" s="87">
        <v>0</v>
      </c>
      <c r="K171" t="e">
        <f>VLOOKUP(J171,Sheet27!C:J,8,0)</f>
        <v>#N/A</v>
      </c>
      <c r="L171" s="87"/>
      <c r="M171" t="e">
        <f t="shared" si="5"/>
        <v>#N/A</v>
      </c>
    </row>
    <row r="172" spans="1:13" ht="15.75">
      <c r="A172" s="1361"/>
      <c r="B172" s="1364"/>
      <c r="C172" s="1021" t="s">
        <v>2639</v>
      </c>
      <c r="D172" s="1002">
        <v>1431272.46</v>
      </c>
      <c r="E172" s="1002"/>
      <c r="F172" s="133">
        <f t="shared" si="4"/>
        <v>1431272.46</v>
      </c>
      <c r="G172" s="133"/>
      <c r="I172" s="87">
        <v>0</v>
      </c>
      <c r="K172" t="e">
        <f>VLOOKUP(J172,Sheet27!C:J,8,0)</f>
        <v>#N/A</v>
      </c>
      <c r="L172" s="87"/>
      <c r="M172" t="e">
        <f t="shared" si="5"/>
        <v>#N/A</v>
      </c>
    </row>
    <row r="173" spans="1:13" ht="15.75">
      <c r="A173" s="1361"/>
      <c r="B173" s="1364"/>
      <c r="C173" s="1021" t="s">
        <v>2640</v>
      </c>
      <c r="D173" s="1002">
        <v>987723.63</v>
      </c>
      <c r="E173" s="1002"/>
      <c r="F173" s="133">
        <f t="shared" si="4"/>
        <v>987723.63</v>
      </c>
      <c r="G173" s="133"/>
      <c r="I173" s="87">
        <v>0</v>
      </c>
      <c r="K173" t="e">
        <f>VLOOKUP(J173,Sheet27!C:J,8,0)</f>
        <v>#N/A</v>
      </c>
      <c r="L173" s="87"/>
      <c r="M173" t="e">
        <f t="shared" si="5"/>
        <v>#N/A</v>
      </c>
    </row>
    <row r="174" spans="1:13" ht="15.75">
      <c r="A174" s="1361"/>
      <c r="B174" s="1364"/>
      <c r="C174" s="1021" t="s">
        <v>2641</v>
      </c>
      <c r="D174" s="1002"/>
      <c r="E174" s="1002">
        <v>838740.23</v>
      </c>
      <c r="F174" s="133">
        <f t="shared" si="4"/>
        <v>838740.23</v>
      </c>
      <c r="G174" s="133"/>
      <c r="I174" s="87">
        <v>1154100.5900000001</v>
      </c>
      <c r="J174" t="s">
        <v>1720</v>
      </c>
      <c r="K174">
        <f>VLOOKUP(J174,Sheet27!C:J,8,0)</f>
        <v>1266000</v>
      </c>
      <c r="L174" s="87">
        <f t="shared" ref="L174:L181" si="7">I174/K174</f>
        <v>0.91161184044233812</v>
      </c>
      <c r="M174">
        <f t="shared" si="5"/>
        <v>-8.8388159557661847</v>
      </c>
    </row>
    <row r="175" spans="1:13" ht="15.75">
      <c r="A175" s="1361"/>
      <c r="B175" s="1364"/>
      <c r="C175" s="1021" t="s">
        <v>2642</v>
      </c>
      <c r="D175" s="1002"/>
      <c r="E175" s="1002">
        <v>1468324.91</v>
      </c>
      <c r="F175" s="133">
        <f t="shared" si="4"/>
        <v>1468324.91</v>
      </c>
      <c r="G175" s="133"/>
      <c r="I175" s="87">
        <v>1966320.01</v>
      </c>
      <c r="J175" t="s">
        <v>1723</v>
      </c>
      <c r="K175">
        <f>VLOOKUP(J175,Sheet27!C:J,8,0)</f>
        <v>1952459.9999999991</v>
      </c>
      <c r="L175" s="87">
        <f t="shared" si="7"/>
        <v>1.0070987420997106</v>
      </c>
      <c r="M175">
        <f t="shared" si="5"/>
        <v>0.70987420997105943</v>
      </c>
    </row>
    <row r="176" spans="1:13" ht="15.75">
      <c r="A176" s="1361"/>
      <c r="B176" s="1364"/>
      <c r="C176" s="1021" t="s">
        <v>2643</v>
      </c>
      <c r="D176" s="1002"/>
      <c r="E176" s="1002">
        <v>769139.65</v>
      </c>
      <c r="F176" s="133">
        <f t="shared" si="4"/>
        <v>769139.65</v>
      </c>
      <c r="G176" s="133"/>
      <c r="I176" s="87">
        <v>1012379.88</v>
      </c>
      <c r="J176" t="s">
        <v>1725</v>
      </c>
      <c r="K176">
        <f>VLOOKUP(J176,Sheet27!C:J,8,0)</f>
        <v>1012380</v>
      </c>
      <c r="L176" s="87">
        <f t="shared" si="7"/>
        <v>0.99999988146743313</v>
      </c>
      <c r="M176">
        <f t="shared" si="5"/>
        <v>-1.1853256681813487E-5</v>
      </c>
    </row>
    <row r="177" spans="1:15" ht="15.75">
      <c r="A177" s="1361"/>
      <c r="B177" s="1364"/>
      <c r="C177" s="1021" t="s">
        <v>2644</v>
      </c>
      <c r="D177" s="1002"/>
      <c r="E177" s="1002">
        <v>400558.6</v>
      </c>
      <c r="F177" s="133">
        <f t="shared" si="4"/>
        <v>400558.6</v>
      </c>
      <c r="G177" s="133"/>
      <c r="I177" s="87">
        <v>1001941.41</v>
      </c>
      <c r="J177" t="s">
        <v>1729</v>
      </c>
      <c r="K177">
        <f>VLOOKUP(J177,Sheet27!C:J,8,0)</f>
        <v>1001941.0000000002</v>
      </c>
      <c r="L177" s="87">
        <f t="shared" si="7"/>
        <v>1.0000004092057315</v>
      </c>
      <c r="M177" s="1024">
        <f t="shared" si="5"/>
        <v>4.0920573147497264E-5</v>
      </c>
    </row>
    <row r="178" spans="1:15" ht="15.75">
      <c r="A178" s="1361"/>
      <c r="B178" s="1364"/>
      <c r="C178" s="1021" t="s">
        <v>2645</v>
      </c>
      <c r="D178" s="1002"/>
      <c r="E178" s="1002">
        <v>674879.88</v>
      </c>
      <c r="F178" s="133">
        <f t="shared" si="4"/>
        <v>674879.88</v>
      </c>
      <c r="G178" s="133"/>
      <c r="I178" s="87">
        <v>781500</v>
      </c>
      <c r="J178">
        <v>3300079</v>
      </c>
      <c r="K178">
        <f>VLOOKUP(J178,Sheet27!C:J,8,0)</f>
        <v>402998</v>
      </c>
      <c r="L178" s="87">
        <f t="shared" si="7"/>
        <v>1.9392155792336438</v>
      </c>
      <c r="M178" s="201">
        <f t="shared" si="5"/>
        <v>93.921557923364389</v>
      </c>
    </row>
    <row r="179" spans="1:15" ht="15.75">
      <c r="A179" s="1361"/>
      <c r="B179" s="1364"/>
      <c r="C179" s="1025" t="s">
        <v>2646</v>
      </c>
      <c r="D179" s="1002"/>
      <c r="E179" s="1002">
        <v>352439.95</v>
      </c>
      <c r="F179" s="133">
        <f t="shared" si="4"/>
        <v>352439.95</v>
      </c>
      <c r="G179" s="133"/>
      <c r="I179" s="87">
        <v>401160.65</v>
      </c>
      <c r="J179" t="s">
        <v>1727</v>
      </c>
      <c r="K179">
        <f>VLOOKUP(J179,Sheet27!C:J,8,0)</f>
        <v>773000</v>
      </c>
      <c r="L179" s="87">
        <f t="shared" si="7"/>
        <v>0.51896591203104792</v>
      </c>
      <c r="M179" s="201">
        <f t="shared" si="5"/>
        <v>-48.103408796895209</v>
      </c>
    </row>
    <row r="180" spans="1:15" ht="15.75">
      <c r="A180" s="1361"/>
      <c r="B180" s="1023"/>
      <c r="C180" s="1025" t="s">
        <v>2647</v>
      </c>
      <c r="D180" s="1002"/>
      <c r="E180" s="1002">
        <v>133200.19</v>
      </c>
      <c r="F180" s="133">
        <f t="shared" si="4"/>
        <v>133200.19</v>
      </c>
      <c r="G180" s="133"/>
      <c r="I180" s="87">
        <v>246439.94</v>
      </c>
      <c r="J180" t="s">
        <v>1732</v>
      </c>
      <c r="K180">
        <f>VLOOKUP(J180,Sheet27!C:J,8,0)</f>
        <v>246639.99999999988</v>
      </c>
      <c r="L180" s="87">
        <f t="shared" si="7"/>
        <v>0.99918885825494697</v>
      </c>
      <c r="M180">
        <f t="shared" si="5"/>
        <v>-8.1114174505303824E-2</v>
      </c>
    </row>
    <row r="181" spans="1:15" ht="15.75">
      <c r="A181" s="1361"/>
      <c r="B181" s="1023"/>
      <c r="C181" s="1025" t="s">
        <v>2648</v>
      </c>
      <c r="D181" s="1002"/>
      <c r="E181" s="1002">
        <v>216480.48</v>
      </c>
      <c r="F181" s="133">
        <f t="shared" si="4"/>
        <v>216480.48</v>
      </c>
      <c r="G181" s="133"/>
      <c r="I181" s="87">
        <v>262760.62</v>
      </c>
      <c r="J181" t="s">
        <v>2649</v>
      </c>
      <c r="K181">
        <f>VLOOKUP(J181,Sheet27!C:J,8,0)</f>
        <v>262761</v>
      </c>
      <c r="L181" s="87">
        <f t="shared" si="7"/>
        <v>0.9999985538188696</v>
      </c>
      <c r="M181">
        <f t="shared" si="5"/>
        <v>-1.4461811303985623E-4</v>
      </c>
      <c r="O181" s="87"/>
    </row>
    <row r="182" spans="1:15" ht="15.75">
      <c r="A182" s="1361"/>
      <c r="B182" s="1018"/>
      <c r="C182" s="1000" t="s">
        <v>91</v>
      </c>
      <c r="D182" s="1003">
        <v>4855539.49</v>
      </c>
      <c r="E182" s="1003">
        <v>4853763.88</v>
      </c>
      <c r="F182" s="133">
        <f t="shared" si="4"/>
        <v>9709303.370000001</v>
      </c>
      <c r="G182" s="133"/>
      <c r="I182" s="87">
        <v>1702138.92</v>
      </c>
      <c r="K182" t="e">
        <f>VLOOKUP(J182,Sheet27!C:J,8,0)</f>
        <v>#N/A</v>
      </c>
      <c r="L182" s="87"/>
      <c r="M182" t="e">
        <f t="shared" si="5"/>
        <v>#N/A</v>
      </c>
    </row>
    <row r="183" spans="1:15" ht="15.75" customHeight="1">
      <c r="A183" s="1361">
        <v>25</v>
      </c>
      <c r="B183" s="1363" t="s">
        <v>162</v>
      </c>
      <c r="C183" s="1021" t="s">
        <v>2546</v>
      </c>
      <c r="D183" s="1002">
        <v>2309519.5299999998</v>
      </c>
      <c r="E183" s="1002"/>
      <c r="F183" s="133">
        <f t="shared" si="4"/>
        <v>2309519.5299999998</v>
      </c>
      <c r="G183" s="133">
        <v>1.67</v>
      </c>
      <c r="I183" s="87">
        <v>0</v>
      </c>
      <c r="K183" t="e">
        <f>VLOOKUP(J183,Sheet27!C:J,8,0)</f>
        <v>#N/A</v>
      </c>
      <c r="L183" s="87"/>
      <c r="M183" t="e">
        <f t="shared" si="5"/>
        <v>#N/A</v>
      </c>
    </row>
    <row r="184" spans="1:15" ht="15.75">
      <c r="A184" s="1361"/>
      <c r="B184" s="1363"/>
      <c r="C184" s="1021" t="s">
        <v>2547</v>
      </c>
      <c r="D184" s="1002">
        <v>787140.38</v>
      </c>
      <c r="E184" s="1002"/>
      <c r="F184" s="133">
        <f t="shared" si="4"/>
        <v>787140.38</v>
      </c>
      <c r="G184" s="133"/>
      <c r="I184" s="87">
        <v>0</v>
      </c>
      <c r="K184" t="e">
        <f>VLOOKUP(J184,Sheet27!C:J,8,0)</f>
        <v>#N/A</v>
      </c>
      <c r="L184" s="87"/>
      <c r="M184" t="e">
        <f t="shared" si="5"/>
        <v>#N/A</v>
      </c>
    </row>
    <row r="185" spans="1:15" ht="15.75">
      <c r="A185" s="1361"/>
      <c r="B185" s="1363"/>
      <c r="C185" s="1021" t="s">
        <v>2604</v>
      </c>
      <c r="D185" s="1002">
        <v>241081.06</v>
      </c>
      <c r="E185" s="1002"/>
      <c r="F185" s="133">
        <f t="shared" si="4"/>
        <v>241081.06</v>
      </c>
      <c r="G185" s="133"/>
      <c r="I185" s="87">
        <v>0</v>
      </c>
      <c r="K185" t="e">
        <f>VLOOKUP(J185,Sheet27!C:J,8,0)</f>
        <v>#N/A</v>
      </c>
      <c r="L185" s="87"/>
      <c r="M185" t="e">
        <f t="shared" si="5"/>
        <v>#N/A</v>
      </c>
    </row>
    <row r="186" spans="1:15" ht="15.75">
      <c r="A186" s="1361"/>
      <c r="B186" s="1363"/>
      <c r="C186" s="1021" t="s">
        <v>2639</v>
      </c>
      <c r="D186" s="1002">
        <v>1414199.71</v>
      </c>
      <c r="E186" s="1002"/>
      <c r="F186" s="133">
        <f t="shared" si="4"/>
        <v>1414199.71</v>
      </c>
      <c r="G186" s="133"/>
      <c r="I186" s="87">
        <v>0</v>
      </c>
      <c r="K186" t="e">
        <f>VLOOKUP(J186,Sheet27!C:J,8,0)</f>
        <v>#N/A</v>
      </c>
      <c r="L186" s="87"/>
      <c r="M186" t="e">
        <f t="shared" si="5"/>
        <v>#N/A</v>
      </c>
    </row>
    <row r="187" spans="1:15" ht="15.75">
      <c r="A187" s="1361"/>
      <c r="B187" s="1363"/>
      <c r="C187" s="1021" t="s">
        <v>2650</v>
      </c>
      <c r="D187" s="1002"/>
      <c r="E187" s="1002">
        <v>1554363.28</v>
      </c>
      <c r="F187" s="133">
        <f t="shared" si="4"/>
        <v>1554363.28</v>
      </c>
      <c r="G187" s="133"/>
      <c r="I187" s="87">
        <v>1550220.7</v>
      </c>
      <c r="J187" t="s">
        <v>1640</v>
      </c>
      <c r="K187">
        <f>VLOOKUP(J187,Sheet27!C:J,8,0)</f>
        <v>1546600.0000000005</v>
      </c>
      <c r="L187" s="87">
        <f t="shared" ref="L187:L193" si="8">I187/K187</f>
        <v>1.0023410707358071</v>
      </c>
      <c r="M187">
        <f t="shared" si="5"/>
        <v>0.23410707358072461</v>
      </c>
    </row>
    <row r="188" spans="1:15" ht="15.75">
      <c r="A188" s="1361"/>
      <c r="B188" s="1363"/>
      <c r="C188" s="1021" t="s">
        <v>2651</v>
      </c>
      <c r="D188" s="1002"/>
      <c r="E188" s="1002">
        <v>661441.41</v>
      </c>
      <c r="F188" s="133">
        <f t="shared" si="4"/>
        <v>661441.41</v>
      </c>
      <c r="G188" s="133"/>
      <c r="I188" s="87">
        <v>1052698.24</v>
      </c>
      <c r="J188" t="s">
        <v>1638</v>
      </c>
      <c r="K188">
        <f>VLOOKUP(J188,Sheet27!C:J,8,0)</f>
        <v>1052700.0000000002</v>
      </c>
      <c r="L188" s="87">
        <f t="shared" si="8"/>
        <v>0.99999832810867273</v>
      </c>
      <c r="M188">
        <f t="shared" si="5"/>
        <v>-1.6718913272937622E-4</v>
      </c>
    </row>
    <row r="189" spans="1:15" ht="15.75">
      <c r="A189" s="1361"/>
      <c r="B189" s="1363"/>
      <c r="C189" s="1021" t="s">
        <v>2652</v>
      </c>
      <c r="D189" s="1002"/>
      <c r="E189" s="1002">
        <v>29881.35</v>
      </c>
      <c r="F189" s="133">
        <f t="shared" si="4"/>
        <v>29881.35</v>
      </c>
      <c r="G189" s="133"/>
      <c r="I189" s="87">
        <v>129298.83</v>
      </c>
      <c r="J189" t="s">
        <v>1645</v>
      </c>
      <c r="K189">
        <f>VLOOKUP(J189,Sheet27!C:J,8,0)</f>
        <v>173399.99999999418</v>
      </c>
      <c r="L189" s="87">
        <f t="shared" si="8"/>
        <v>0.74566799307960985</v>
      </c>
      <c r="M189">
        <f t="shared" si="5"/>
        <v>-25.433200692039019</v>
      </c>
    </row>
    <row r="190" spans="1:15" ht="15.75">
      <c r="A190" s="1361"/>
      <c r="B190" s="1363"/>
      <c r="C190" s="1021" t="s">
        <v>2653</v>
      </c>
      <c r="D190" s="1002"/>
      <c r="E190" s="1002">
        <v>781618.65</v>
      </c>
      <c r="F190" s="133">
        <f t="shared" si="4"/>
        <v>781618.65</v>
      </c>
      <c r="G190" s="133"/>
      <c r="I190" s="87">
        <v>910261.23</v>
      </c>
      <c r="J190" t="s">
        <v>1642</v>
      </c>
      <c r="K190">
        <f>VLOOKUP(J190,Sheet27!C:J,8,0)</f>
        <v>908600.00000000582</v>
      </c>
      <c r="L190" s="87">
        <f t="shared" si="8"/>
        <v>1.0018283403037576</v>
      </c>
      <c r="M190">
        <f t="shared" si="5"/>
        <v>0.1828340303757594</v>
      </c>
    </row>
    <row r="191" spans="1:15" ht="15.75">
      <c r="A191" s="1361"/>
      <c r="B191" s="1363"/>
      <c r="C191" s="1021" t="s">
        <v>2654</v>
      </c>
      <c r="D191" s="1002"/>
      <c r="E191" s="1002">
        <v>318759.77</v>
      </c>
      <c r="F191" s="133">
        <f t="shared" si="4"/>
        <v>318759.77</v>
      </c>
      <c r="G191" s="133"/>
      <c r="I191" s="87">
        <v>454600.59</v>
      </c>
      <c r="J191" t="s">
        <v>1648</v>
      </c>
      <c r="K191">
        <f>VLOOKUP(J191,Sheet27!C:J,8,0)</f>
        <v>454599.99999999563</v>
      </c>
      <c r="L191" s="87">
        <f t="shared" si="8"/>
        <v>1.0000012978442683</v>
      </c>
      <c r="M191">
        <f t="shared" si="5"/>
        <v>1.2978442683484197E-4</v>
      </c>
    </row>
    <row r="192" spans="1:15" ht="15.75">
      <c r="A192" s="1361"/>
      <c r="B192" s="1363"/>
      <c r="C192" s="1021" t="s">
        <v>2655</v>
      </c>
      <c r="D192" s="1002"/>
      <c r="E192" s="1002">
        <v>959938.47</v>
      </c>
      <c r="F192" s="133">
        <f t="shared" si="4"/>
        <v>959938.47</v>
      </c>
      <c r="G192" s="133"/>
      <c r="I192" s="87">
        <v>1118159.18</v>
      </c>
      <c r="J192" t="s">
        <v>1646</v>
      </c>
      <c r="K192">
        <f>VLOOKUP(J192,Sheet27!C:J,8,0)</f>
        <v>1349400.0000000233</v>
      </c>
      <c r="L192" s="87">
        <f t="shared" si="8"/>
        <v>0.82863434118866208</v>
      </c>
      <c r="M192">
        <f t="shared" si="5"/>
        <v>-17.136565881133787</v>
      </c>
    </row>
    <row r="193" spans="1:15" ht="15.75">
      <c r="A193" s="1361"/>
      <c r="B193" s="1363"/>
      <c r="C193" s="1021" t="s">
        <v>2656</v>
      </c>
      <c r="D193" s="1002"/>
      <c r="E193" s="1002">
        <v>211439.94</v>
      </c>
      <c r="F193" s="133">
        <f t="shared" si="4"/>
        <v>211439.94</v>
      </c>
      <c r="G193" s="133"/>
      <c r="I193" s="87">
        <v>252238.77</v>
      </c>
      <c r="J193" t="s">
        <v>1643</v>
      </c>
      <c r="K193">
        <f>VLOOKUP(J193,Sheet27!C:J,8,0)</f>
        <v>256340.00000000015</v>
      </c>
      <c r="L193" s="87">
        <f t="shared" si="8"/>
        <v>0.98400081922446692</v>
      </c>
      <c r="M193">
        <f t="shared" si="5"/>
        <v>-1.5999180775533095</v>
      </c>
    </row>
    <row r="194" spans="1:15" ht="15.75">
      <c r="A194" s="1361"/>
      <c r="B194" s="1023"/>
      <c r="C194" s="1000" t="s">
        <v>91</v>
      </c>
      <c r="D194" s="1003">
        <v>4751940.67</v>
      </c>
      <c r="E194" s="1003">
        <v>4517442.87</v>
      </c>
      <c r="F194" s="133">
        <f t="shared" si="4"/>
        <v>9269383.5399999991</v>
      </c>
      <c r="G194" s="133"/>
      <c r="I194" s="87">
        <v>1702138.92</v>
      </c>
      <c r="K194" t="e">
        <f>VLOOKUP(J194,Sheet27!C:J,8,0)</f>
        <v>#N/A</v>
      </c>
      <c r="L194" s="87"/>
      <c r="M194" t="e">
        <f t="shared" si="5"/>
        <v>#N/A</v>
      </c>
    </row>
    <row r="195" spans="1:15" ht="15.75" customHeight="1">
      <c r="A195" s="1361">
        <v>26</v>
      </c>
      <c r="B195" s="1363" t="s">
        <v>210</v>
      </c>
      <c r="C195" s="1021" t="s">
        <v>2546</v>
      </c>
      <c r="D195" s="1002">
        <v>913227.54</v>
      </c>
      <c r="E195" s="1002"/>
      <c r="F195" s="133">
        <f t="shared" si="4"/>
        <v>913227.54</v>
      </c>
      <c r="G195" s="133">
        <v>25.61</v>
      </c>
      <c r="I195" s="87">
        <v>0</v>
      </c>
      <c r="K195" t="e">
        <f>VLOOKUP(J195,Sheet27!C:J,8,0)</f>
        <v>#N/A</v>
      </c>
      <c r="L195" s="87"/>
      <c r="M195" t="e">
        <f t="shared" si="5"/>
        <v>#N/A</v>
      </c>
    </row>
    <row r="196" spans="1:15" ht="15.75">
      <c r="A196" s="1361"/>
      <c r="B196" s="1363"/>
      <c r="C196" s="1021" t="s">
        <v>2547</v>
      </c>
      <c r="D196" s="1002">
        <v>729480.47</v>
      </c>
      <c r="E196" s="1002"/>
      <c r="F196" s="133">
        <f t="shared" si="4"/>
        <v>729480.47</v>
      </c>
      <c r="G196" s="133"/>
      <c r="I196" s="87">
        <v>0</v>
      </c>
      <c r="K196" t="e">
        <f>VLOOKUP(J196,Sheet27!C:J,8,0)</f>
        <v>#N/A</v>
      </c>
      <c r="L196" s="87"/>
      <c r="M196" t="e">
        <f t="shared" si="5"/>
        <v>#N/A</v>
      </c>
    </row>
    <row r="197" spans="1:15" ht="15.75">
      <c r="A197" s="1361"/>
      <c r="B197" s="1363"/>
      <c r="C197" s="1021" t="s">
        <v>2657</v>
      </c>
      <c r="D197" s="1002"/>
      <c r="E197" s="1002">
        <v>915298.83</v>
      </c>
      <c r="F197" s="133">
        <f t="shared" si="4"/>
        <v>915298.83</v>
      </c>
      <c r="G197" s="133"/>
      <c r="I197" s="87">
        <v>1304162.1100000001</v>
      </c>
      <c r="J197" t="s">
        <v>1687</v>
      </c>
      <c r="K197">
        <f>VLOOKUP(J197,Sheet27!C:J,8,0)</f>
        <v>1298440.0000000002</v>
      </c>
      <c r="L197" s="87">
        <f>I197/K197</f>
        <v>1.0044069113705676</v>
      </c>
      <c r="M197">
        <f t="shared" si="5"/>
        <v>0.44069113705676566</v>
      </c>
    </row>
    <row r="198" spans="1:15" ht="15.75">
      <c r="A198" s="1361"/>
      <c r="B198" s="1363"/>
      <c r="C198" s="1021" t="s">
        <v>2658</v>
      </c>
      <c r="D198" s="1002"/>
      <c r="E198" s="1002">
        <v>39930</v>
      </c>
      <c r="F198" s="133">
        <f t="shared" si="4"/>
        <v>39930</v>
      </c>
      <c r="G198" s="133"/>
      <c r="I198" s="87">
        <v>67050.12</v>
      </c>
      <c r="J198" t="s">
        <v>1690</v>
      </c>
      <c r="K198">
        <f>VLOOKUP(J198,Sheet27!C:J,8,0)</f>
        <v>66799.999999999272</v>
      </c>
      <c r="L198" s="87">
        <f>I198/K198</f>
        <v>1.0037443113772564</v>
      </c>
      <c r="M198">
        <f t="shared" si="5"/>
        <v>0.37443113772563719</v>
      </c>
    </row>
    <row r="199" spans="1:15" ht="15.75">
      <c r="A199" s="1361"/>
      <c r="B199" s="1363"/>
      <c r="C199" s="1021" t="s">
        <v>2659</v>
      </c>
      <c r="D199" s="1002"/>
      <c r="E199" s="1002">
        <v>81240.23</v>
      </c>
      <c r="F199" s="133">
        <f t="shared" si="4"/>
        <v>81240.23</v>
      </c>
      <c r="G199" s="133"/>
      <c r="I199" s="87">
        <v>198239.99</v>
      </c>
      <c r="J199" t="s">
        <v>1689</v>
      </c>
      <c r="K199">
        <f>VLOOKUP(J199,Sheet27!C:J,8,0)</f>
        <v>204800.00000000291</v>
      </c>
      <c r="L199" s="87">
        <f>I199/K199</f>
        <v>0.96796870117186118</v>
      </c>
      <c r="M199">
        <f t="shared" si="5"/>
        <v>-3.2031298828138799</v>
      </c>
    </row>
    <row r="200" spans="1:15" ht="15.75">
      <c r="A200" s="1361"/>
      <c r="B200" s="1363"/>
      <c r="C200" s="1021" t="s">
        <v>2660</v>
      </c>
      <c r="D200" s="1002"/>
      <c r="E200" s="1002">
        <v>173759.41</v>
      </c>
      <c r="F200" s="133">
        <f t="shared" si="4"/>
        <v>173759.41</v>
      </c>
      <c r="G200" s="133"/>
      <c r="I200" s="87">
        <v>334740.24</v>
      </c>
      <c r="J200" t="s">
        <v>1692</v>
      </c>
      <c r="K200">
        <f>VLOOKUP(J200,Sheet27!C:J,8,0)</f>
        <v>333279.99999999994</v>
      </c>
      <c r="L200" s="87">
        <f>I200/K200</f>
        <v>1.0043814210273645</v>
      </c>
      <c r="M200">
        <f t="shared" si="5"/>
        <v>0.43814210273645254</v>
      </c>
    </row>
    <row r="201" spans="1:15" ht="15.75">
      <c r="A201" s="1361"/>
      <c r="B201" s="1363"/>
      <c r="C201" s="1021" t="s">
        <v>2661</v>
      </c>
      <c r="D201" s="1002"/>
      <c r="E201" s="1002">
        <v>329199.45</v>
      </c>
      <c r="F201" s="133">
        <f t="shared" ref="F201:F264" si="9">D201+E201</f>
        <v>329199.45</v>
      </c>
      <c r="G201" s="133"/>
      <c r="I201" s="87">
        <v>702180.22</v>
      </c>
      <c r="J201" t="s">
        <v>1694</v>
      </c>
      <c r="K201">
        <f>VLOOKUP(J201,Sheet27!C:J,8,0)</f>
        <v>699199.99999999709</v>
      </c>
      <c r="L201" s="87">
        <f>I201/K201</f>
        <v>1.0042623283752903</v>
      </c>
      <c r="M201">
        <f t="shared" si="5"/>
        <v>0.42623283752901808</v>
      </c>
    </row>
    <row r="202" spans="1:15" ht="15.75">
      <c r="A202" s="1361"/>
      <c r="B202" s="1026"/>
      <c r="C202" s="1000" t="s">
        <v>91</v>
      </c>
      <c r="D202" s="1003">
        <v>1642708</v>
      </c>
      <c r="E202" s="1003">
        <v>1539427.92</v>
      </c>
      <c r="F202" s="133">
        <f t="shared" si="9"/>
        <v>3182135.92</v>
      </c>
      <c r="G202" s="133"/>
      <c r="I202" s="87">
        <v>1702138.92</v>
      </c>
      <c r="K202" t="e">
        <f>VLOOKUP(J202,Sheet27!C:J,8,0)</f>
        <v>#N/A</v>
      </c>
      <c r="L202" s="87"/>
      <c r="M202" t="e">
        <f t="shared" si="5"/>
        <v>#N/A</v>
      </c>
    </row>
    <row r="203" spans="1:15" ht="15.75" customHeight="1">
      <c r="A203" s="1361">
        <v>27</v>
      </c>
      <c r="B203" s="1363" t="s">
        <v>57</v>
      </c>
      <c r="C203" s="1021" t="s">
        <v>2567</v>
      </c>
      <c r="D203" s="1002">
        <v>856076.66</v>
      </c>
      <c r="E203" s="1002"/>
      <c r="F203" s="133">
        <f t="shared" si="9"/>
        <v>856076.66</v>
      </c>
      <c r="G203" s="133">
        <v>3.09</v>
      </c>
      <c r="I203" s="87">
        <v>0</v>
      </c>
      <c r="K203" t="e">
        <f>VLOOKUP(J203,Sheet27!C:J,8,0)</f>
        <v>#N/A</v>
      </c>
      <c r="L203" s="87"/>
      <c r="M203" t="e">
        <f t="shared" si="5"/>
        <v>#N/A</v>
      </c>
    </row>
    <row r="204" spans="1:15" ht="15.75">
      <c r="A204" s="1361"/>
      <c r="B204" s="1363"/>
      <c r="C204" s="1021" t="s">
        <v>2662</v>
      </c>
      <c r="D204" s="1002"/>
      <c r="E204" s="1002">
        <v>409560.06</v>
      </c>
      <c r="F204" s="133">
        <f t="shared" si="9"/>
        <v>409560.06</v>
      </c>
      <c r="G204" s="133"/>
      <c r="I204" s="87">
        <v>465000</v>
      </c>
      <c r="J204" t="s">
        <v>1802</v>
      </c>
      <c r="K204">
        <f>VLOOKUP(J204,Sheet27!C:J,8,0)</f>
        <v>486030</v>
      </c>
      <c r="L204" s="87">
        <f>I204/K204</f>
        <v>0.95673106598358126</v>
      </c>
      <c r="M204">
        <f t="shared" si="5"/>
        <v>-4.3268934016418736</v>
      </c>
      <c r="O204" s="87"/>
    </row>
    <row r="205" spans="1:15" ht="15.75">
      <c r="A205" s="1361"/>
      <c r="B205" s="1363"/>
      <c r="C205" s="1021" t="s">
        <v>2663</v>
      </c>
      <c r="D205" s="1002"/>
      <c r="E205" s="1002">
        <v>493119.14</v>
      </c>
      <c r="F205" s="133">
        <f t="shared" si="9"/>
        <v>493119.14</v>
      </c>
      <c r="G205" s="133"/>
      <c r="I205" s="87">
        <v>904560.55</v>
      </c>
      <c r="J205" t="s">
        <v>1800</v>
      </c>
      <c r="K205">
        <f>VLOOKUP(J205,Sheet27!C:J,8,0)</f>
        <v>996966.96000000869</v>
      </c>
      <c r="L205" s="87">
        <f>I205/K205</f>
        <v>0.90731246499883222</v>
      </c>
      <c r="M205">
        <f t="shared" si="5"/>
        <v>-9.2687535001167785</v>
      </c>
    </row>
    <row r="206" spans="1:15" ht="15.75">
      <c r="A206" s="1361"/>
      <c r="B206" s="1022"/>
      <c r="C206" s="1000" t="s">
        <v>91</v>
      </c>
      <c r="D206" s="1003">
        <v>856076.66</v>
      </c>
      <c r="E206" s="1003">
        <v>902679.2</v>
      </c>
      <c r="F206" s="133">
        <f t="shared" si="9"/>
        <v>1758755.8599999999</v>
      </c>
      <c r="G206" s="133"/>
      <c r="I206" s="87">
        <v>1702138.92</v>
      </c>
      <c r="K206" t="e">
        <f>VLOOKUP(J206,Sheet27!C:J,8,0)</f>
        <v>#N/A</v>
      </c>
      <c r="L206" s="87"/>
      <c r="M206" t="e">
        <f t="shared" si="5"/>
        <v>#N/A</v>
      </c>
    </row>
    <row r="207" spans="1:15" ht="15.75" customHeight="1">
      <c r="A207" s="1361">
        <v>28</v>
      </c>
      <c r="B207" s="1363" t="s">
        <v>1781</v>
      </c>
      <c r="C207" s="1021" t="s">
        <v>2567</v>
      </c>
      <c r="D207" s="1002">
        <v>1531558.6</v>
      </c>
      <c r="E207" s="1002"/>
      <c r="F207" s="133">
        <f t="shared" si="9"/>
        <v>1531558.6</v>
      </c>
      <c r="G207" s="133">
        <v>16.07</v>
      </c>
      <c r="I207" s="87">
        <v>0</v>
      </c>
      <c r="K207" t="e">
        <f>VLOOKUP(J207,Sheet27!C:J,8,0)</f>
        <v>#N/A</v>
      </c>
      <c r="L207" s="87"/>
      <c r="M207" t="e">
        <f t="shared" si="5"/>
        <v>#N/A</v>
      </c>
    </row>
    <row r="208" spans="1:15" ht="15.75">
      <c r="A208" s="1361"/>
      <c r="B208" s="1363"/>
      <c r="C208" s="1021" t="s">
        <v>2568</v>
      </c>
      <c r="D208" s="1002">
        <v>1178220.7</v>
      </c>
      <c r="E208" s="1002"/>
      <c r="F208" s="133">
        <f t="shared" si="9"/>
        <v>1178220.7</v>
      </c>
      <c r="G208" s="133"/>
      <c r="I208" s="87">
        <v>0</v>
      </c>
      <c r="K208" t="e">
        <f>VLOOKUP(J208,Sheet27!C:J,8,0)</f>
        <v>#N/A</v>
      </c>
      <c r="L208" s="87"/>
      <c r="M208" t="e">
        <f t="shared" si="5"/>
        <v>#N/A</v>
      </c>
    </row>
    <row r="209" spans="1:13" ht="15.75">
      <c r="A209" s="1361"/>
      <c r="B209" s="1363"/>
      <c r="C209" s="1021" t="s">
        <v>2664</v>
      </c>
      <c r="D209" s="1002"/>
      <c r="E209" s="1002">
        <v>583980.35</v>
      </c>
      <c r="F209" s="133">
        <f t="shared" si="9"/>
        <v>583980.35</v>
      </c>
      <c r="G209" s="133"/>
      <c r="I209" s="87">
        <v>1125240.23</v>
      </c>
      <c r="J209" t="s">
        <v>1780</v>
      </c>
      <c r="K209">
        <f>VLOOKUP(J209,Sheet27!C:J,8,0)</f>
        <v>1126200.0000000079</v>
      </c>
      <c r="L209" s="87">
        <f>I209/K209</f>
        <v>0.99914778014561545</v>
      </c>
      <c r="M209">
        <f t="shared" si="5"/>
        <v>-8.5221985438459255E-2</v>
      </c>
    </row>
    <row r="210" spans="1:13" ht="15.75">
      <c r="A210" s="1361"/>
      <c r="B210" s="1363"/>
      <c r="C210" s="1021" t="s">
        <v>2665</v>
      </c>
      <c r="D210" s="1002"/>
      <c r="E210" s="1002">
        <v>624479.38</v>
      </c>
      <c r="F210" s="133">
        <f t="shared" si="9"/>
        <v>624479.38</v>
      </c>
      <c r="G210" s="133"/>
      <c r="I210" s="87">
        <v>1219640.6200000001</v>
      </c>
      <c r="J210" t="s">
        <v>1782</v>
      </c>
      <c r="K210">
        <f>VLOOKUP(J210,Sheet27!C:J,8,0)</f>
        <v>1255387.4460000037</v>
      </c>
      <c r="L210" s="87">
        <f>I210/K210</f>
        <v>0.97152526408169648</v>
      </c>
      <c r="M210">
        <f t="shared" ref="M210:M273" si="10">(I210-K210)/K210*100</f>
        <v>-2.8474735918303509</v>
      </c>
    </row>
    <row r="211" spans="1:13" ht="15.75">
      <c r="A211" s="1361"/>
      <c r="B211" s="1363"/>
      <c r="C211" s="1021" t="s">
        <v>2666</v>
      </c>
      <c r="D211" s="1002"/>
      <c r="E211" s="1002">
        <v>332359.86</v>
      </c>
      <c r="F211" s="133">
        <f t="shared" si="9"/>
        <v>332359.86</v>
      </c>
      <c r="G211" s="133"/>
      <c r="I211" s="87">
        <v>671479.98</v>
      </c>
      <c r="J211" t="s">
        <v>1784</v>
      </c>
      <c r="K211">
        <f>VLOOKUP(J211,Sheet27!C:J,8,0)</f>
        <v>671199.99999999709</v>
      </c>
      <c r="L211" s="87">
        <f>I211/K211</f>
        <v>1.0004171334922569</v>
      </c>
      <c r="M211">
        <f t="shared" si="10"/>
        <v>4.1713349225699192E-2</v>
      </c>
    </row>
    <row r="212" spans="1:13" ht="15.75">
      <c r="A212" s="1361"/>
      <c r="B212" s="1363"/>
      <c r="C212" s="1021" t="s">
        <v>2667</v>
      </c>
      <c r="D212" s="1002"/>
      <c r="E212" s="1002">
        <v>485339.98</v>
      </c>
      <c r="F212" s="133">
        <f t="shared" si="9"/>
        <v>485339.98</v>
      </c>
      <c r="G212" s="133"/>
      <c r="I212" s="87">
        <v>873960.2</v>
      </c>
      <c r="J212" t="s">
        <v>1786</v>
      </c>
      <c r="K212">
        <f>VLOOKUP(J212,Sheet27!C:J,8,0)</f>
        <v>873959.99999999639</v>
      </c>
      <c r="L212" s="87">
        <f>I212/K212</f>
        <v>1.0000002288434293</v>
      </c>
      <c r="M212">
        <f t="shared" si="10"/>
        <v>2.2884342940444607E-5</v>
      </c>
    </row>
    <row r="213" spans="1:13" ht="15.75">
      <c r="A213" s="1361"/>
      <c r="B213" s="1018"/>
      <c r="C213" s="1000" t="s">
        <v>91</v>
      </c>
      <c r="D213" s="1003">
        <v>2709779.3</v>
      </c>
      <c r="E213" s="1003">
        <v>2026159.58</v>
      </c>
      <c r="F213" s="133">
        <f t="shared" si="9"/>
        <v>4735938.88</v>
      </c>
      <c r="G213" s="133"/>
      <c r="I213" s="87">
        <v>1702138.92</v>
      </c>
      <c r="K213" t="e">
        <f>VLOOKUP(J213,Sheet27!C:J,8,0)</f>
        <v>#N/A</v>
      </c>
      <c r="L213" s="87"/>
      <c r="M213" t="e">
        <f t="shared" si="10"/>
        <v>#N/A</v>
      </c>
    </row>
    <row r="214" spans="1:13" ht="15.75" customHeight="1">
      <c r="A214" s="1361">
        <v>29</v>
      </c>
      <c r="B214" s="1363" t="s">
        <v>158</v>
      </c>
      <c r="C214" s="1021" t="s">
        <v>2546</v>
      </c>
      <c r="D214" s="1002">
        <v>1314230.71</v>
      </c>
      <c r="E214" s="1002"/>
      <c r="F214" s="133">
        <f t="shared" si="9"/>
        <v>1314230.71</v>
      </c>
      <c r="G214" s="133">
        <v>9.35</v>
      </c>
      <c r="I214" s="87">
        <v>0</v>
      </c>
      <c r="K214" t="e">
        <f>VLOOKUP(J214,Sheet27!C:J,8,0)</f>
        <v>#N/A</v>
      </c>
      <c r="L214" s="87"/>
      <c r="M214" t="e">
        <f t="shared" si="10"/>
        <v>#N/A</v>
      </c>
    </row>
    <row r="215" spans="1:13" ht="15.75">
      <c r="A215" s="1361"/>
      <c r="B215" s="1363"/>
      <c r="C215" s="1021" t="s">
        <v>2547</v>
      </c>
      <c r="D215" s="1002">
        <v>1246916.01</v>
      </c>
      <c r="E215" s="1002"/>
      <c r="F215" s="133">
        <f t="shared" si="9"/>
        <v>1246916.01</v>
      </c>
      <c r="G215" s="133"/>
      <c r="I215" s="87">
        <v>0</v>
      </c>
      <c r="K215" t="e">
        <f>VLOOKUP(J215,Sheet27!C:J,8,0)</f>
        <v>#N/A</v>
      </c>
      <c r="L215" s="87"/>
      <c r="M215" t="e">
        <f t="shared" si="10"/>
        <v>#N/A</v>
      </c>
    </row>
    <row r="216" spans="1:13" ht="15.75">
      <c r="A216" s="1361"/>
      <c r="B216" s="1363"/>
      <c r="C216" s="1021" t="s">
        <v>1621</v>
      </c>
      <c r="D216" s="1002"/>
      <c r="E216" s="1002">
        <v>26380.01</v>
      </c>
      <c r="F216" s="133">
        <f t="shared" si="9"/>
        <v>26380.01</v>
      </c>
      <c r="G216" s="133"/>
      <c r="I216" s="87">
        <v>31479.98</v>
      </c>
      <c r="J216" t="s">
        <v>1626</v>
      </c>
      <c r="K216">
        <f>VLOOKUP(J216,Sheet27!C:J,8,0)</f>
        <v>43466.557999999874</v>
      </c>
      <c r="L216" s="87">
        <f>I216/K216</f>
        <v>0.72423447929785678</v>
      </c>
      <c r="M216">
        <f t="shared" si="10"/>
        <v>-27.576552070214323</v>
      </c>
    </row>
    <row r="217" spans="1:13" ht="15.75">
      <c r="A217" s="1361"/>
      <c r="B217" s="1363"/>
      <c r="C217" s="1021" t="s">
        <v>1624</v>
      </c>
      <c r="D217" s="1002"/>
      <c r="E217" s="1002">
        <v>399269.53</v>
      </c>
      <c r="F217" s="133">
        <f t="shared" si="9"/>
        <v>399269.53</v>
      </c>
      <c r="G217" s="133"/>
      <c r="I217" s="87">
        <v>527759.76</v>
      </c>
      <c r="J217" t="s">
        <v>1623</v>
      </c>
      <c r="K217">
        <f>VLOOKUP(J217,Sheet27!C:J,8,0)</f>
        <v>527400</v>
      </c>
      <c r="L217" s="87">
        <f>I217/K217</f>
        <v>1.0006821387940843</v>
      </c>
      <c r="M217">
        <f t="shared" si="10"/>
        <v>6.8213879408420414E-2</v>
      </c>
    </row>
    <row r="218" spans="1:13" ht="15.75">
      <c r="A218" s="1361"/>
      <c r="B218" s="1363"/>
      <c r="C218" s="1021" t="s">
        <v>1627</v>
      </c>
      <c r="D218" s="1002"/>
      <c r="E218" s="1002">
        <v>887437.5</v>
      </c>
      <c r="F218" s="133">
        <f t="shared" si="9"/>
        <v>887437.5</v>
      </c>
      <c r="G218" s="133"/>
      <c r="I218" s="87">
        <v>1730003.91</v>
      </c>
      <c r="J218" t="s">
        <v>1628</v>
      </c>
      <c r="K218">
        <f>VLOOKUP(J218,Sheet27!C:J,8,0)</f>
        <v>1724100.0000000021</v>
      </c>
      <c r="L218" s="87">
        <f>I218/K218</f>
        <v>1.0034243431355476</v>
      </c>
      <c r="M218">
        <f t="shared" si="10"/>
        <v>0.34243431355477139</v>
      </c>
    </row>
    <row r="219" spans="1:13" ht="15.75">
      <c r="A219" s="1361"/>
      <c r="B219" s="1363"/>
      <c r="C219" s="1021" t="s">
        <v>1629</v>
      </c>
      <c r="D219" s="1002"/>
      <c r="E219" s="1002">
        <v>1251960.94</v>
      </c>
      <c r="F219" s="133">
        <f t="shared" si="9"/>
        <v>1251960.94</v>
      </c>
      <c r="G219" s="133"/>
      <c r="I219" s="87">
        <v>1580636.72</v>
      </c>
      <c r="J219" t="s">
        <v>1620</v>
      </c>
      <c r="K219">
        <f>VLOOKUP(J219,Sheet27!C:J,8,0)</f>
        <v>1580430</v>
      </c>
      <c r="L219" s="87">
        <f>I219/K219</f>
        <v>1.0001307998456117</v>
      </c>
      <c r="M219">
        <f t="shared" si="10"/>
        <v>1.3079984561161967E-2</v>
      </c>
    </row>
    <row r="220" spans="1:13" ht="15.75">
      <c r="A220" s="1361"/>
      <c r="B220" s="1023"/>
      <c r="C220" s="1000" t="s">
        <v>91</v>
      </c>
      <c r="D220" s="1003">
        <v>2561146.73</v>
      </c>
      <c r="E220" s="1003">
        <v>2565047.9700000002</v>
      </c>
      <c r="F220" s="133">
        <f t="shared" si="9"/>
        <v>5126194.7</v>
      </c>
      <c r="G220" s="133"/>
      <c r="I220" s="87">
        <v>1702138.92</v>
      </c>
      <c r="K220" t="e">
        <f>VLOOKUP(J220,Sheet27!C:J,8,0)</f>
        <v>#N/A</v>
      </c>
      <c r="L220" s="87"/>
      <c r="M220" t="e">
        <f t="shared" si="10"/>
        <v>#N/A</v>
      </c>
    </row>
    <row r="221" spans="1:13" ht="15.75" customHeight="1">
      <c r="A221" s="1361">
        <v>30</v>
      </c>
      <c r="B221" s="1364" t="s">
        <v>904</v>
      </c>
      <c r="C221" s="1021" t="s">
        <v>2546</v>
      </c>
      <c r="D221" s="1002">
        <v>26162.11</v>
      </c>
      <c r="E221" s="1002"/>
      <c r="F221" s="133">
        <f t="shared" si="9"/>
        <v>26162.11</v>
      </c>
      <c r="G221" s="133">
        <v>-1.68</v>
      </c>
      <c r="I221" s="87">
        <v>0</v>
      </c>
      <c r="K221" t="e">
        <f>VLOOKUP(J221,Sheet27!C:J,8,0)</f>
        <v>#N/A</v>
      </c>
      <c r="L221" s="87"/>
      <c r="M221" t="e">
        <f t="shared" si="10"/>
        <v>#N/A</v>
      </c>
    </row>
    <row r="222" spans="1:13" ht="15.75">
      <c r="A222" s="1361"/>
      <c r="B222" s="1364"/>
      <c r="C222" s="1021" t="s">
        <v>2547</v>
      </c>
      <c r="D222" s="1002">
        <v>102119.76</v>
      </c>
      <c r="E222" s="1002"/>
      <c r="F222" s="133">
        <f t="shared" si="9"/>
        <v>102119.76</v>
      </c>
      <c r="G222" s="133"/>
      <c r="I222" s="87">
        <v>0</v>
      </c>
      <c r="K222" t="e">
        <f>VLOOKUP(J222,Sheet27!C:J,8,0)</f>
        <v>#N/A</v>
      </c>
      <c r="L222" s="87"/>
      <c r="M222" t="e">
        <f t="shared" si="10"/>
        <v>#N/A</v>
      </c>
    </row>
    <row r="223" spans="1:13" ht="15.75">
      <c r="A223" s="1361"/>
      <c r="B223" s="1364"/>
      <c r="C223" s="1021" t="s">
        <v>1664</v>
      </c>
      <c r="D223" s="1002"/>
      <c r="E223" s="1002">
        <v>73709.97</v>
      </c>
      <c r="F223" s="133">
        <f t="shared" si="9"/>
        <v>73709.97</v>
      </c>
      <c r="G223" s="133"/>
      <c r="I223" s="87">
        <v>86310.06</v>
      </c>
      <c r="J223">
        <v>3300078</v>
      </c>
      <c r="K223">
        <f>VLOOKUP(J223,Sheet27!C:J,8,0)</f>
        <v>86309.937000000005</v>
      </c>
      <c r="L223" s="87">
        <f t="shared" ref="L223:L228" si="11">I223/K223</f>
        <v>1.0000014250966258</v>
      </c>
      <c r="M223">
        <f t="shared" si="10"/>
        <v>1.4250966258070214E-4</v>
      </c>
    </row>
    <row r="224" spans="1:13" ht="15.75">
      <c r="A224" s="1361"/>
      <c r="B224" s="1364"/>
      <c r="C224" s="1021" t="s">
        <v>1667</v>
      </c>
      <c r="D224" s="1002"/>
      <c r="E224" s="1002">
        <v>7800.29</v>
      </c>
      <c r="F224" s="133">
        <f t="shared" si="9"/>
        <v>7800.29</v>
      </c>
      <c r="G224" s="133"/>
      <c r="I224" s="87">
        <v>499439.94</v>
      </c>
      <c r="J224" t="s">
        <v>1666</v>
      </c>
      <c r="K224">
        <f>VLOOKUP(J224,Sheet27!C:J,8,0)</f>
        <v>499439.94</v>
      </c>
      <c r="L224" s="87">
        <f t="shared" si="11"/>
        <v>1</v>
      </c>
      <c r="M224">
        <f t="shared" si="10"/>
        <v>0</v>
      </c>
    </row>
    <row r="225" spans="1:13" ht="15.75">
      <c r="A225" s="1361"/>
      <c r="B225" s="1364"/>
      <c r="C225" s="1021" t="s">
        <v>1670</v>
      </c>
      <c r="D225" s="1002"/>
      <c r="E225" s="1002">
        <v>600679.68000000005</v>
      </c>
      <c r="F225" s="133">
        <f t="shared" si="9"/>
        <v>600679.68000000005</v>
      </c>
      <c r="G225" s="133"/>
      <c r="I225" s="87">
        <v>887480.47</v>
      </c>
      <c r="J225" t="s">
        <v>1669</v>
      </c>
      <c r="K225">
        <f>VLOOKUP(J225,Sheet27!C:J,8,0)</f>
        <v>884531.12199999706</v>
      </c>
      <c r="L225" s="87">
        <f t="shared" si="11"/>
        <v>1.003334363174621</v>
      </c>
      <c r="M225">
        <f t="shared" si="10"/>
        <v>0.33343631746209129</v>
      </c>
    </row>
    <row r="226" spans="1:13" ht="15.75">
      <c r="A226" s="1361"/>
      <c r="B226" s="1364"/>
      <c r="C226" s="1025" t="s">
        <v>1672</v>
      </c>
      <c r="D226" s="1002"/>
      <c r="E226" s="1002">
        <v>27392.59</v>
      </c>
      <c r="F226" s="133">
        <f t="shared" si="9"/>
        <v>27392.59</v>
      </c>
      <c r="G226" s="133"/>
      <c r="I226" s="87">
        <v>50578.13</v>
      </c>
      <c r="J226" t="s">
        <v>1663</v>
      </c>
      <c r="K226">
        <f>VLOOKUP(J226,Sheet27!C:J,8,0)</f>
        <v>49950</v>
      </c>
      <c r="L226" s="87">
        <f t="shared" si="11"/>
        <v>1.012575175175175</v>
      </c>
      <c r="M226">
        <f t="shared" si="10"/>
        <v>1.2575175175175122</v>
      </c>
    </row>
    <row r="227" spans="1:13" ht="15.75">
      <c r="A227" s="1361"/>
      <c r="B227" s="1023"/>
      <c r="C227" s="1025" t="s">
        <v>1674</v>
      </c>
      <c r="D227" s="1002"/>
      <c r="E227" s="1002">
        <v>157859.99</v>
      </c>
      <c r="F227" s="133">
        <f t="shared" si="9"/>
        <v>157859.99</v>
      </c>
      <c r="G227" s="133"/>
      <c r="I227" s="87">
        <v>167162.10999999999</v>
      </c>
      <c r="J227" t="s">
        <v>1676</v>
      </c>
      <c r="K227">
        <f>VLOOKUP(J227,Sheet27!C:J,8,0)</f>
        <v>166779.99999999994</v>
      </c>
      <c r="L227" s="87">
        <f t="shared" si="11"/>
        <v>1.0022911020506058</v>
      </c>
      <c r="M227">
        <f t="shared" si="10"/>
        <v>0.22911020506058544</v>
      </c>
    </row>
    <row r="228" spans="1:13" ht="15.75">
      <c r="A228" s="1361"/>
      <c r="B228" s="1023"/>
      <c r="C228" s="1025" t="s">
        <v>1677</v>
      </c>
      <c r="D228" s="1002"/>
      <c r="E228" s="1002">
        <v>432750</v>
      </c>
      <c r="F228" s="133">
        <f t="shared" si="9"/>
        <v>432750</v>
      </c>
      <c r="G228" s="133"/>
      <c r="I228" s="87">
        <v>0</v>
      </c>
      <c r="J228" t="s">
        <v>1673</v>
      </c>
      <c r="K228">
        <f>VLOOKUP(J228,Sheet27!C:J,8,0)</f>
        <v>0</v>
      </c>
      <c r="L228" s="87" t="e">
        <f t="shared" si="11"/>
        <v>#DIV/0!</v>
      </c>
      <c r="M228" t="e">
        <f t="shared" si="10"/>
        <v>#DIV/0!</v>
      </c>
    </row>
    <row r="229" spans="1:13" ht="15.75">
      <c r="A229" s="1361"/>
      <c r="B229" s="1027"/>
      <c r="C229" s="1000" t="s">
        <v>91</v>
      </c>
      <c r="D229" s="1003">
        <v>128281.87</v>
      </c>
      <c r="E229" s="1003">
        <v>1300192.52</v>
      </c>
      <c r="F229" s="133">
        <f t="shared" si="9"/>
        <v>1428474.3900000001</v>
      </c>
      <c r="G229" s="133"/>
      <c r="I229" s="87">
        <v>1702138.92</v>
      </c>
      <c r="K229" t="e">
        <f>VLOOKUP(J229,Sheet27!C:J,8,0)</f>
        <v>#N/A</v>
      </c>
      <c r="L229" s="87"/>
      <c r="M229" t="e">
        <f t="shared" si="10"/>
        <v>#N/A</v>
      </c>
    </row>
    <row r="230" spans="1:13" ht="15.75">
      <c r="A230" s="1361"/>
      <c r="B230" s="1027"/>
      <c r="C230" s="1017"/>
      <c r="D230" s="1028"/>
      <c r="E230" s="1028"/>
      <c r="F230" s="133">
        <f t="shared" si="9"/>
        <v>0</v>
      </c>
      <c r="G230" s="133"/>
      <c r="I230" s="87" t="e">
        <f>#N/A</f>
        <v>#N/A</v>
      </c>
      <c r="K230" t="e">
        <f>VLOOKUP(J230,Sheet27!C:J,8,0)</f>
        <v>#N/A</v>
      </c>
      <c r="L230" s="87"/>
      <c r="M230" t="e">
        <f t="shared" si="10"/>
        <v>#N/A</v>
      </c>
    </row>
    <row r="231" spans="1:13" ht="15.75" customHeight="1">
      <c r="A231" s="1361">
        <v>31</v>
      </c>
      <c r="B231" s="1362" t="s">
        <v>2123</v>
      </c>
      <c r="C231" s="1017" t="s">
        <v>2586</v>
      </c>
      <c r="D231" s="1002">
        <v>1249380.07</v>
      </c>
      <c r="E231" s="1002"/>
      <c r="F231" s="133">
        <f t="shared" si="9"/>
        <v>1249380.07</v>
      </c>
      <c r="G231" s="133">
        <v>0.64</v>
      </c>
      <c r="I231" s="87">
        <v>0</v>
      </c>
      <c r="K231" t="e">
        <f>VLOOKUP(J231,Sheet27!C:J,8,0)</f>
        <v>#N/A</v>
      </c>
      <c r="L231" s="87"/>
      <c r="M231" t="e">
        <f t="shared" si="10"/>
        <v>#N/A</v>
      </c>
    </row>
    <row r="232" spans="1:13" ht="15.75">
      <c r="A232" s="1361"/>
      <c r="B232" s="1362"/>
      <c r="C232" s="1017" t="s">
        <v>2587</v>
      </c>
      <c r="D232" s="1002"/>
      <c r="E232" s="1002">
        <v>200360.11</v>
      </c>
      <c r="F232" s="133">
        <f t="shared" si="9"/>
        <v>200360.11</v>
      </c>
      <c r="G232" s="133"/>
      <c r="I232" s="87">
        <v>293380.01</v>
      </c>
      <c r="J232" t="s">
        <v>1890</v>
      </c>
      <c r="K232">
        <f>VLOOKUP(J232,Sheet27!C:J,8,0)</f>
        <v>253360</v>
      </c>
      <c r="L232" s="87">
        <f>I232/K232</f>
        <v>1.1579570966214083</v>
      </c>
      <c r="M232">
        <f t="shared" si="10"/>
        <v>15.79570966214083</v>
      </c>
    </row>
    <row r="233" spans="1:13" ht="15.75">
      <c r="A233" s="1361"/>
      <c r="B233" s="1362"/>
      <c r="C233" s="1017" t="s">
        <v>2588</v>
      </c>
      <c r="D233" s="1002"/>
      <c r="E233" s="1002">
        <v>33959.96</v>
      </c>
      <c r="F233" s="133">
        <f t="shared" si="9"/>
        <v>33959.96</v>
      </c>
      <c r="G233" s="133"/>
      <c r="I233" s="87">
        <v>296739.99</v>
      </c>
      <c r="J233" t="s">
        <v>1892</v>
      </c>
      <c r="K233">
        <f>VLOOKUP(J233,Sheet27!C:J,8,0)</f>
        <v>53660</v>
      </c>
      <c r="L233" s="87">
        <f>I233/K233</f>
        <v>5.5300035408125234</v>
      </c>
      <c r="M233">
        <f t="shared" si="10"/>
        <v>453.00035408125234</v>
      </c>
    </row>
    <row r="234" spans="1:13" ht="15.75">
      <c r="A234" s="1361"/>
      <c r="B234" s="1362"/>
      <c r="C234" s="1017" t="s">
        <v>2668</v>
      </c>
      <c r="D234" s="1002"/>
      <c r="E234" s="1002">
        <v>1030240.24</v>
      </c>
      <c r="F234" s="133">
        <f t="shared" si="9"/>
        <v>1030240.24</v>
      </c>
      <c r="G234" s="133"/>
      <c r="I234" s="87">
        <v>828600.1</v>
      </c>
      <c r="J234" t="s">
        <v>1894</v>
      </c>
      <c r="K234">
        <f>VLOOKUP(J234,Sheet27!C:J,8,0)</f>
        <v>830860</v>
      </c>
      <c r="L234" s="87">
        <f>I234/K234</f>
        <v>0.99728004718003027</v>
      </c>
      <c r="M234">
        <f t="shared" si="10"/>
        <v>-0.27199528199696982</v>
      </c>
    </row>
    <row r="235" spans="1:13" ht="15.75">
      <c r="A235" s="1361"/>
      <c r="B235" s="1027"/>
      <c r="C235" s="1000" t="s">
        <v>91</v>
      </c>
      <c r="D235" s="1003">
        <v>1249380.07</v>
      </c>
      <c r="E235" s="1003">
        <v>1264560.3</v>
      </c>
      <c r="F235" s="133">
        <f t="shared" si="9"/>
        <v>2513940.37</v>
      </c>
      <c r="G235" s="133"/>
      <c r="I235" s="87">
        <v>1702138.92</v>
      </c>
      <c r="K235" t="e">
        <f>VLOOKUP(J235,Sheet27!C:J,8,0)</f>
        <v>#N/A</v>
      </c>
      <c r="L235" s="87"/>
      <c r="M235" t="e">
        <f t="shared" si="10"/>
        <v>#N/A</v>
      </c>
    </row>
    <row r="236" spans="1:13" ht="15.75" customHeight="1">
      <c r="A236" s="1361">
        <v>32</v>
      </c>
      <c r="B236" s="1362" t="s">
        <v>2669</v>
      </c>
      <c r="C236" s="1001" t="s">
        <v>2586</v>
      </c>
      <c r="D236" s="1002">
        <v>2060639.65</v>
      </c>
      <c r="E236" s="1002"/>
      <c r="F236" s="133">
        <f t="shared" si="9"/>
        <v>2060639.65</v>
      </c>
      <c r="G236" s="133">
        <v>1.9</v>
      </c>
      <c r="I236" s="87">
        <v>0</v>
      </c>
      <c r="K236" t="e">
        <f>VLOOKUP(J236,Sheet27!C:J,8,0)</f>
        <v>#N/A</v>
      </c>
      <c r="L236" s="87"/>
      <c r="M236" t="e">
        <f t="shared" si="10"/>
        <v>#N/A</v>
      </c>
    </row>
    <row r="237" spans="1:13" ht="15.75">
      <c r="A237" s="1361"/>
      <c r="B237" s="1362"/>
      <c r="C237" s="1001" t="s">
        <v>2670</v>
      </c>
      <c r="D237" s="1002"/>
      <c r="E237" s="1002">
        <v>331560.07</v>
      </c>
      <c r="F237" s="133">
        <f t="shared" si="9"/>
        <v>331560.07</v>
      </c>
      <c r="G237" s="133"/>
      <c r="I237" s="87">
        <v>501420.41</v>
      </c>
      <c r="J237" t="s">
        <v>1850</v>
      </c>
      <c r="K237">
        <f>VLOOKUP(J237,Sheet27!C:J,8,0)</f>
        <v>514379.99999999738</v>
      </c>
      <c r="L237" s="87">
        <f>I237/K237</f>
        <v>0.97480541622925176</v>
      </c>
      <c r="M237">
        <f t="shared" si="10"/>
        <v>-2.5194583770748227</v>
      </c>
    </row>
    <row r="238" spans="1:13" ht="15.75">
      <c r="A238" s="1361"/>
      <c r="B238" s="1362"/>
      <c r="C238" s="1001" t="s">
        <v>2671</v>
      </c>
      <c r="D238" s="1002"/>
      <c r="E238" s="1002">
        <v>618301.75</v>
      </c>
      <c r="F238" s="133">
        <f t="shared" si="9"/>
        <v>618301.75</v>
      </c>
      <c r="G238" s="133"/>
      <c r="I238" s="87">
        <v>1045078.13</v>
      </c>
      <c r="J238" t="s">
        <v>1852</v>
      </c>
      <c r="K238">
        <f>VLOOKUP(J238,Sheet27!C:J,8,0)</f>
        <v>1073040.0000000009</v>
      </c>
      <c r="L238" s="87">
        <f>I238/K238</f>
        <v>0.97394144673078276</v>
      </c>
      <c r="M238">
        <f t="shared" si="10"/>
        <v>-2.6058553269217271</v>
      </c>
    </row>
    <row r="239" spans="1:13" ht="15.75">
      <c r="A239" s="1361"/>
      <c r="B239" s="1362"/>
      <c r="C239" s="1001" t="s">
        <v>2672</v>
      </c>
      <c r="D239" s="1002"/>
      <c r="E239" s="1002">
        <v>908879.88</v>
      </c>
      <c r="F239" s="133">
        <f t="shared" si="9"/>
        <v>908879.88</v>
      </c>
      <c r="G239" s="133"/>
      <c r="I239" s="87">
        <v>1001699.71</v>
      </c>
      <c r="J239" t="s">
        <v>1854</v>
      </c>
      <c r="K239">
        <f>VLOOKUP(J239,Sheet27!C:J,8,0)</f>
        <v>0</v>
      </c>
      <c r="L239" s="87"/>
      <c r="M239" t="e">
        <f t="shared" si="10"/>
        <v>#DIV/0!</v>
      </c>
    </row>
    <row r="240" spans="1:13" ht="15.75">
      <c r="A240" s="1361"/>
      <c r="B240" s="1027"/>
      <c r="C240" s="1000" t="s">
        <v>91</v>
      </c>
      <c r="D240" s="1003">
        <v>2060639.65</v>
      </c>
      <c r="E240" s="1003">
        <v>1858741.7</v>
      </c>
      <c r="F240" s="133">
        <f t="shared" si="9"/>
        <v>3919381.3499999996</v>
      </c>
      <c r="G240" s="133"/>
      <c r="I240" s="87">
        <v>1702138.92</v>
      </c>
      <c r="K240" t="e">
        <f>VLOOKUP(J240,Sheet27!C:J,8,0)</f>
        <v>#N/A</v>
      </c>
      <c r="L240" s="87"/>
      <c r="M240" t="e">
        <f t="shared" si="10"/>
        <v>#N/A</v>
      </c>
    </row>
    <row r="241" spans="1:13" ht="15.75" customHeight="1">
      <c r="A241" s="1361">
        <v>33</v>
      </c>
      <c r="B241" s="1362" t="s">
        <v>2673</v>
      </c>
      <c r="C241" s="1001" t="s">
        <v>2586</v>
      </c>
      <c r="D241" s="1002">
        <v>109799.99</v>
      </c>
      <c r="E241" s="1002"/>
      <c r="F241" s="133">
        <f t="shared" si="9"/>
        <v>109799.99</v>
      </c>
      <c r="G241" s="133">
        <v>68.17</v>
      </c>
      <c r="I241" s="87">
        <v>0</v>
      </c>
      <c r="K241" t="e">
        <f>VLOOKUP(J241,Sheet27!C:J,8,0)</f>
        <v>#N/A</v>
      </c>
      <c r="L241" s="87"/>
      <c r="M241" t="e">
        <f t="shared" si="10"/>
        <v>#N/A</v>
      </c>
    </row>
    <row r="242" spans="1:13" ht="15.75">
      <c r="A242" s="1361"/>
      <c r="B242" s="1362"/>
      <c r="C242" s="1001" t="s">
        <v>2674</v>
      </c>
      <c r="D242" s="1002"/>
      <c r="E242" s="1002">
        <v>2600</v>
      </c>
      <c r="F242" s="133">
        <f t="shared" si="9"/>
        <v>2600</v>
      </c>
      <c r="G242" s="133"/>
      <c r="I242" s="87">
        <v>26800</v>
      </c>
      <c r="J242" t="s">
        <v>1866</v>
      </c>
      <c r="K242">
        <f>VLOOKUP(J242,Sheet27!C:J,8,0)</f>
        <v>2720</v>
      </c>
      <c r="L242" s="87">
        <f>I242/K242</f>
        <v>9.8529411764705888</v>
      </c>
      <c r="M242">
        <f t="shared" si="10"/>
        <v>885.2941176470589</v>
      </c>
    </row>
    <row r="243" spans="1:13" ht="15.75">
      <c r="A243" s="1361"/>
      <c r="B243" s="1362"/>
      <c r="C243" s="1001" t="s">
        <v>2675</v>
      </c>
      <c r="D243" s="1002"/>
      <c r="E243" s="1002">
        <v>39600</v>
      </c>
      <c r="F243" s="133">
        <f t="shared" si="9"/>
        <v>39600</v>
      </c>
      <c r="G243" s="133"/>
      <c r="I243" s="87">
        <v>59800</v>
      </c>
      <c r="J243" t="s">
        <v>1868</v>
      </c>
      <c r="K243">
        <f>VLOOKUP(J243,Sheet27!C:J,8,0)</f>
        <v>59800</v>
      </c>
      <c r="L243" s="87">
        <f>I243/K243</f>
        <v>1</v>
      </c>
      <c r="M243">
        <f t="shared" si="10"/>
        <v>0</v>
      </c>
    </row>
    <row r="244" spans="1:13" ht="15.75">
      <c r="A244" s="1361"/>
      <c r="B244" s="1362"/>
      <c r="C244" s="1001" t="s">
        <v>2676</v>
      </c>
      <c r="D244" s="1002"/>
      <c r="E244" s="1002">
        <v>26000</v>
      </c>
      <c r="F244" s="133">
        <f t="shared" si="9"/>
        <v>26000</v>
      </c>
      <c r="G244" s="133"/>
      <c r="I244" s="87">
        <v>40999.99</v>
      </c>
      <c r="J244" t="s">
        <v>1870</v>
      </c>
      <c r="K244">
        <f>VLOOKUP(J244,Sheet27!C:J,8,0)</f>
        <v>40999.99</v>
      </c>
      <c r="L244" s="87">
        <f>I244/K244</f>
        <v>1</v>
      </c>
      <c r="M244">
        <f t="shared" si="10"/>
        <v>0</v>
      </c>
    </row>
    <row r="245" spans="1:13" ht="15.75">
      <c r="A245" s="1361"/>
      <c r="B245" s="1027"/>
      <c r="C245" s="1000" t="s">
        <v>91</v>
      </c>
      <c r="D245" s="1003">
        <v>109799.99</v>
      </c>
      <c r="E245" s="1003">
        <v>68200</v>
      </c>
      <c r="F245" s="133">
        <f t="shared" si="9"/>
        <v>177999.99</v>
      </c>
      <c r="G245" s="133"/>
      <c r="I245" s="87">
        <v>1702138.92</v>
      </c>
      <c r="K245" t="e">
        <f>VLOOKUP(J245,Sheet27!C:J,8,0)</f>
        <v>#N/A</v>
      </c>
      <c r="L245" s="87"/>
      <c r="M245" t="e">
        <f t="shared" si="10"/>
        <v>#N/A</v>
      </c>
    </row>
    <row r="246" spans="1:13" ht="15.75" customHeight="1">
      <c r="A246" s="1361">
        <v>34</v>
      </c>
      <c r="B246" s="1362" t="s">
        <v>1336</v>
      </c>
      <c r="C246" s="1001" t="s">
        <v>2586</v>
      </c>
      <c r="D246" s="1002">
        <v>2627824.2200000002</v>
      </c>
      <c r="E246" s="1002"/>
      <c r="F246" s="133">
        <f t="shared" si="9"/>
        <v>2627824.2200000002</v>
      </c>
      <c r="G246" s="133">
        <v>-0.38</v>
      </c>
      <c r="I246" s="87">
        <v>0</v>
      </c>
      <c r="K246" t="e">
        <f>VLOOKUP(J246,Sheet27!C:J,8,0)</f>
        <v>#N/A</v>
      </c>
      <c r="L246" s="87"/>
      <c r="M246" t="e">
        <f t="shared" si="10"/>
        <v>#N/A</v>
      </c>
    </row>
    <row r="247" spans="1:13" ht="15.75">
      <c r="A247" s="1361"/>
      <c r="B247" s="1362"/>
      <c r="C247" s="1001" t="s">
        <v>2677</v>
      </c>
      <c r="D247" s="1002"/>
      <c r="E247" s="1002">
        <v>728220.7</v>
      </c>
      <c r="F247" s="133">
        <f t="shared" si="9"/>
        <v>728220.7</v>
      </c>
      <c r="G247" s="133"/>
      <c r="I247" s="87">
        <v>1047298.83</v>
      </c>
      <c r="J247" t="s">
        <v>1862</v>
      </c>
      <c r="K247">
        <f>VLOOKUP(J247,Sheet27!C:J,8,0)</f>
        <v>1049040.0000000009</v>
      </c>
      <c r="L247" s="87">
        <f>I247/K247</f>
        <v>0.99834022534888944</v>
      </c>
      <c r="M247">
        <f t="shared" si="10"/>
        <v>-0.16597746511105121</v>
      </c>
    </row>
    <row r="248" spans="1:13" ht="15.75">
      <c r="A248" s="1361"/>
      <c r="B248" s="1362"/>
      <c r="C248" s="1001" t="s">
        <v>2678</v>
      </c>
      <c r="D248" s="1002"/>
      <c r="E248" s="1002">
        <v>1406519.53</v>
      </c>
      <c r="F248" s="133">
        <f t="shared" si="9"/>
        <v>1406519.53</v>
      </c>
      <c r="G248" s="133"/>
      <c r="I248" s="87">
        <v>1979821.29</v>
      </c>
      <c r="J248" t="s">
        <v>1858</v>
      </c>
      <c r="K248">
        <f>VLOOKUP(J248,Sheet27!C:J,8,0)</f>
        <v>1979339.9999999965</v>
      </c>
      <c r="L248" s="87">
        <f>I248/K248</f>
        <v>1.0002431568098475</v>
      </c>
      <c r="M248">
        <f t="shared" si="10"/>
        <v>2.4315680984748986E-2</v>
      </c>
    </row>
    <row r="249" spans="1:13" ht="15.75">
      <c r="A249" s="1361"/>
      <c r="B249" s="1362"/>
      <c r="C249" s="1001" t="s">
        <v>2679</v>
      </c>
      <c r="D249" s="1002"/>
      <c r="E249" s="1002">
        <v>494581.05</v>
      </c>
      <c r="F249" s="133">
        <f t="shared" si="9"/>
        <v>494581.05</v>
      </c>
      <c r="G249" s="133"/>
      <c r="I249" s="87">
        <v>656819.82999999996</v>
      </c>
      <c r="J249" t="s">
        <v>1860</v>
      </c>
      <c r="K249">
        <f>VLOOKUP(J249,Sheet27!C:J,8,0)</f>
        <v>662280.0000000007</v>
      </c>
      <c r="L249" s="87">
        <f>I249/K249</f>
        <v>0.991755496164763</v>
      </c>
      <c r="M249">
        <f t="shared" si="10"/>
        <v>-0.82445038352369615</v>
      </c>
    </row>
    <row r="250" spans="1:13" ht="15.75">
      <c r="A250" s="1361"/>
      <c r="B250" s="1027"/>
      <c r="C250" s="1000" t="s">
        <v>91</v>
      </c>
      <c r="D250" s="1003">
        <v>2627824.2200000002</v>
      </c>
      <c r="E250" s="1003">
        <v>2629321.29</v>
      </c>
      <c r="F250" s="133">
        <f t="shared" si="9"/>
        <v>5257145.51</v>
      </c>
      <c r="G250" s="133"/>
      <c r="I250" s="87">
        <v>1702138.92</v>
      </c>
      <c r="K250" t="e">
        <f>VLOOKUP(J250,Sheet27!C:J,8,0)</f>
        <v>#N/A</v>
      </c>
      <c r="L250" s="87"/>
      <c r="M250" t="e">
        <f t="shared" si="10"/>
        <v>#N/A</v>
      </c>
    </row>
    <row r="251" spans="1:13" ht="15.75" customHeight="1">
      <c r="A251" s="1361">
        <v>35</v>
      </c>
      <c r="B251" s="1362" t="s">
        <v>2680</v>
      </c>
      <c r="C251" s="1001" t="s">
        <v>2586</v>
      </c>
      <c r="D251" s="1002">
        <v>1707662.11</v>
      </c>
      <c r="E251" s="1002"/>
      <c r="F251" s="133">
        <f t="shared" si="9"/>
        <v>1707662.11</v>
      </c>
      <c r="G251" s="133">
        <v>59.54</v>
      </c>
      <c r="I251" s="87">
        <v>0</v>
      </c>
      <c r="K251" t="e">
        <f>VLOOKUP(J251,Sheet27!C:J,8,0)</f>
        <v>#N/A</v>
      </c>
      <c r="L251" s="87"/>
      <c r="M251" t="e">
        <f t="shared" si="10"/>
        <v>#N/A</v>
      </c>
    </row>
    <row r="252" spans="1:13" ht="15.75">
      <c r="A252" s="1361"/>
      <c r="B252" s="1362"/>
      <c r="C252" s="1001" t="s">
        <v>2681</v>
      </c>
      <c r="D252" s="1002"/>
      <c r="E252" s="1002">
        <v>0</v>
      </c>
      <c r="F252" s="133">
        <f t="shared" si="9"/>
        <v>0</v>
      </c>
      <c r="G252" s="133"/>
      <c r="I252" s="87">
        <v>0</v>
      </c>
      <c r="J252" t="s">
        <v>1878</v>
      </c>
      <c r="K252">
        <f>VLOOKUP(J252,Sheet27!C:J,8,0)</f>
        <v>1366100</v>
      </c>
      <c r="L252" s="87">
        <f>I252/K252</f>
        <v>0</v>
      </c>
      <c r="M252">
        <f t="shared" si="10"/>
        <v>-100</v>
      </c>
    </row>
    <row r="253" spans="1:13" ht="15.75">
      <c r="A253" s="1361"/>
      <c r="B253" s="1362"/>
      <c r="C253" s="1001" t="s">
        <v>2682</v>
      </c>
      <c r="D253" s="1002"/>
      <c r="E253" s="1002">
        <v>581480.47</v>
      </c>
      <c r="F253" s="133">
        <f t="shared" si="9"/>
        <v>581480.47</v>
      </c>
      <c r="G253" s="133"/>
      <c r="I253" s="87">
        <v>801599.61</v>
      </c>
      <c r="J253" t="s">
        <v>2122</v>
      </c>
      <c r="K253">
        <f>VLOOKUP(J253,Sheet27!C:J,8,0)</f>
        <v>782800</v>
      </c>
      <c r="L253" s="87">
        <f>I253/K253</f>
        <v>1.0240158533469597</v>
      </c>
      <c r="M253">
        <f t="shared" si="10"/>
        <v>2.4015853346959615</v>
      </c>
    </row>
    <row r="254" spans="1:13" ht="15.75">
      <c r="A254" s="1361"/>
      <c r="B254" s="1362"/>
      <c r="C254" s="1001" t="s">
        <v>2683</v>
      </c>
      <c r="D254" s="1002"/>
      <c r="E254" s="1002">
        <v>142359.85999999999</v>
      </c>
      <c r="F254" s="133">
        <f t="shared" si="9"/>
        <v>142359.85999999999</v>
      </c>
      <c r="G254" s="133"/>
      <c r="I254" s="87">
        <v>224240.23</v>
      </c>
      <c r="J254" t="s">
        <v>1876</v>
      </c>
      <c r="K254">
        <f>VLOOKUP(J254,Sheet27!C:J,8,0)</f>
        <v>223600</v>
      </c>
      <c r="L254" s="87">
        <f>I254/K254</f>
        <v>1.002863282647585</v>
      </c>
      <c r="M254">
        <f t="shared" si="10"/>
        <v>0.28632826475850198</v>
      </c>
    </row>
    <row r="255" spans="1:13" ht="15.75">
      <c r="A255" s="1361"/>
      <c r="B255" s="1027"/>
      <c r="C255" s="1000" t="s">
        <v>91</v>
      </c>
      <c r="D255" s="1003">
        <v>1707662.11</v>
      </c>
      <c r="E255" s="1003">
        <v>723840.32</v>
      </c>
      <c r="F255" s="133">
        <f t="shared" si="9"/>
        <v>2431502.4300000002</v>
      </c>
      <c r="G255" s="133"/>
      <c r="I255" s="87">
        <v>1702138.92</v>
      </c>
      <c r="K255" t="e">
        <f>VLOOKUP(J255,Sheet27!C:J,8,0)</f>
        <v>#N/A</v>
      </c>
      <c r="L255" s="87"/>
      <c r="M255" t="e">
        <f t="shared" si="10"/>
        <v>#N/A</v>
      </c>
    </row>
    <row r="256" spans="1:13" ht="15.75" customHeight="1">
      <c r="A256" s="1361">
        <v>36</v>
      </c>
      <c r="B256" s="1362" t="s">
        <v>979</v>
      </c>
      <c r="C256" s="1001" t="s">
        <v>2586</v>
      </c>
      <c r="D256" s="1002">
        <v>830520.26</v>
      </c>
      <c r="E256" s="1002"/>
      <c r="F256" s="133">
        <f t="shared" si="9"/>
        <v>830520.26</v>
      </c>
      <c r="G256" s="133">
        <v>45.81</v>
      </c>
      <c r="I256" s="87">
        <v>0</v>
      </c>
      <c r="K256" t="e">
        <f>VLOOKUP(J256,Sheet27!C:J,8,0)</f>
        <v>#N/A</v>
      </c>
      <c r="L256" s="87"/>
      <c r="M256" t="e">
        <f t="shared" si="10"/>
        <v>#N/A</v>
      </c>
    </row>
    <row r="257" spans="1:13" ht="15.75">
      <c r="A257" s="1361"/>
      <c r="B257" s="1362"/>
      <c r="C257" s="1001" t="s">
        <v>1885</v>
      </c>
      <c r="D257" s="1002"/>
      <c r="E257" s="1002"/>
      <c r="F257" s="133">
        <f t="shared" si="9"/>
        <v>0</v>
      </c>
      <c r="G257" s="133"/>
      <c r="I257" s="87">
        <v>0</v>
      </c>
      <c r="J257" t="s">
        <v>1886</v>
      </c>
      <c r="K257">
        <f>VLOOKUP(J257,Sheet27!C:J,8,0)</f>
        <v>0</v>
      </c>
      <c r="L257" s="87"/>
      <c r="M257" t="e">
        <f t="shared" si="10"/>
        <v>#DIV/0!</v>
      </c>
    </row>
    <row r="258" spans="1:13" ht="15.75">
      <c r="A258" s="1361"/>
      <c r="B258" s="1362"/>
      <c r="C258" s="1001" t="s">
        <v>1883</v>
      </c>
      <c r="D258" s="1002"/>
      <c r="E258" s="1002"/>
      <c r="F258" s="133">
        <f t="shared" si="9"/>
        <v>0</v>
      </c>
      <c r="G258" s="133"/>
      <c r="I258" s="87">
        <v>0</v>
      </c>
      <c r="J258" t="s">
        <v>1884</v>
      </c>
      <c r="K258">
        <f>VLOOKUP(J258,Sheet27!C:J,8,0)</f>
        <v>0</v>
      </c>
      <c r="L258" s="87"/>
      <c r="M258" t="e">
        <f t="shared" si="10"/>
        <v>#DIV/0!</v>
      </c>
    </row>
    <row r="259" spans="1:13" ht="15.75">
      <c r="A259" s="1361"/>
      <c r="B259" s="1362"/>
      <c r="C259" s="1000" t="s">
        <v>91</v>
      </c>
      <c r="D259" s="1003">
        <v>2538182.37</v>
      </c>
      <c r="E259" s="1003">
        <v>723840.32</v>
      </c>
      <c r="F259" s="133">
        <f t="shared" si="9"/>
        <v>3262022.69</v>
      </c>
      <c r="G259" s="133"/>
      <c r="I259" s="87">
        <v>1702138.92</v>
      </c>
      <c r="K259" t="e">
        <f>VLOOKUP(J259,Sheet27!C:J,8,0)</f>
        <v>#N/A</v>
      </c>
      <c r="L259" s="87"/>
      <c r="M259" t="e">
        <f t="shared" si="10"/>
        <v>#N/A</v>
      </c>
    </row>
    <row r="260" spans="1:13" ht="15.75" customHeight="1">
      <c r="A260" s="1360">
        <v>37</v>
      </c>
      <c r="B260" s="1360" t="s">
        <v>2035</v>
      </c>
      <c r="C260" s="1001" t="s">
        <v>2546</v>
      </c>
      <c r="D260" s="1002">
        <v>1150201.8700000001</v>
      </c>
      <c r="E260" s="1002"/>
      <c r="F260" s="133">
        <f t="shared" si="9"/>
        <v>1150201.8700000001</v>
      </c>
      <c r="G260" s="133">
        <v>1.03</v>
      </c>
      <c r="I260" s="87">
        <v>0</v>
      </c>
      <c r="K260" t="e">
        <f>VLOOKUP(J260,Sheet27!C:J,8,0)</f>
        <v>#N/A</v>
      </c>
      <c r="L260" s="87"/>
      <c r="M260" t="e">
        <f t="shared" si="10"/>
        <v>#N/A</v>
      </c>
    </row>
    <row r="261" spans="1:13" ht="15.75">
      <c r="A261" s="1360"/>
      <c r="B261" s="1360"/>
      <c r="C261" s="1001" t="s">
        <v>2684</v>
      </c>
      <c r="D261" s="1002"/>
      <c r="E261" s="1002">
        <v>704201.17</v>
      </c>
      <c r="F261" s="133">
        <f t="shared" si="9"/>
        <v>704201.17</v>
      </c>
      <c r="G261" s="133"/>
      <c r="I261" s="87">
        <v>1012798.83</v>
      </c>
      <c r="J261" t="s">
        <v>2034</v>
      </c>
      <c r="K261">
        <f>VLOOKUP(J261,Sheet27!C:J,8,0)</f>
        <v>1013600.0000000022</v>
      </c>
      <c r="L261" s="87">
        <f>I261/K261</f>
        <v>0.999209579715862</v>
      </c>
      <c r="M261">
        <f t="shared" si="10"/>
        <v>-7.9042028413797566E-2</v>
      </c>
    </row>
    <row r="262" spans="1:13" ht="15.75">
      <c r="A262" s="1360"/>
      <c r="B262" s="1360"/>
      <c r="C262" s="1001" t="s">
        <v>2685</v>
      </c>
      <c r="D262" s="1002"/>
      <c r="E262" s="1002">
        <v>229121.1</v>
      </c>
      <c r="F262" s="133">
        <f t="shared" si="9"/>
        <v>229121.1</v>
      </c>
      <c r="G262" s="133"/>
      <c r="I262" s="87">
        <v>368360.31</v>
      </c>
      <c r="J262" t="s">
        <v>2036</v>
      </c>
      <c r="K262">
        <f>VLOOKUP(J262,Sheet27!C:J,8,0)</f>
        <v>442599.99999999854</v>
      </c>
      <c r="L262" s="87">
        <f>I262/K262</f>
        <v>0.83226459557162491</v>
      </c>
      <c r="M262">
        <f t="shared" si="10"/>
        <v>-16.773540442837504</v>
      </c>
    </row>
    <row r="263" spans="1:13" ht="15.75">
      <c r="A263" s="1360"/>
      <c r="B263" s="1360"/>
      <c r="C263" s="1001" t="s">
        <v>2686</v>
      </c>
      <c r="D263" s="1002"/>
      <c r="E263" s="1002">
        <v>342839.84</v>
      </c>
      <c r="F263" s="133">
        <f t="shared" si="9"/>
        <v>342839.84</v>
      </c>
      <c r="G263" s="133"/>
      <c r="I263" s="87">
        <v>482640.63</v>
      </c>
      <c r="J263" t="s">
        <v>2038</v>
      </c>
      <c r="K263">
        <f>VLOOKUP(J263,Sheet27!C:J,8,0)</f>
        <v>481659.99999999988</v>
      </c>
      <c r="L263" s="87">
        <f>I263/K263</f>
        <v>1.0020359382136779</v>
      </c>
      <c r="M263">
        <f t="shared" si="10"/>
        <v>0.20359382136779497</v>
      </c>
    </row>
    <row r="264" spans="1:13" ht="15.75">
      <c r="A264" s="1360"/>
      <c r="B264" s="1360"/>
      <c r="C264" s="1000" t="s">
        <v>91</v>
      </c>
      <c r="D264" s="1003">
        <v>1150201.8700000001</v>
      </c>
      <c r="E264" s="1003">
        <v>1276162.1100000001</v>
      </c>
      <c r="F264" s="133">
        <f t="shared" si="9"/>
        <v>2426363.9800000004</v>
      </c>
      <c r="G264" s="133"/>
      <c r="I264" s="87">
        <v>1702138.92</v>
      </c>
      <c r="K264" t="e">
        <f>VLOOKUP(J264,Sheet27!C:J,8,0)</f>
        <v>#N/A</v>
      </c>
      <c r="L264" s="87"/>
      <c r="M264" t="e">
        <f t="shared" si="10"/>
        <v>#N/A</v>
      </c>
    </row>
    <row r="265" spans="1:13" ht="15.75">
      <c r="A265" s="1360"/>
      <c r="B265" s="1004"/>
      <c r="C265" s="1001"/>
      <c r="D265" s="1002"/>
      <c r="E265" s="1002"/>
      <c r="F265" s="133">
        <f t="shared" ref="F265:F328" si="12">D265+E265</f>
        <v>0</v>
      </c>
      <c r="G265" s="133"/>
      <c r="I265" s="87" t="e">
        <f>#N/A</f>
        <v>#N/A</v>
      </c>
      <c r="K265" t="e">
        <f>VLOOKUP(J265,Sheet27!C:J,8,0)</f>
        <v>#N/A</v>
      </c>
      <c r="L265" s="87"/>
      <c r="M265" t="e">
        <f t="shared" si="10"/>
        <v>#N/A</v>
      </c>
    </row>
    <row r="266" spans="1:13" ht="15.75" customHeight="1">
      <c r="A266" s="1360">
        <v>38</v>
      </c>
      <c r="B266" s="1360" t="s">
        <v>2025</v>
      </c>
      <c r="C266" s="1001" t="s">
        <v>2586</v>
      </c>
      <c r="D266" s="1002">
        <v>1754941.41</v>
      </c>
      <c r="E266" s="1002"/>
      <c r="F266" s="133">
        <f t="shared" si="12"/>
        <v>1754941.41</v>
      </c>
      <c r="G266" s="133">
        <v>2.95</v>
      </c>
      <c r="I266" s="87">
        <v>0</v>
      </c>
      <c r="K266" t="e">
        <f>VLOOKUP(J266,Sheet27!C:J,8,0)</f>
        <v>#N/A</v>
      </c>
      <c r="L266" s="87"/>
      <c r="M266" t="e">
        <f t="shared" si="10"/>
        <v>#N/A</v>
      </c>
    </row>
    <row r="267" spans="1:13" ht="15.75">
      <c r="A267" s="1360"/>
      <c r="B267" s="1360"/>
      <c r="C267" s="1001" t="s">
        <v>2687</v>
      </c>
      <c r="D267" s="1002"/>
      <c r="E267" s="1002">
        <v>643761.72</v>
      </c>
      <c r="F267" s="133">
        <f t="shared" si="12"/>
        <v>643761.72</v>
      </c>
      <c r="G267" s="133"/>
      <c r="I267" s="87">
        <v>858000</v>
      </c>
      <c r="J267" t="s">
        <v>2026</v>
      </c>
      <c r="K267">
        <f>VLOOKUP(J267,Sheet27!C:J,8,0)</f>
        <v>931000</v>
      </c>
      <c r="L267" s="87">
        <f>I267/K267</f>
        <v>0.92158968850698175</v>
      </c>
      <c r="M267">
        <f t="shared" si="10"/>
        <v>-7.8410311493018261</v>
      </c>
    </row>
    <row r="268" spans="1:13" ht="15.75">
      <c r="A268" s="1360"/>
      <c r="B268" s="1360"/>
      <c r="C268" s="1001" t="s">
        <v>2688</v>
      </c>
      <c r="D268" s="1002"/>
      <c r="E268" s="1002">
        <v>309839.84000000003</v>
      </c>
      <c r="F268" s="133">
        <f t="shared" si="12"/>
        <v>309839.84000000003</v>
      </c>
      <c r="G268" s="133"/>
      <c r="I268" s="87">
        <v>401958.99</v>
      </c>
      <c r="J268" t="s">
        <v>2030</v>
      </c>
      <c r="K268">
        <f>VLOOKUP(J268,Sheet27!C:J,8,0)</f>
        <v>430000</v>
      </c>
      <c r="L268" s="87">
        <f>I268/K268</f>
        <v>0.93478834883720929</v>
      </c>
      <c r="M268">
        <f t="shared" si="10"/>
        <v>-6.5211651162790725</v>
      </c>
    </row>
    <row r="269" spans="1:13" ht="15.75">
      <c r="A269" s="1360"/>
      <c r="B269" s="1360"/>
      <c r="C269" s="1001" t="s">
        <v>2689</v>
      </c>
      <c r="D269" s="1002"/>
      <c r="E269" s="1002">
        <v>735360.35</v>
      </c>
      <c r="F269" s="133">
        <f t="shared" si="12"/>
        <v>735360.35</v>
      </c>
      <c r="G269" s="133"/>
      <c r="I269" s="87">
        <v>963539.06</v>
      </c>
      <c r="J269" t="s">
        <v>2028</v>
      </c>
      <c r="K269">
        <f>VLOOKUP(J269,Sheet27!C:J,8,0)</f>
        <v>1046200.0000000044</v>
      </c>
      <c r="L269" s="87">
        <f>I269/K269</f>
        <v>0.9209893519403517</v>
      </c>
      <c r="M269">
        <f t="shared" si="10"/>
        <v>-7.9010648059648272</v>
      </c>
    </row>
    <row r="270" spans="1:13" ht="15.75">
      <c r="A270" s="1360"/>
      <c r="B270" s="1360"/>
      <c r="C270" s="1000" t="s">
        <v>91</v>
      </c>
      <c r="D270" s="1002">
        <v>1754941.41</v>
      </c>
      <c r="E270" s="1003">
        <v>1688961.91</v>
      </c>
      <c r="F270" s="133">
        <f t="shared" si="12"/>
        <v>3443903.32</v>
      </c>
      <c r="G270" s="133"/>
      <c r="I270" s="87">
        <v>1702138.92</v>
      </c>
      <c r="K270" t="e">
        <f>VLOOKUP(J270,Sheet27!C:J,8,0)</f>
        <v>#N/A</v>
      </c>
      <c r="L270" s="87"/>
      <c r="M270" t="e">
        <f t="shared" si="10"/>
        <v>#N/A</v>
      </c>
    </row>
    <row r="271" spans="1:13" ht="15.75">
      <c r="A271" s="1360"/>
      <c r="B271" s="1004"/>
      <c r="C271" s="1001"/>
      <c r="D271" s="1002"/>
      <c r="E271" s="1002"/>
      <c r="F271" s="133">
        <f t="shared" si="12"/>
        <v>0</v>
      </c>
      <c r="G271" s="133"/>
      <c r="I271" s="87" t="e">
        <f>#N/A</f>
        <v>#N/A</v>
      </c>
      <c r="K271" t="e">
        <f>VLOOKUP(J271,Sheet27!C:J,8,0)</f>
        <v>#N/A</v>
      </c>
      <c r="L271" s="87"/>
      <c r="M271" t="e">
        <f t="shared" si="10"/>
        <v>#N/A</v>
      </c>
    </row>
    <row r="272" spans="1:13" ht="15.75" customHeight="1">
      <c r="A272" s="1360">
        <v>39</v>
      </c>
      <c r="B272" s="1360" t="s">
        <v>1310</v>
      </c>
      <c r="C272" s="1001" t="s">
        <v>2546</v>
      </c>
      <c r="D272" s="1002">
        <v>1430402.34</v>
      </c>
      <c r="E272" s="1002"/>
      <c r="F272" s="133">
        <f t="shared" si="12"/>
        <v>1430402.34</v>
      </c>
      <c r="G272" s="133">
        <v>12.66</v>
      </c>
      <c r="I272" s="87">
        <v>0</v>
      </c>
      <c r="K272" t="e">
        <f>VLOOKUP(J272,Sheet27!C:J,8,0)</f>
        <v>#N/A</v>
      </c>
      <c r="L272" s="87"/>
      <c r="M272" t="e">
        <f t="shared" si="10"/>
        <v>#N/A</v>
      </c>
    </row>
    <row r="273" spans="1:13" ht="15.75">
      <c r="A273" s="1360"/>
      <c r="B273" s="1360"/>
      <c r="C273" s="1001" t="s">
        <v>2547</v>
      </c>
      <c r="D273" s="1002">
        <v>687959.47</v>
      </c>
      <c r="E273" s="1002"/>
      <c r="F273" s="133">
        <f t="shared" si="12"/>
        <v>687959.47</v>
      </c>
      <c r="G273" s="133"/>
      <c r="I273" s="87">
        <v>0</v>
      </c>
      <c r="K273" t="e">
        <f>VLOOKUP(J273,Sheet27!C:J,8,0)</f>
        <v>#N/A</v>
      </c>
      <c r="L273" s="87"/>
      <c r="M273" t="e">
        <f t="shared" si="10"/>
        <v>#N/A</v>
      </c>
    </row>
    <row r="274" spans="1:13" ht="15.75">
      <c r="A274" s="1360"/>
      <c r="B274" s="1360"/>
      <c r="C274" s="1001" t="s">
        <v>2604</v>
      </c>
      <c r="D274" s="1002">
        <v>1335357.42</v>
      </c>
      <c r="E274" s="1002"/>
      <c r="F274" s="133">
        <f t="shared" si="12"/>
        <v>1335357.42</v>
      </c>
      <c r="G274" s="133"/>
      <c r="I274" s="87">
        <v>0</v>
      </c>
      <c r="K274" t="e">
        <f>VLOOKUP(J274,Sheet27!C:J,8,0)</f>
        <v>#N/A</v>
      </c>
      <c r="L274" s="87"/>
      <c r="M274" t="e">
        <f t="shared" ref="M274:M337" si="13">(I274-K274)/K274*100</f>
        <v>#N/A</v>
      </c>
    </row>
    <row r="275" spans="1:13" ht="15.75">
      <c r="A275" s="1360"/>
      <c r="B275" s="1360"/>
      <c r="C275" s="1001" t="s">
        <v>2639</v>
      </c>
      <c r="D275" s="1002">
        <v>2243648.44</v>
      </c>
      <c r="E275" s="1002"/>
      <c r="F275" s="133">
        <f t="shared" si="12"/>
        <v>2243648.44</v>
      </c>
      <c r="G275" s="133"/>
      <c r="I275" s="87">
        <v>0</v>
      </c>
      <c r="K275" t="e">
        <f>VLOOKUP(J275,Sheet27!C:J,8,0)</f>
        <v>#N/A</v>
      </c>
      <c r="L275" s="87"/>
      <c r="M275" t="e">
        <f t="shared" si="13"/>
        <v>#N/A</v>
      </c>
    </row>
    <row r="276" spans="1:13" ht="15.75">
      <c r="A276" s="1360"/>
      <c r="B276" s="1360"/>
      <c r="C276" s="1001" t="s">
        <v>2640</v>
      </c>
      <c r="D276" s="1002">
        <v>1482480.47</v>
      </c>
      <c r="E276" s="1002"/>
      <c r="F276" s="133">
        <f t="shared" si="12"/>
        <v>1482480.47</v>
      </c>
      <c r="G276" s="133"/>
      <c r="I276" s="87">
        <v>0</v>
      </c>
      <c r="K276" t="e">
        <f>VLOOKUP(J276,Sheet27!C:J,8,0)</f>
        <v>#N/A</v>
      </c>
      <c r="L276" s="87"/>
      <c r="M276" t="e">
        <f t="shared" si="13"/>
        <v>#N/A</v>
      </c>
    </row>
    <row r="277" spans="1:13" ht="15.75">
      <c r="A277" s="1360"/>
      <c r="B277" s="1360"/>
      <c r="C277" s="1001" t="s">
        <v>2690</v>
      </c>
      <c r="D277" s="1002"/>
      <c r="E277" s="1002">
        <v>1359480.47</v>
      </c>
      <c r="F277" s="133">
        <f t="shared" si="12"/>
        <v>1359480.47</v>
      </c>
      <c r="G277" s="133"/>
      <c r="I277" s="87">
        <v>1814818.36</v>
      </c>
      <c r="J277" t="s">
        <v>1930</v>
      </c>
      <c r="K277">
        <f>VLOOKUP(J277,Sheet27!C:J,8,0)</f>
        <v>1848280.0000000019</v>
      </c>
      <c r="L277" s="87">
        <f t="shared" ref="L277:L282" si="14">I277/K277</f>
        <v>0.98189579500941326</v>
      </c>
      <c r="M277">
        <f t="shared" si="13"/>
        <v>-1.8104204990586774</v>
      </c>
    </row>
    <row r="278" spans="1:13" ht="15.75">
      <c r="A278" s="1360"/>
      <c r="B278" s="1360"/>
      <c r="C278" s="1001" t="s">
        <v>2691</v>
      </c>
      <c r="D278" s="1002"/>
      <c r="E278" s="1002">
        <v>1332187.5</v>
      </c>
      <c r="F278" s="133">
        <f t="shared" si="12"/>
        <v>1332187.5</v>
      </c>
      <c r="G278" s="133"/>
      <c r="I278" s="87">
        <v>1671480.47</v>
      </c>
      <c r="J278" t="s">
        <v>1923</v>
      </c>
      <c r="K278">
        <f>VLOOKUP(J278,Sheet27!C:J,8,0)</f>
        <v>173000</v>
      </c>
      <c r="L278" s="87">
        <f t="shared" si="14"/>
        <v>9.6617368208092476</v>
      </c>
      <c r="M278">
        <f t="shared" si="13"/>
        <v>866.17368208092478</v>
      </c>
    </row>
    <row r="279" spans="1:13" ht="15.75">
      <c r="A279" s="1360"/>
      <c r="B279" s="1360"/>
      <c r="C279" s="1001" t="s">
        <v>2692</v>
      </c>
      <c r="D279" s="1002"/>
      <c r="E279" s="1002">
        <v>931623.05</v>
      </c>
      <c r="F279" s="133">
        <f t="shared" si="12"/>
        <v>931623.05</v>
      </c>
      <c r="G279" s="133"/>
      <c r="I279" s="87">
        <v>1257298.83</v>
      </c>
      <c r="J279" t="s">
        <v>1928</v>
      </c>
      <c r="K279">
        <f>VLOOKUP(J279,Sheet27!C:J,8,0)</f>
        <v>1276770</v>
      </c>
      <c r="L279" s="87">
        <f t="shared" si="14"/>
        <v>0.98474966517070428</v>
      </c>
      <c r="M279">
        <f t="shared" si="13"/>
        <v>-1.5250334829295742</v>
      </c>
    </row>
    <row r="280" spans="1:13" ht="15.75">
      <c r="A280" s="1360"/>
      <c r="B280" s="1360"/>
      <c r="C280" s="1001" t="s">
        <v>2693</v>
      </c>
      <c r="D280" s="1002"/>
      <c r="E280" s="1002">
        <v>593438.48</v>
      </c>
      <c r="F280" s="133">
        <f t="shared" si="12"/>
        <v>593438.48</v>
      </c>
      <c r="G280" s="133"/>
      <c r="I280" s="87">
        <v>906800.78</v>
      </c>
      <c r="J280" t="s">
        <v>1919</v>
      </c>
      <c r="K280">
        <f>VLOOKUP(J280,Sheet27!C:J,8,0)</f>
        <v>923000</v>
      </c>
      <c r="L280" s="87">
        <f t="shared" si="14"/>
        <v>0.98244938244853741</v>
      </c>
      <c r="M280">
        <f t="shared" si="13"/>
        <v>-1.7550617551462593</v>
      </c>
    </row>
    <row r="281" spans="1:13" ht="15.75">
      <c r="A281" s="1360"/>
      <c r="B281" s="1360"/>
      <c r="C281" s="1001" t="s">
        <v>2694</v>
      </c>
      <c r="D281" s="1002"/>
      <c r="E281" s="1002">
        <v>1440779.3</v>
      </c>
      <c r="F281" s="133">
        <f t="shared" si="12"/>
        <v>1440779.3</v>
      </c>
      <c r="G281" s="133"/>
      <c r="I281" s="87">
        <v>1913460.94</v>
      </c>
      <c r="J281" t="s">
        <v>1921</v>
      </c>
      <c r="K281">
        <f>VLOOKUP(J281,Sheet27!C:J,8,0)</f>
        <v>1949000</v>
      </c>
      <c r="L281" s="87">
        <f t="shared" si="14"/>
        <v>0.98176548999486912</v>
      </c>
      <c r="M281">
        <f t="shared" si="13"/>
        <v>-1.8234510005130864</v>
      </c>
    </row>
    <row r="282" spans="1:13" ht="15.75">
      <c r="A282" s="1360"/>
      <c r="B282" s="1360"/>
      <c r="C282" s="1001" t="s">
        <v>2695</v>
      </c>
      <c r="D282" s="1002"/>
      <c r="E282" s="1002">
        <v>480902.34</v>
      </c>
      <c r="F282" s="133">
        <f t="shared" si="12"/>
        <v>480902.34</v>
      </c>
      <c r="G282" s="133"/>
      <c r="I282" s="87">
        <v>679620.12</v>
      </c>
      <c r="J282" t="s">
        <v>1926</v>
      </c>
      <c r="K282">
        <f>VLOOKUP(J282,Sheet27!C:J,8,0)</f>
        <v>698160.00000000081</v>
      </c>
      <c r="L282" s="87">
        <f t="shared" si="14"/>
        <v>0.97344465452045259</v>
      </c>
      <c r="M282">
        <f t="shared" si="13"/>
        <v>-2.6555345479547379</v>
      </c>
    </row>
    <row r="283" spans="1:13" ht="15.75">
      <c r="A283" s="1360"/>
      <c r="B283" s="1360"/>
      <c r="C283" s="1000" t="s">
        <v>91</v>
      </c>
      <c r="D283" s="1003">
        <v>7179848.1500000004</v>
      </c>
      <c r="E283" s="1003">
        <v>6138411.1299999999</v>
      </c>
      <c r="F283" s="133">
        <f t="shared" si="12"/>
        <v>13318259.280000001</v>
      </c>
      <c r="G283" s="133"/>
      <c r="I283" s="87">
        <v>1702138.92</v>
      </c>
      <c r="K283" t="e">
        <f>VLOOKUP(J283,Sheet27!C:J,8,0)</f>
        <v>#N/A</v>
      </c>
      <c r="L283" s="87"/>
      <c r="M283" t="e">
        <f t="shared" si="13"/>
        <v>#N/A</v>
      </c>
    </row>
    <row r="284" spans="1:13" ht="15.75">
      <c r="A284" s="1360"/>
      <c r="B284" s="995"/>
      <c r="C284" s="1000"/>
      <c r="D284" s="1002"/>
      <c r="E284" s="1003"/>
      <c r="F284" s="133">
        <f t="shared" si="12"/>
        <v>0</v>
      </c>
      <c r="G284" s="133"/>
      <c r="I284" s="87" t="e">
        <f>#N/A</f>
        <v>#N/A</v>
      </c>
      <c r="K284" t="e">
        <f>VLOOKUP(J284,Sheet27!C:J,8,0)</f>
        <v>#N/A</v>
      </c>
      <c r="L284" s="87"/>
      <c r="M284" t="e">
        <f t="shared" si="13"/>
        <v>#N/A</v>
      </c>
    </row>
    <row r="285" spans="1:13" ht="15.75" customHeight="1">
      <c r="A285" s="1360">
        <v>40</v>
      </c>
      <c r="B285" s="1360" t="s">
        <v>2696</v>
      </c>
      <c r="C285" s="1001" t="s">
        <v>2546</v>
      </c>
      <c r="D285" s="1002">
        <v>2411156.25</v>
      </c>
      <c r="E285" s="1002"/>
      <c r="F285" s="133">
        <f t="shared" si="12"/>
        <v>2411156.25</v>
      </c>
      <c r="G285" s="133">
        <v>0.65</v>
      </c>
      <c r="I285" s="87">
        <v>0</v>
      </c>
      <c r="K285" t="e">
        <f>VLOOKUP(J285,Sheet27!C:J,8,0)</f>
        <v>#N/A</v>
      </c>
      <c r="L285" s="87"/>
      <c r="M285" t="e">
        <f t="shared" si="13"/>
        <v>#N/A</v>
      </c>
    </row>
    <row r="286" spans="1:13" ht="15.75">
      <c r="A286" s="1360"/>
      <c r="B286" s="1360"/>
      <c r="C286" s="1001" t="s">
        <v>2697</v>
      </c>
      <c r="D286" s="1002"/>
      <c r="E286" s="1002">
        <v>1122421.8700000001</v>
      </c>
      <c r="F286" s="133">
        <f t="shared" si="12"/>
        <v>1122421.8700000001</v>
      </c>
      <c r="G286" s="133"/>
      <c r="I286" s="87">
        <v>1584240.23</v>
      </c>
      <c r="J286" t="s">
        <v>1983</v>
      </c>
      <c r="K286">
        <f>VLOOKUP(J286,Sheet27!C:J,8,0)</f>
        <v>1584240.23</v>
      </c>
      <c r="L286" s="87">
        <f>I286/K286</f>
        <v>1</v>
      </c>
      <c r="M286">
        <f t="shared" si="13"/>
        <v>0</v>
      </c>
    </row>
    <row r="287" spans="1:13" ht="15.75">
      <c r="A287" s="1360"/>
      <c r="B287" s="1360"/>
      <c r="C287" s="1001" t="s">
        <v>2698</v>
      </c>
      <c r="D287" s="1002"/>
      <c r="E287" s="1002">
        <v>684181.65</v>
      </c>
      <c r="F287" s="133">
        <f t="shared" si="12"/>
        <v>684181.65</v>
      </c>
      <c r="G287" s="133"/>
      <c r="I287" s="87">
        <v>767217.78</v>
      </c>
      <c r="J287" t="s">
        <v>1981</v>
      </c>
      <c r="K287">
        <f>VLOOKUP(J287,Sheet27!C:J,8,0)</f>
        <v>765300.00000000105</v>
      </c>
      <c r="L287" s="87">
        <f>I287/K287</f>
        <v>1.0025059192473527</v>
      </c>
      <c r="M287">
        <f t="shared" si="13"/>
        <v>0.25059192473526426</v>
      </c>
    </row>
    <row r="288" spans="1:13" ht="15.75">
      <c r="A288" s="1360"/>
      <c r="B288" s="1360"/>
      <c r="C288" s="1001" t="s">
        <v>2699</v>
      </c>
      <c r="D288" s="1002"/>
      <c r="E288" s="1002">
        <v>591480.47</v>
      </c>
      <c r="F288" s="133">
        <f t="shared" si="12"/>
        <v>591480.47</v>
      </c>
      <c r="G288" s="133"/>
      <c r="I288" s="87">
        <v>878698.24</v>
      </c>
      <c r="J288" t="s">
        <v>1979</v>
      </c>
      <c r="K288">
        <f>VLOOKUP(J288,Sheet27!C:J,8,0)</f>
        <v>877600.00000000582</v>
      </c>
      <c r="L288" s="87">
        <f>I288/K288</f>
        <v>1.0012514129443872</v>
      </c>
      <c r="M288">
        <f t="shared" si="13"/>
        <v>0.12514129443871497</v>
      </c>
    </row>
    <row r="289" spans="1:13" ht="15.75">
      <c r="A289" s="1360"/>
      <c r="B289" s="1360"/>
      <c r="C289" s="1000" t="s">
        <v>91</v>
      </c>
      <c r="D289" s="1003">
        <v>2411156.25</v>
      </c>
      <c r="E289" s="1003">
        <v>2398083.9900000002</v>
      </c>
      <c r="F289" s="133">
        <f t="shared" si="12"/>
        <v>4809240.24</v>
      </c>
      <c r="G289" s="133"/>
      <c r="I289" s="87">
        <v>1702138.92</v>
      </c>
      <c r="K289" t="e">
        <f>VLOOKUP(J289,Sheet27!C:J,8,0)</f>
        <v>#N/A</v>
      </c>
      <c r="L289" s="87"/>
      <c r="M289" t="e">
        <f t="shared" si="13"/>
        <v>#N/A</v>
      </c>
    </row>
    <row r="290" spans="1:13" ht="15.75">
      <c r="A290" s="1360"/>
      <c r="B290" s="995"/>
      <c r="C290" s="1000"/>
      <c r="D290" s="1002"/>
      <c r="E290" s="1003"/>
      <c r="F290" s="133">
        <f t="shared" si="12"/>
        <v>0</v>
      </c>
      <c r="G290" s="133"/>
      <c r="I290" s="87" t="e">
        <f>#N/A</f>
        <v>#N/A</v>
      </c>
      <c r="K290" t="e">
        <f>VLOOKUP(J290,Sheet27!C:J,8,0)</f>
        <v>#N/A</v>
      </c>
      <c r="L290" s="87"/>
      <c r="M290" t="e">
        <f t="shared" si="13"/>
        <v>#N/A</v>
      </c>
    </row>
    <row r="291" spans="1:13" ht="15.75" customHeight="1">
      <c r="A291" s="1360">
        <v>41</v>
      </c>
      <c r="B291" s="1360" t="s">
        <v>2700</v>
      </c>
      <c r="C291" s="1001" t="s">
        <v>2546</v>
      </c>
      <c r="D291" s="1002">
        <v>598429.68999999994</v>
      </c>
      <c r="E291" s="1002"/>
      <c r="F291" s="133">
        <f t="shared" si="12"/>
        <v>598429.68999999994</v>
      </c>
      <c r="G291" s="133">
        <v>6.87</v>
      </c>
      <c r="I291" s="87">
        <v>0</v>
      </c>
      <c r="K291" t="e">
        <f>VLOOKUP(J291,Sheet27!C:J,8,0)</f>
        <v>#N/A</v>
      </c>
      <c r="L291" s="87"/>
      <c r="M291" t="e">
        <f t="shared" si="13"/>
        <v>#N/A</v>
      </c>
    </row>
    <row r="292" spans="1:13" ht="15.75">
      <c r="A292" s="1360"/>
      <c r="B292" s="1360"/>
      <c r="C292" s="1001" t="s">
        <v>2547</v>
      </c>
      <c r="D292" s="1002">
        <v>1037640.01</v>
      </c>
      <c r="E292" s="1002"/>
      <c r="F292" s="133">
        <f t="shared" si="12"/>
        <v>1037640.01</v>
      </c>
      <c r="G292" s="133"/>
      <c r="I292" s="87">
        <v>0</v>
      </c>
      <c r="K292" t="e">
        <f>VLOOKUP(J292,Sheet27!C:J,8,0)</f>
        <v>#N/A</v>
      </c>
      <c r="L292" s="87"/>
      <c r="M292" t="e">
        <f t="shared" si="13"/>
        <v>#N/A</v>
      </c>
    </row>
    <row r="293" spans="1:13" ht="15.75">
      <c r="A293" s="1360"/>
      <c r="B293" s="1360"/>
      <c r="C293" s="1001" t="s">
        <v>2701</v>
      </c>
      <c r="D293" s="1002"/>
      <c r="E293" s="1002">
        <v>490623.05</v>
      </c>
      <c r="F293" s="133">
        <f t="shared" si="12"/>
        <v>490623.05</v>
      </c>
      <c r="G293" s="133"/>
      <c r="I293" s="87">
        <v>832878.36</v>
      </c>
      <c r="J293" t="s">
        <v>2018</v>
      </c>
      <c r="K293">
        <f>VLOOKUP(J293,Sheet27!C:J,8,0)</f>
        <v>1126400.0000000014</v>
      </c>
      <c r="L293" s="87">
        <f>I293/K293</f>
        <v>0.73941615767045366</v>
      </c>
      <c r="M293">
        <f t="shared" si="13"/>
        <v>-26.058384232954641</v>
      </c>
    </row>
    <row r="294" spans="1:13" ht="15.75">
      <c r="A294" s="1360"/>
      <c r="B294" s="1360"/>
      <c r="C294" s="1001" t="s">
        <v>2702</v>
      </c>
      <c r="D294" s="1002"/>
      <c r="E294" s="1002">
        <v>222360.01</v>
      </c>
      <c r="F294" s="133">
        <f t="shared" si="12"/>
        <v>222360.01</v>
      </c>
      <c r="G294" s="133"/>
      <c r="I294" s="87">
        <v>308999.81</v>
      </c>
      <c r="J294" t="s">
        <v>2022</v>
      </c>
      <c r="K294">
        <f>VLOOKUP(J294,Sheet27!C:J,8,0)</f>
        <v>308999.80999999994</v>
      </c>
      <c r="L294" s="87">
        <f>I294/K294</f>
        <v>1.0000000000000002</v>
      </c>
      <c r="M294">
        <f t="shared" si="13"/>
        <v>1.883744229922582E-14</v>
      </c>
    </row>
    <row r="295" spans="1:13" ht="15.75">
      <c r="A295" s="1360"/>
      <c r="B295" s="1360"/>
      <c r="C295" s="1001" t="s">
        <v>2703</v>
      </c>
      <c r="D295" s="1002"/>
      <c r="E295" s="1002">
        <v>749156.25</v>
      </c>
      <c r="F295" s="133">
        <f t="shared" si="12"/>
        <v>749156.25</v>
      </c>
      <c r="G295" s="133"/>
      <c r="I295" s="87">
        <v>996843.75</v>
      </c>
      <c r="J295" t="s">
        <v>2019</v>
      </c>
      <c r="K295">
        <f>VLOOKUP(J295,Sheet27!C:J,8,0)</f>
        <v>993600.00000000582</v>
      </c>
      <c r="L295" s="87">
        <f>I295/K295</f>
        <v>1.003264643719801</v>
      </c>
      <c r="M295">
        <f t="shared" si="13"/>
        <v>0.3264643719800886</v>
      </c>
    </row>
    <row r="296" spans="1:13" ht="15.75">
      <c r="A296" s="1360"/>
      <c r="B296" s="1360"/>
      <c r="C296" s="1001" t="s">
        <v>2704</v>
      </c>
      <c r="D296" s="1002"/>
      <c r="E296" s="1002">
        <v>59969.98</v>
      </c>
      <c r="F296" s="133">
        <f t="shared" si="12"/>
        <v>59969.98</v>
      </c>
      <c r="G296" s="133"/>
      <c r="I296" s="87">
        <v>67950.080000000002</v>
      </c>
      <c r="J296" t="s">
        <v>2021</v>
      </c>
      <c r="K296">
        <f>VLOOKUP(J296,Sheet27!C:J,8,0)</f>
        <v>68000</v>
      </c>
      <c r="L296" s="87">
        <f>I296/K296</f>
        <v>0.99926588235294123</v>
      </c>
      <c r="M296">
        <f t="shared" si="13"/>
        <v>-7.341176470587979E-2</v>
      </c>
    </row>
    <row r="297" spans="1:13" ht="15.75">
      <c r="A297" s="1360"/>
      <c r="B297" s="1360"/>
      <c r="C297" s="1000" t="s">
        <v>91</v>
      </c>
      <c r="D297" s="1003">
        <v>1636069.7</v>
      </c>
      <c r="E297" s="1003">
        <v>1522109.28</v>
      </c>
      <c r="F297" s="133">
        <f t="shared" si="12"/>
        <v>3158178.98</v>
      </c>
      <c r="G297" s="133"/>
      <c r="I297" s="87">
        <v>1702138.92</v>
      </c>
      <c r="K297" t="e">
        <f>VLOOKUP(J297,Sheet27!C:J,8,0)</f>
        <v>#N/A</v>
      </c>
      <c r="L297" s="87"/>
      <c r="M297" t="e">
        <f t="shared" si="13"/>
        <v>#N/A</v>
      </c>
    </row>
    <row r="298" spans="1:13" ht="15.75">
      <c r="A298" s="1360"/>
      <c r="B298" s="995"/>
      <c r="C298" s="1000"/>
      <c r="D298" s="1002"/>
      <c r="E298" s="1003"/>
      <c r="F298" s="133">
        <f t="shared" si="12"/>
        <v>0</v>
      </c>
      <c r="G298" s="133"/>
      <c r="I298" s="87" t="e">
        <f>#N/A</f>
        <v>#N/A</v>
      </c>
      <c r="K298" t="e">
        <f>VLOOKUP(J298,Sheet27!C:J,8,0)</f>
        <v>#N/A</v>
      </c>
      <c r="L298" s="87"/>
      <c r="M298" t="e">
        <f t="shared" si="13"/>
        <v>#N/A</v>
      </c>
    </row>
    <row r="299" spans="1:13" ht="15.75" customHeight="1">
      <c r="A299" s="1360">
        <v>42</v>
      </c>
      <c r="B299" s="1360" t="s">
        <v>216</v>
      </c>
      <c r="C299" s="1001" t="s">
        <v>2546</v>
      </c>
      <c r="D299" s="1002">
        <v>1348201.17</v>
      </c>
      <c r="E299" s="1002"/>
      <c r="F299" s="133">
        <f t="shared" si="12"/>
        <v>1348201.17</v>
      </c>
      <c r="G299" s="133">
        <v>4.32</v>
      </c>
      <c r="I299" s="87">
        <v>0</v>
      </c>
      <c r="K299" t="e">
        <f>VLOOKUP(J299,Sheet27!C:J,8,0)</f>
        <v>#N/A</v>
      </c>
      <c r="L299" s="87"/>
      <c r="M299" t="e">
        <f t="shared" si="13"/>
        <v>#N/A</v>
      </c>
    </row>
    <row r="300" spans="1:13" ht="15.75">
      <c r="A300" s="1360"/>
      <c r="B300" s="1360"/>
      <c r="C300" s="1001" t="s">
        <v>2705</v>
      </c>
      <c r="D300" s="1002"/>
      <c r="E300" s="1002">
        <v>486058.59</v>
      </c>
      <c r="F300" s="133">
        <f t="shared" si="12"/>
        <v>486058.59</v>
      </c>
      <c r="G300" s="133"/>
      <c r="I300" s="87">
        <v>634259.77</v>
      </c>
      <c r="J300" t="s">
        <v>1940</v>
      </c>
      <c r="K300">
        <f>VLOOKUP(J300,Sheet27!C:J,8,0)</f>
        <v>632399.99999999418</v>
      </c>
      <c r="L300" s="87">
        <f>I300/K300</f>
        <v>1.0029408127767327</v>
      </c>
      <c r="M300">
        <f t="shared" si="13"/>
        <v>0.29408127767328535</v>
      </c>
    </row>
    <row r="301" spans="1:13" ht="15.75">
      <c r="A301" s="1360"/>
      <c r="B301" s="1360"/>
      <c r="C301" s="1001" t="s">
        <v>2706</v>
      </c>
      <c r="D301" s="1002"/>
      <c r="E301" s="1002">
        <v>342509.76</v>
      </c>
      <c r="F301" s="133">
        <f t="shared" si="12"/>
        <v>342509.76</v>
      </c>
      <c r="G301" s="133"/>
      <c r="I301" s="87">
        <v>445379.88</v>
      </c>
      <c r="J301" t="s">
        <v>1936</v>
      </c>
      <c r="K301">
        <f>VLOOKUP(J301,Sheet27!C:J,8,0)</f>
        <v>446199.99999999709</v>
      </c>
      <c r="L301" s="87">
        <f>I301/K301</f>
        <v>0.99816199013895768</v>
      </c>
      <c r="M301">
        <f t="shared" si="13"/>
        <v>-0.18380098610423359</v>
      </c>
    </row>
    <row r="302" spans="1:13" ht="15.75">
      <c r="A302" s="1360"/>
      <c r="B302" s="1360"/>
      <c r="C302" s="1001" t="s">
        <v>2707</v>
      </c>
      <c r="D302" s="1002"/>
      <c r="E302" s="1002">
        <v>491909.18</v>
      </c>
      <c r="F302" s="133">
        <f t="shared" si="12"/>
        <v>491909.18</v>
      </c>
      <c r="G302" s="133"/>
      <c r="I302" s="87">
        <v>679470.7</v>
      </c>
      <c r="J302" t="s">
        <v>1938</v>
      </c>
      <c r="K302">
        <f>VLOOKUP(J302,Sheet27!C:J,8,0)</f>
        <v>676599.99999999127</v>
      </c>
      <c r="L302" s="87">
        <f>I302/K302</f>
        <v>1.0042428318061021</v>
      </c>
      <c r="M302">
        <f t="shared" si="13"/>
        <v>0.42428318061021608</v>
      </c>
    </row>
    <row r="303" spans="1:13" ht="15.75">
      <c r="A303" s="1360"/>
      <c r="B303" s="1360"/>
      <c r="C303" s="1000" t="s">
        <v>91</v>
      </c>
      <c r="D303" s="1003">
        <v>1348201.17</v>
      </c>
      <c r="E303" s="1003">
        <v>1320477.53</v>
      </c>
      <c r="F303" s="133">
        <f t="shared" si="12"/>
        <v>2668678.7000000002</v>
      </c>
      <c r="G303" s="133"/>
      <c r="I303" s="87">
        <v>1702138.92</v>
      </c>
      <c r="K303" t="e">
        <f>VLOOKUP(J303,Sheet27!C:J,8,0)</f>
        <v>#N/A</v>
      </c>
      <c r="L303" s="87"/>
      <c r="M303" t="e">
        <f t="shared" si="13"/>
        <v>#N/A</v>
      </c>
    </row>
    <row r="304" spans="1:13" ht="15.75">
      <c r="A304" s="1360"/>
      <c r="B304" s="995"/>
      <c r="C304" s="1000"/>
      <c r="D304" s="1002"/>
      <c r="E304" s="1003"/>
      <c r="F304" s="133">
        <f t="shared" si="12"/>
        <v>0</v>
      </c>
      <c r="G304" s="133"/>
      <c r="I304" s="87" t="e">
        <f>#N/A</f>
        <v>#N/A</v>
      </c>
      <c r="K304" t="e">
        <f>VLOOKUP(J304,Sheet27!C:J,8,0)</f>
        <v>#N/A</v>
      </c>
      <c r="L304" s="87"/>
      <c r="M304" t="e">
        <f t="shared" si="13"/>
        <v>#N/A</v>
      </c>
    </row>
    <row r="305" spans="1:13" ht="15.75" customHeight="1">
      <c r="A305" s="1360">
        <v>43</v>
      </c>
      <c r="B305" s="1360" t="s">
        <v>2331</v>
      </c>
      <c r="C305" s="1001" t="s">
        <v>2546</v>
      </c>
      <c r="D305" s="1002">
        <v>2316597.66</v>
      </c>
      <c r="E305" s="1002"/>
      <c r="F305" s="133">
        <f t="shared" si="12"/>
        <v>2316597.66</v>
      </c>
      <c r="G305" s="133">
        <v>-1.36</v>
      </c>
      <c r="I305" s="87">
        <v>0</v>
      </c>
      <c r="K305" t="e">
        <f>VLOOKUP(J305,Sheet27!C:J,8,0)</f>
        <v>#N/A</v>
      </c>
      <c r="L305" s="87"/>
      <c r="M305" t="e">
        <f t="shared" si="13"/>
        <v>#N/A</v>
      </c>
    </row>
    <row r="306" spans="1:13" ht="15.75">
      <c r="A306" s="1360"/>
      <c r="B306" s="1360"/>
      <c r="C306" s="1001" t="s">
        <v>2547</v>
      </c>
      <c r="D306" s="1002">
        <v>1470000</v>
      </c>
      <c r="E306" s="1002"/>
      <c r="F306" s="133">
        <f t="shared" si="12"/>
        <v>1470000</v>
      </c>
      <c r="G306" s="133"/>
      <c r="I306" s="87">
        <v>0</v>
      </c>
      <c r="K306" t="e">
        <f>VLOOKUP(J306,Sheet27!C:J,8,0)</f>
        <v>#N/A</v>
      </c>
      <c r="L306" s="87"/>
      <c r="M306" t="e">
        <f t="shared" si="13"/>
        <v>#N/A</v>
      </c>
    </row>
    <row r="307" spans="1:13" ht="15.75">
      <c r="A307" s="1360"/>
      <c r="B307" s="1360"/>
      <c r="C307" s="1001" t="s">
        <v>2708</v>
      </c>
      <c r="D307" s="1002"/>
      <c r="E307" s="1002">
        <v>641759.77</v>
      </c>
      <c r="F307" s="133">
        <f t="shared" si="12"/>
        <v>641759.77</v>
      </c>
      <c r="G307" s="133"/>
      <c r="I307" s="87">
        <v>801541.99</v>
      </c>
      <c r="J307" t="s">
        <v>2013</v>
      </c>
      <c r="K307">
        <f>VLOOKUP(J307,Sheet27!C:J,8,0)</f>
        <v>800040.00000000093</v>
      </c>
      <c r="L307" s="87">
        <f>I307/K307</f>
        <v>1.0018773936303174</v>
      </c>
      <c r="M307">
        <f t="shared" si="13"/>
        <v>0.18773936303173061</v>
      </c>
    </row>
    <row r="308" spans="1:13" ht="15.75">
      <c r="A308" s="1360"/>
      <c r="B308" s="1360"/>
      <c r="C308" s="1001" t="s">
        <v>2709</v>
      </c>
      <c r="D308" s="1002"/>
      <c r="E308" s="1002">
        <v>572121.09</v>
      </c>
      <c r="F308" s="133">
        <f t="shared" si="12"/>
        <v>572121.09</v>
      </c>
      <c r="G308" s="133"/>
      <c r="I308" s="87">
        <v>1151640.6200000001</v>
      </c>
      <c r="J308" t="s">
        <v>2011</v>
      </c>
      <c r="K308">
        <f>VLOOKUP(J308,Sheet27!C:J,8,0)</f>
        <v>1182600.0000000058</v>
      </c>
      <c r="L308" s="87">
        <f>I308/K308</f>
        <v>0.97382092000676002</v>
      </c>
      <c r="M308">
        <f t="shared" si="13"/>
        <v>-2.6179079993239944</v>
      </c>
    </row>
    <row r="309" spans="1:13" ht="15.75">
      <c r="A309" s="1360"/>
      <c r="B309" s="1360"/>
      <c r="C309" s="1001" t="s">
        <v>2710</v>
      </c>
      <c r="D309" s="1002"/>
      <c r="E309" s="1002">
        <v>756720.7</v>
      </c>
      <c r="F309" s="133">
        <f t="shared" si="12"/>
        <v>756720.7</v>
      </c>
      <c r="G309" s="133"/>
      <c r="I309" s="87">
        <v>920159.18</v>
      </c>
      <c r="J309" t="s">
        <v>2010</v>
      </c>
      <c r="K309">
        <f>VLOOKUP(J309,Sheet27!C:J,8,0)</f>
        <v>1119659.9999999981</v>
      </c>
      <c r="L309" s="87">
        <f>I309/K309</f>
        <v>0.82182017755390169</v>
      </c>
      <c r="M309">
        <f t="shared" si="13"/>
        <v>-17.81798224460983</v>
      </c>
    </row>
    <row r="310" spans="1:13" ht="15.75">
      <c r="A310" s="1360"/>
      <c r="B310" s="1360"/>
      <c r="C310" s="1001" t="s">
        <v>2711</v>
      </c>
      <c r="D310" s="1002"/>
      <c r="E310" s="1002">
        <v>636160.16</v>
      </c>
      <c r="F310" s="133">
        <f t="shared" si="12"/>
        <v>636160.16</v>
      </c>
      <c r="G310" s="133"/>
      <c r="I310" s="87">
        <v>952800.78</v>
      </c>
      <c r="J310" t="s">
        <v>2006</v>
      </c>
      <c r="K310">
        <f>VLOOKUP(J310,Sheet27!C:J,8,0)</f>
        <v>965000</v>
      </c>
      <c r="L310" s="87">
        <f>I310/K310</f>
        <v>0.9873583212435233</v>
      </c>
      <c r="M310">
        <f t="shared" si="13"/>
        <v>-1.2641678756476655</v>
      </c>
    </row>
    <row r="311" spans="1:13" ht="15.75">
      <c r="A311" s="1360"/>
      <c r="B311" s="1360"/>
      <c r="C311" s="1001" t="s">
        <v>2712</v>
      </c>
      <c r="D311" s="1002"/>
      <c r="E311" s="1002">
        <v>986402.34</v>
      </c>
      <c r="F311" s="133">
        <f t="shared" si="12"/>
        <v>986402.34</v>
      </c>
      <c r="G311" s="133"/>
      <c r="I311" s="87">
        <v>1348359.38</v>
      </c>
      <c r="J311" t="s">
        <v>2008</v>
      </c>
      <c r="K311">
        <f>VLOOKUP(J311,Sheet27!C:J,8,0)</f>
        <v>1348359.3799999971</v>
      </c>
      <c r="L311" s="87">
        <f>I311/K311</f>
        <v>1.000000000000002</v>
      </c>
      <c r="M311">
        <f t="shared" si="13"/>
        <v>2.0721239198457918E-13</v>
      </c>
    </row>
    <row r="312" spans="1:13" ht="15.75">
      <c r="A312" s="1360"/>
      <c r="B312" s="1360"/>
      <c r="C312" s="1000" t="s">
        <v>91</v>
      </c>
      <c r="D312" s="1003">
        <v>3786597.66</v>
      </c>
      <c r="E312" s="1003">
        <v>3593164.06</v>
      </c>
      <c r="F312" s="133">
        <f t="shared" si="12"/>
        <v>7379761.7200000007</v>
      </c>
      <c r="G312" s="133"/>
      <c r="I312" s="87">
        <v>1702138.92</v>
      </c>
      <c r="K312" t="e">
        <f>VLOOKUP(J312,Sheet27!C:J,8,0)</f>
        <v>#N/A</v>
      </c>
      <c r="L312" s="87"/>
      <c r="M312" t="e">
        <f t="shared" si="13"/>
        <v>#N/A</v>
      </c>
    </row>
    <row r="313" spans="1:13" ht="15.75">
      <c r="A313" s="1360"/>
      <c r="B313" s="995"/>
      <c r="C313" s="1000"/>
      <c r="D313" s="1002"/>
      <c r="E313" s="1003"/>
      <c r="F313" s="133">
        <f t="shared" si="12"/>
        <v>0</v>
      </c>
      <c r="G313" s="133"/>
      <c r="I313" s="87" t="e">
        <f>#N/A</f>
        <v>#N/A</v>
      </c>
      <c r="K313" t="e">
        <f>VLOOKUP(J313,Sheet27!C:J,8,0)</f>
        <v>#N/A</v>
      </c>
      <c r="L313" s="87"/>
      <c r="M313" t="e">
        <f t="shared" si="13"/>
        <v>#N/A</v>
      </c>
    </row>
    <row r="314" spans="1:13" ht="15.75" customHeight="1">
      <c r="A314" s="1360">
        <v>44</v>
      </c>
      <c r="B314" s="1360" t="s">
        <v>961</v>
      </c>
      <c r="C314" s="1001" t="s">
        <v>2546</v>
      </c>
      <c r="D314" s="1002">
        <v>960837.89</v>
      </c>
      <c r="E314" s="1002"/>
      <c r="F314" s="133">
        <f t="shared" si="12"/>
        <v>960837.89</v>
      </c>
      <c r="G314" s="133">
        <v>12.34</v>
      </c>
      <c r="I314" s="87">
        <v>0</v>
      </c>
      <c r="K314" t="e">
        <f>VLOOKUP(J314,Sheet27!C:J,8,0)</f>
        <v>#N/A</v>
      </c>
      <c r="L314" s="87"/>
      <c r="M314" t="e">
        <f t="shared" si="13"/>
        <v>#N/A</v>
      </c>
    </row>
    <row r="315" spans="1:13" ht="15.75">
      <c r="A315" s="1360"/>
      <c r="B315" s="1360"/>
      <c r="C315" s="1001" t="s">
        <v>2547</v>
      </c>
      <c r="D315" s="1002">
        <v>396000</v>
      </c>
      <c r="E315" s="1002"/>
      <c r="F315" s="133">
        <f t="shared" si="12"/>
        <v>396000</v>
      </c>
      <c r="G315" s="133"/>
      <c r="I315" s="87">
        <v>0</v>
      </c>
      <c r="K315" t="e">
        <f>VLOOKUP(J315,Sheet27!C:J,8,0)</f>
        <v>#N/A</v>
      </c>
      <c r="L315" s="87"/>
      <c r="M315" t="e">
        <f t="shared" si="13"/>
        <v>#N/A</v>
      </c>
    </row>
    <row r="316" spans="1:13" ht="15.75">
      <c r="A316" s="1360"/>
      <c r="B316" s="1360"/>
      <c r="C316" s="1001" t="s">
        <v>2604</v>
      </c>
      <c r="D316" s="1002">
        <v>1413000</v>
      </c>
      <c r="E316" s="1002"/>
      <c r="F316" s="133">
        <f t="shared" si="12"/>
        <v>1413000</v>
      </c>
      <c r="G316" s="133"/>
      <c r="I316" s="87">
        <v>0</v>
      </c>
      <c r="K316" t="e">
        <f>VLOOKUP(J316,Sheet27!C:J,8,0)</f>
        <v>#N/A</v>
      </c>
      <c r="L316" s="87"/>
      <c r="M316" t="e">
        <f t="shared" si="13"/>
        <v>#N/A</v>
      </c>
    </row>
    <row r="317" spans="1:13" ht="15.75">
      <c r="A317" s="1360"/>
      <c r="B317" s="1360"/>
      <c r="C317" s="1001" t="s">
        <v>2713</v>
      </c>
      <c r="D317" s="1002"/>
      <c r="E317" s="1002">
        <v>67379.89</v>
      </c>
      <c r="F317" s="133">
        <f t="shared" si="12"/>
        <v>67379.89</v>
      </c>
      <c r="G317" s="133"/>
      <c r="I317" s="87">
        <v>90120.12</v>
      </c>
      <c r="J317" t="s">
        <v>1968</v>
      </c>
      <c r="K317">
        <f>VLOOKUP(J317,Sheet27!C:J,8,0)</f>
        <v>90120.12</v>
      </c>
      <c r="L317" s="87">
        <f>I317/K317</f>
        <v>1</v>
      </c>
      <c r="M317">
        <f t="shared" si="13"/>
        <v>0</v>
      </c>
    </row>
    <row r="318" spans="1:13" ht="15.75">
      <c r="A318" s="1360"/>
      <c r="B318" s="1360"/>
      <c r="C318" s="1001" t="s">
        <v>2714</v>
      </c>
      <c r="D318" s="1002"/>
      <c r="E318" s="1002">
        <v>894181.64</v>
      </c>
      <c r="F318" s="133">
        <f t="shared" si="12"/>
        <v>894181.64</v>
      </c>
      <c r="G318" s="133"/>
      <c r="I318" s="87">
        <v>1223097.6599999999</v>
      </c>
      <c r="J318" t="s">
        <v>1970</v>
      </c>
      <c r="K318">
        <f>VLOOKUP(J318,Sheet27!C:J,8,0)</f>
        <v>1221570</v>
      </c>
      <c r="L318" s="87">
        <f>I318/K318</f>
        <v>1.0012505709865174</v>
      </c>
      <c r="M318">
        <f t="shared" si="13"/>
        <v>0.1250570986517282</v>
      </c>
    </row>
    <row r="319" spans="1:13" ht="15.75">
      <c r="A319" s="1360"/>
      <c r="B319" s="1360"/>
      <c r="C319" s="1001" t="s">
        <v>2715</v>
      </c>
      <c r="D319" s="1002"/>
      <c r="E319" s="1002">
        <v>993357.42</v>
      </c>
      <c r="F319" s="133">
        <f t="shared" si="12"/>
        <v>993357.42</v>
      </c>
      <c r="G319" s="133"/>
      <c r="I319" s="87">
        <v>1426022.46</v>
      </c>
      <c r="J319" t="s">
        <v>1972</v>
      </c>
      <c r="K319">
        <f>VLOOKUP(J319,Sheet27!C:J,8,0)</f>
        <v>1419799.9999999884</v>
      </c>
      <c r="L319" s="87">
        <f>I319/K319</f>
        <v>1.0043826313565374</v>
      </c>
      <c r="M319">
        <f t="shared" si="13"/>
        <v>0.43826313565372976</v>
      </c>
    </row>
    <row r="320" spans="1:13" ht="15.75">
      <c r="A320" s="1360"/>
      <c r="B320" s="1360"/>
      <c r="C320" s="1001" t="s">
        <v>2716</v>
      </c>
      <c r="D320" s="1002"/>
      <c r="E320" s="1002">
        <v>938765.63</v>
      </c>
      <c r="F320" s="133">
        <f t="shared" si="12"/>
        <v>938765.63</v>
      </c>
      <c r="G320" s="133"/>
      <c r="I320" s="87">
        <v>1284000</v>
      </c>
      <c r="J320" t="s">
        <v>1974</v>
      </c>
      <c r="K320">
        <f>VLOOKUP(J320,Sheet27!C:J,8,0)</f>
        <v>1282160</v>
      </c>
      <c r="L320" s="87">
        <f>I320/K320</f>
        <v>1.0014350783053596</v>
      </c>
      <c r="M320">
        <f t="shared" si="13"/>
        <v>0.14350783053597055</v>
      </c>
    </row>
    <row r="321" spans="1:13" ht="15.75">
      <c r="A321" s="1360"/>
      <c r="B321" s="1360"/>
      <c r="C321" s="1000" t="s">
        <v>91</v>
      </c>
      <c r="D321" s="1003">
        <v>2769837.89</v>
      </c>
      <c r="E321" s="1003">
        <v>2893684.58</v>
      </c>
      <c r="F321" s="133">
        <f t="shared" si="12"/>
        <v>5663522.4700000007</v>
      </c>
      <c r="G321" s="133"/>
      <c r="I321" s="87">
        <v>1702138.92</v>
      </c>
      <c r="K321" t="e">
        <f>VLOOKUP(J321,Sheet27!C:J,8,0)</f>
        <v>#N/A</v>
      </c>
      <c r="L321" s="87"/>
      <c r="M321" t="e">
        <f t="shared" si="13"/>
        <v>#N/A</v>
      </c>
    </row>
    <row r="322" spans="1:13" ht="15.75">
      <c r="A322" s="1360"/>
      <c r="B322" s="995"/>
      <c r="C322" s="1000"/>
      <c r="D322" s="1002"/>
      <c r="E322" s="1003"/>
      <c r="F322" s="133">
        <f t="shared" si="12"/>
        <v>0</v>
      </c>
      <c r="G322" s="133"/>
      <c r="I322" s="87" t="e">
        <f>#N/A</f>
        <v>#N/A</v>
      </c>
      <c r="K322" t="e">
        <f>VLOOKUP(J322,Sheet27!C:J,8,0)</f>
        <v>#N/A</v>
      </c>
      <c r="L322" s="87"/>
      <c r="M322" t="e">
        <f t="shared" si="13"/>
        <v>#N/A</v>
      </c>
    </row>
    <row r="323" spans="1:13" ht="15.75" customHeight="1">
      <c r="A323" s="1360">
        <v>45</v>
      </c>
      <c r="B323" s="1360" t="s">
        <v>220</v>
      </c>
      <c r="C323" s="1001" t="s">
        <v>2546</v>
      </c>
      <c r="D323" s="1002">
        <v>2462044.9300000002</v>
      </c>
      <c r="E323" s="1002"/>
      <c r="F323" s="133">
        <f t="shared" si="12"/>
        <v>2462044.9300000002</v>
      </c>
      <c r="G323" s="133">
        <v>13.58</v>
      </c>
      <c r="I323" s="87">
        <v>0</v>
      </c>
      <c r="K323" t="e">
        <f>VLOOKUP(J323,Sheet27!C:J,8,0)</f>
        <v>#N/A</v>
      </c>
      <c r="L323" s="87"/>
      <c r="M323" t="e">
        <f t="shared" si="13"/>
        <v>#N/A</v>
      </c>
    </row>
    <row r="324" spans="1:13" ht="15.75">
      <c r="A324" s="1360"/>
      <c r="B324" s="1360"/>
      <c r="C324" s="1001" t="s">
        <v>2547</v>
      </c>
      <c r="D324" s="1002">
        <v>1445217.41</v>
      </c>
      <c r="E324" s="1002"/>
      <c r="F324" s="133">
        <f t="shared" si="12"/>
        <v>1445217.41</v>
      </c>
      <c r="G324" s="133"/>
      <c r="I324" s="87">
        <v>0</v>
      </c>
      <c r="K324" t="e">
        <f>VLOOKUP(J324,Sheet27!C:J,8,0)</f>
        <v>#N/A</v>
      </c>
      <c r="L324" s="87"/>
      <c r="M324" t="e">
        <f t="shared" si="13"/>
        <v>#N/A</v>
      </c>
    </row>
    <row r="325" spans="1:13" ht="15.75">
      <c r="A325" s="1360"/>
      <c r="B325" s="1360"/>
      <c r="C325" s="1001" t="s">
        <v>2604</v>
      </c>
      <c r="D325" s="1002">
        <v>697957.04</v>
      </c>
      <c r="E325" s="1002"/>
      <c r="F325" s="133">
        <f t="shared" si="12"/>
        <v>697957.04</v>
      </c>
      <c r="G325" s="133"/>
      <c r="I325" s="87">
        <v>0</v>
      </c>
      <c r="K325" t="e">
        <f>VLOOKUP(J325,Sheet27!C:J,8,0)</f>
        <v>#N/A</v>
      </c>
      <c r="L325" s="87"/>
      <c r="M325" t="e">
        <f t="shared" si="13"/>
        <v>#N/A</v>
      </c>
    </row>
    <row r="326" spans="1:13" ht="15.75">
      <c r="A326" s="1360"/>
      <c r="B326" s="1360"/>
      <c r="C326" s="1001" t="s">
        <v>2639</v>
      </c>
      <c r="D326" s="1002">
        <v>958407.71</v>
      </c>
      <c r="E326" s="1002"/>
      <c r="F326" s="133">
        <f t="shared" si="12"/>
        <v>958407.71</v>
      </c>
      <c r="G326" s="133"/>
      <c r="I326" s="87">
        <v>0</v>
      </c>
      <c r="K326" t="e">
        <f>VLOOKUP(J326,Sheet27!C:J,8,0)</f>
        <v>#N/A</v>
      </c>
      <c r="L326" s="87"/>
      <c r="M326" t="e">
        <f t="shared" si="13"/>
        <v>#N/A</v>
      </c>
    </row>
    <row r="327" spans="1:13" ht="15.75">
      <c r="A327" s="1360"/>
      <c r="B327" s="1360"/>
      <c r="C327" s="1001" t="s">
        <v>2717</v>
      </c>
      <c r="D327" s="1002"/>
      <c r="E327" s="1002">
        <v>429239.9</v>
      </c>
      <c r="F327" s="133">
        <f t="shared" si="12"/>
        <v>429239.9</v>
      </c>
      <c r="G327" s="133"/>
      <c r="I327" s="87">
        <v>191400.39</v>
      </c>
      <c r="J327" t="s">
        <v>1952</v>
      </c>
      <c r="K327">
        <f>VLOOKUP(J327,Sheet27!C:J,8,0)</f>
        <v>190800.00000000291</v>
      </c>
      <c r="L327" s="87">
        <f t="shared" ref="L327:L336" si="15">I327/K327</f>
        <v>1.0031466981131922</v>
      </c>
      <c r="M327">
        <f t="shared" si="13"/>
        <v>0.31466981131923188</v>
      </c>
    </row>
    <row r="328" spans="1:13" ht="15.75">
      <c r="A328" s="1360"/>
      <c r="B328" s="1360"/>
      <c r="C328" s="1001" t="s">
        <v>2718</v>
      </c>
      <c r="D328" s="1002"/>
      <c r="E328" s="1002">
        <v>240123.04</v>
      </c>
      <c r="F328" s="133">
        <f t="shared" si="12"/>
        <v>240123.04</v>
      </c>
      <c r="G328" s="133"/>
      <c r="I328" s="87">
        <v>968455.08</v>
      </c>
      <c r="J328" t="s">
        <v>1946</v>
      </c>
      <c r="K328">
        <f>VLOOKUP(J328,Sheet27!C:J,8,0)</f>
        <v>962400.00000002328</v>
      </c>
      <c r="L328" s="87">
        <f t="shared" si="15"/>
        <v>1.0062916458852624</v>
      </c>
      <c r="M328">
        <f t="shared" si="13"/>
        <v>0.62916458852623947</v>
      </c>
    </row>
    <row r="329" spans="1:13" ht="15.75">
      <c r="A329" s="1360"/>
      <c r="B329" s="1360"/>
      <c r="C329" s="1001" t="s">
        <v>2719</v>
      </c>
      <c r="D329" s="1002"/>
      <c r="E329" s="1002">
        <v>553438.48</v>
      </c>
      <c r="F329" s="133">
        <f t="shared" ref="F329:F392" si="16">D329+E329</f>
        <v>553438.48</v>
      </c>
      <c r="G329" s="133"/>
      <c r="I329" s="87">
        <v>877560.05</v>
      </c>
      <c r="J329" t="s">
        <v>1951</v>
      </c>
      <c r="K329">
        <f>VLOOKUP(J329,Sheet27!C:J,8,0)</f>
        <v>877599.99999997672</v>
      </c>
      <c r="L329" s="87">
        <f t="shared" si="15"/>
        <v>0.99995447812217786</v>
      </c>
      <c r="M329">
        <f t="shared" si="13"/>
        <v>-4.5521877822095975E-3</v>
      </c>
    </row>
    <row r="330" spans="1:13" ht="15.75">
      <c r="A330" s="1360"/>
      <c r="B330" s="1360"/>
      <c r="C330" s="1001" t="s">
        <v>2720</v>
      </c>
      <c r="D330" s="1002"/>
      <c r="E330" s="1002">
        <v>401398.12</v>
      </c>
      <c r="F330" s="133">
        <f t="shared" si="16"/>
        <v>401398.12</v>
      </c>
      <c r="G330" s="133"/>
      <c r="I330" s="87">
        <v>579480.03</v>
      </c>
      <c r="J330" t="s">
        <v>1954</v>
      </c>
      <c r="K330">
        <f>VLOOKUP(J330,Sheet27!C:J,8,0)</f>
        <v>579480.0000000007</v>
      </c>
      <c r="L330" s="87">
        <f t="shared" si="15"/>
        <v>1.0000000517705518</v>
      </c>
      <c r="M330">
        <f t="shared" si="13"/>
        <v>5.1770551752342983E-6</v>
      </c>
    </row>
    <row r="331" spans="1:13" ht="15.75">
      <c r="A331" s="1360"/>
      <c r="B331" s="1360"/>
      <c r="C331" s="1001" t="s">
        <v>2721</v>
      </c>
      <c r="D331" s="1002"/>
      <c r="E331" s="1002">
        <v>711480.47</v>
      </c>
      <c r="F331" s="133">
        <f t="shared" si="16"/>
        <v>711480.47</v>
      </c>
      <c r="G331" s="133"/>
      <c r="I331" s="87">
        <v>1083720.7</v>
      </c>
      <c r="J331" t="s">
        <v>1949</v>
      </c>
      <c r="K331">
        <f>VLOOKUP(J331,Sheet27!C:J,8,0)</f>
        <v>1049800.0000000047</v>
      </c>
      <c r="L331" s="87">
        <f t="shared" si="15"/>
        <v>1.0323115831586922</v>
      </c>
      <c r="M331">
        <f t="shared" si="13"/>
        <v>3.2311583158692274</v>
      </c>
    </row>
    <row r="332" spans="1:13" ht="15.75">
      <c r="A332" s="1360"/>
      <c r="B332" s="1360"/>
      <c r="C332" s="1001" t="s">
        <v>2722</v>
      </c>
      <c r="D332" s="1002"/>
      <c r="E332" s="1002">
        <v>819723.63</v>
      </c>
      <c r="F332" s="133">
        <f t="shared" si="16"/>
        <v>819723.63</v>
      </c>
      <c r="G332" s="133"/>
      <c r="I332" s="87">
        <v>1136876.95</v>
      </c>
      <c r="J332" t="s">
        <v>1962</v>
      </c>
      <c r="K332">
        <f>VLOOKUP(J332,Sheet27!C:J,8,0)</f>
        <v>1169400.0000000233</v>
      </c>
      <c r="L332" s="87">
        <f t="shared" si="15"/>
        <v>0.97218825893618721</v>
      </c>
      <c r="M332">
        <f t="shared" si="13"/>
        <v>-2.7811741063812798</v>
      </c>
    </row>
    <row r="333" spans="1:13" ht="15.75">
      <c r="A333" s="1360"/>
      <c r="B333" s="1360"/>
      <c r="C333" s="1001" t="s">
        <v>2723</v>
      </c>
      <c r="D333" s="1002"/>
      <c r="E333" s="1002">
        <v>95579.94</v>
      </c>
      <c r="F333" s="133">
        <f t="shared" si="16"/>
        <v>95579.94</v>
      </c>
      <c r="G333" s="133"/>
      <c r="I333" s="87">
        <v>104840.33</v>
      </c>
      <c r="J333" t="s">
        <v>1960</v>
      </c>
      <c r="K333">
        <f>VLOOKUP(J333,Sheet27!C:J,8,0)</f>
        <v>150160.00000000009</v>
      </c>
      <c r="L333" s="87">
        <f t="shared" si="15"/>
        <v>0.69819079648375026</v>
      </c>
      <c r="M333">
        <f t="shared" si="13"/>
        <v>-30.180920351624973</v>
      </c>
    </row>
    <row r="334" spans="1:13" ht="15.75">
      <c r="A334" s="1360"/>
      <c r="B334" s="1360"/>
      <c r="C334" s="1001" t="s">
        <v>2724</v>
      </c>
      <c r="D334" s="1002"/>
      <c r="E334" s="1002">
        <v>720957.82</v>
      </c>
      <c r="F334" s="133">
        <f t="shared" si="16"/>
        <v>720957.82</v>
      </c>
      <c r="G334" s="133"/>
      <c r="I334" s="87">
        <v>1094820</v>
      </c>
      <c r="J334" t="s">
        <v>1958</v>
      </c>
      <c r="K334">
        <f>VLOOKUP(J334,Sheet27!C:J,8,0)</f>
        <v>983159.99999999802</v>
      </c>
      <c r="L334" s="87">
        <f t="shared" si="15"/>
        <v>1.1135725619431245</v>
      </c>
      <c r="M334">
        <f t="shared" si="13"/>
        <v>11.357256194312441</v>
      </c>
    </row>
    <row r="335" spans="1:13" ht="15.75">
      <c r="A335" s="1360"/>
      <c r="B335" s="1360"/>
      <c r="C335" s="1001" t="s">
        <v>2725</v>
      </c>
      <c r="D335" s="1002"/>
      <c r="E335" s="1002">
        <v>1288023.04</v>
      </c>
      <c r="F335" s="133">
        <f t="shared" si="16"/>
        <v>1288023.04</v>
      </c>
      <c r="G335" s="133"/>
      <c r="I335" s="87">
        <v>1771200.02</v>
      </c>
      <c r="J335" t="s">
        <v>2127</v>
      </c>
      <c r="K335" t="e">
        <f>VLOOKUP(J335,Sheet27!C:J,8,0)</f>
        <v>#N/A</v>
      </c>
      <c r="L335" s="87" t="e">
        <f t="shared" si="15"/>
        <v>#N/A</v>
      </c>
      <c r="M335" t="e">
        <f t="shared" si="13"/>
        <v>#N/A</v>
      </c>
    </row>
    <row r="336" spans="1:13" ht="15.75">
      <c r="A336" s="1360"/>
      <c r="B336" s="1360"/>
      <c r="C336" s="1001" t="s">
        <v>2726</v>
      </c>
      <c r="D336" s="1002"/>
      <c r="E336" s="1002">
        <v>1383720.15</v>
      </c>
      <c r="F336" s="133">
        <f t="shared" si="16"/>
        <v>1383720.15</v>
      </c>
      <c r="G336" s="133"/>
      <c r="I336" s="87">
        <v>2006639.65</v>
      </c>
      <c r="J336" t="s">
        <v>2727</v>
      </c>
      <c r="K336">
        <f>VLOOKUP(J336,Sheet27!C:J,8,0)</f>
        <v>2006639.65</v>
      </c>
      <c r="L336" s="87">
        <f t="shared" si="15"/>
        <v>1</v>
      </c>
      <c r="M336">
        <f t="shared" si="13"/>
        <v>0</v>
      </c>
    </row>
    <row r="337" spans="1:13" ht="15.75">
      <c r="A337" s="1360"/>
      <c r="B337" s="1360"/>
      <c r="C337" s="1000" t="s">
        <v>91</v>
      </c>
      <c r="D337" s="1003">
        <v>5563627.0899999999</v>
      </c>
      <c r="E337" s="1003">
        <v>5259964.4400000004</v>
      </c>
      <c r="F337" s="133">
        <f t="shared" si="16"/>
        <v>10823591.530000001</v>
      </c>
      <c r="G337" s="133"/>
      <c r="I337" s="87">
        <v>1702138.92</v>
      </c>
      <c r="K337" t="e">
        <f>VLOOKUP(J337,Sheet27!C:J,8,0)</f>
        <v>#N/A</v>
      </c>
      <c r="L337" s="87"/>
      <c r="M337" t="e">
        <f t="shared" si="13"/>
        <v>#N/A</v>
      </c>
    </row>
    <row r="338" spans="1:13" ht="15.75">
      <c r="A338" s="1360"/>
      <c r="B338" s="995"/>
      <c r="C338" s="1000"/>
      <c r="D338" s="1002"/>
      <c r="E338" s="1003"/>
      <c r="F338" s="133">
        <f t="shared" si="16"/>
        <v>0</v>
      </c>
      <c r="G338" s="133"/>
      <c r="I338" s="87" t="e">
        <f>#N/A</f>
        <v>#N/A</v>
      </c>
      <c r="K338" t="e">
        <f>VLOOKUP(J338,Sheet27!C:J,8,0)</f>
        <v>#N/A</v>
      </c>
      <c r="L338" s="87"/>
      <c r="M338" t="e">
        <f t="shared" ref="M338:M401" si="17">(I338-K338)/K338*100</f>
        <v>#N/A</v>
      </c>
    </row>
    <row r="339" spans="1:13" ht="15.75" customHeight="1">
      <c r="A339" s="1360">
        <v>46</v>
      </c>
      <c r="B339" s="1360" t="s">
        <v>222</v>
      </c>
      <c r="C339" s="1001" t="s">
        <v>2546</v>
      </c>
      <c r="D339" s="1002">
        <v>2841599.85</v>
      </c>
      <c r="E339" s="1002"/>
      <c r="F339" s="133">
        <f t="shared" si="16"/>
        <v>2841599.85</v>
      </c>
      <c r="G339" s="133">
        <v>-3.32</v>
      </c>
      <c r="I339" s="87">
        <v>0</v>
      </c>
      <c r="K339" t="e">
        <f>VLOOKUP(J339,Sheet27!C:J,8,0)</f>
        <v>#N/A</v>
      </c>
      <c r="L339" s="87"/>
      <c r="M339" t="e">
        <f t="shared" si="17"/>
        <v>#N/A</v>
      </c>
    </row>
    <row r="340" spans="1:13" ht="15.75">
      <c r="A340" s="1360"/>
      <c r="B340" s="1360"/>
      <c r="C340" s="1001" t="s">
        <v>2547</v>
      </c>
      <c r="D340" s="1002">
        <v>1366379.8</v>
      </c>
      <c r="E340" s="1002"/>
      <c r="F340" s="133">
        <f t="shared" si="16"/>
        <v>1366379.8</v>
      </c>
      <c r="G340" s="133"/>
      <c r="I340" s="87">
        <v>0</v>
      </c>
      <c r="K340" t="e">
        <f>VLOOKUP(J340,Sheet27!C:J,8,0)</f>
        <v>#N/A</v>
      </c>
      <c r="L340" s="87"/>
      <c r="M340" t="e">
        <f t="shared" si="17"/>
        <v>#N/A</v>
      </c>
    </row>
    <row r="341" spans="1:13" ht="15.75">
      <c r="A341" s="1360"/>
      <c r="B341" s="1360"/>
      <c r="C341" s="1001" t="s">
        <v>2728</v>
      </c>
      <c r="D341" s="1002"/>
      <c r="E341" s="1002">
        <v>613201.17000000004</v>
      </c>
      <c r="F341" s="133">
        <f t="shared" si="16"/>
        <v>613201.17000000004</v>
      </c>
      <c r="G341" s="133"/>
      <c r="I341" s="87">
        <v>622857.42000000004</v>
      </c>
      <c r="J341" t="s">
        <v>1996</v>
      </c>
      <c r="K341">
        <f>VLOOKUP(J341,Sheet27!C:J,8,0)</f>
        <v>687599.99999999127</v>
      </c>
      <c r="L341" s="87">
        <f t="shared" ref="L341:L346" si="18">I341/K341</f>
        <v>0.90584267015707964</v>
      </c>
      <c r="M341">
        <f t="shared" si="17"/>
        <v>-9.4157329842920365</v>
      </c>
    </row>
    <row r="342" spans="1:13" ht="15.75">
      <c r="A342" s="1360"/>
      <c r="B342" s="1360"/>
      <c r="C342" s="1001" t="s">
        <v>2729</v>
      </c>
      <c r="D342" s="1002"/>
      <c r="E342" s="1002">
        <v>615000</v>
      </c>
      <c r="F342" s="133">
        <f t="shared" si="16"/>
        <v>615000</v>
      </c>
      <c r="G342" s="133"/>
      <c r="I342" s="87">
        <v>796441.41</v>
      </c>
      <c r="J342" t="s">
        <v>2000</v>
      </c>
      <c r="K342">
        <f>VLOOKUP(J342,Sheet27!C:J,8,0)</f>
        <v>790840.00000000012</v>
      </c>
      <c r="L342" s="87">
        <f t="shared" si="18"/>
        <v>1.0070828612614435</v>
      </c>
      <c r="M342">
        <f t="shared" si="17"/>
        <v>0.70828612614434217</v>
      </c>
    </row>
    <row r="343" spans="1:13" ht="15.75">
      <c r="A343" s="1360"/>
      <c r="B343" s="1360"/>
      <c r="C343" s="1001" t="s">
        <v>2730</v>
      </c>
      <c r="D343" s="1002"/>
      <c r="E343" s="1002">
        <v>93959.95</v>
      </c>
      <c r="F343" s="133">
        <f t="shared" si="16"/>
        <v>93959.95</v>
      </c>
      <c r="G343" s="133"/>
      <c r="I343" s="87">
        <v>98439.93</v>
      </c>
      <c r="J343" t="s">
        <v>1998</v>
      </c>
      <c r="K343">
        <f>VLOOKUP(J343,Sheet27!C:J,8,0)</f>
        <v>98439.93</v>
      </c>
      <c r="L343" s="87">
        <f t="shared" si="18"/>
        <v>1</v>
      </c>
      <c r="M343">
        <f t="shared" si="17"/>
        <v>0</v>
      </c>
    </row>
    <row r="344" spans="1:13" ht="15.75">
      <c r="A344" s="1360"/>
      <c r="B344" s="1360"/>
      <c r="C344" s="1001" t="s">
        <v>2731</v>
      </c>
      <c r="D344" s="1002"/>
      <c r="E344" s="1002">
        <v>1607078.13</v>
      </c>
      <c r="F344" s="133">
        <f t="shared" si="16"/>
        <v>1607078.13</v>
      </c>
      <c r="G344" s="133"/>
      <c r="I344" s="87">
        <v>1271562.5</v>
      </c>
      <c r="J344" t="s">
        <v>1990</v>
      </c>
      <c r="K344">
        <f>VLOOKUP(J344,Sheet27!C:J,8,0)</f>
        <v>950800</v>
      </c>
      <c r="L344" s="87">
        <f t="shared" si="18"/>
        <v>1.3373606436684897</v>
      </c>
      <c r="M344">
        <f t="shared" si="17"/>
        <v>33.736064366848964</v>
      </c>
    </row>
    <row r="345" spans="1:13" ht="15.75">
      <c r="A345" s="1360"/>
      <c r="B345" s="1360"/>
      <c r="C345" s="1001" t="s">
        <v>2732</v>
      </c>
      <c r="D345" s="1002"/>
      <c r="E345" s="1002">
        <v>409379.89</v>
      </c>
      <c r="F345" s="133">
        <f t="shared" si="16"/>
        <v>409379.89</v>
      </c>
      <c r="G345" s="133"/>
      <c r="I345" s="87">
        <v>328022.46000000002</v>
      </c>
      <c r="J345" t="s">
        <v>1992</v>
      </c>
      <c r="K345">
        <f>VLOOKUP(J345,Sheet27!C:J,8,0)</f>
        <v>601600.00000000582</v>
      </c>
      <c r="L345" s="87">
        <f t="shared" si="18"/>
        <v>0.54525009973403726</v>
      </c>
      <c r="M345">
        <f t="shared" si="17"/>
        <v>-45.474990026596267</v>
      </c>
    </row>
    <row r="346" spans="1:13" ht="15.75">
      <c r="A346" s="1360"/>
      <c r="B346" s="1360"/>
      <c r="C346" s="1001" t="s">
        <v>2733</v>
      </c>
      <c r="D346" s="1002"/>
      <c r="E346" s="1002">
        <v>899000</v>
      </c>
      <c r="F346" s="133">
        <f t="shared" si="16"/>
        <v>899000</v>
      </c>
      <c r="G346" s="133"/>
      <c r="I346" s="87">
        <v>1121601.56</v>
      </c>
      <c r="J346" t="s">
        <v>1994</v>
      </c>
      <c r="K346">
        <f>VLOOKUP(J346,Sheet27!C:J,8,0)</f>
        <v>1121601.5600000005</v>
      </c>
      <c r="L346" s="87">
        <f t="shared" si="18"/>
        <v>0.99999999999999956</v>
      </c>
      <c r="M346">
        <f t="shared" si="17"/>
        <v>-4.1517532064393616E-14</v>
      </c>
    </row>
    <row r="347" spans="1:13" ht="15.75">
      <c r="A347" s="1360"/>
      <c r="B347" s="1360"/>
      <c r="C347" s="1000" t="s">
        <v>91</v>
      </c>
      <c r="D347" s="1003">
        <v>4207979.6500000004</v>
      </c>
      <c r="E347" s="1003">
        <v>4237619.13</v>
      </c>
      <c r="F347" s="133">
        <f t="shared" si="16"/>
        <v>8445598.7800000012</v>
      </c>
      <c r="G347" s="133"/>
      <c r="I347" s="87">
        <v>1702138.92</v>
      </c>
      <c r="K347" t="e">
        <f>VLOOKUP(J347,Sheet27!C:J,8,0)</f>
        <v>#N/A</v>
      </c>
      <c r="L347" s="87"/>
      <c r="M347" t="e">
        <f t="shared" si="17"/>
        <v>#N/A</v>
      </c>
    </row>
    <row r="348" spans="1:13" ht="15.75">
      <c r="A348" s="1360"/>
      <c r="B348" s="995"/>
      <c r="C348" s="1000"/>
      <c r="D348" s="1002"/>
      <c r="E348" s="1003"/>
      <c r="F348" s="133">
        <f t="shared" si="16"/>
        <v>0</v>
      </c>
      <c r="G348" s="133"/>
      <c r="I348" s="87" t="e">
        <f>#N/A</f>
        <v>#N/A</v>
      </c>
      <c r="K348" t="e">
        <f>VLOOKUP(J348,Sheet27!C:J,8,0)</f>
        <v>#N/A</v>
      </c>
      <c r="L348" s="87"/>
      <c r="M348" t="e">
        <f t="shared" si="17"/>
        <v>#N/A</v>
      </c>
    </row>
    <row r="349" spans="1:13" ht="15.75" customHeight="1">
      <c r="A349" s="1360">
        <v>47</v>
      </c>
      <c r="B349" s="1360" t="s">
        <v>2734</v>
      </c>
      <c r="C349" s="1001" t="s">
        <v>2546</v>
      </c>
      <c r="D349" s="1002">
        <v>690846.68</v>
      </c>
      <c r="E349" s="1002"/>
      <c r="F349" s="133">
        <f t="shared" si="16"/>
        <v>690846.68</v>
      </c>
      <c r="G349" s="133">
        <v>-1.79</v>
      </c>
      <c r="I349" s="87">
        <v>0</v>
      </c>
      <c r="K349" t="e">
        <f>VLOOKUP(J349,Sheet27!C:J,8,0)</f>
        <v>#N/A</v>
      </c>
      <c r="L349" s="87"/>
      <c r="M349" t="e">
        <f t="shared" si="17"/>
        <v>#N/A</v>
      </c>
    </row>
    <row r="350" spans="1:13" ht="15.75">
      <c r="A350" s="1360"/>
      <c r="B350" s="1360"/>
      <c r="C350" s="1001" t="s">
        <v>2547</v>
      </c>
      <c r="D350" s="1002">
        <v>970564.46</v>
      </c>
      <c r="E350" s="1002"/>
      <c r="F350" s="133">
        <f t="shared" si="16"/>
        <v>970564.46</v>
      </c>
      <c r="G350" s="133"/>
      <c r="I350" s="87">
        <v>0</v>
      </c>
      <c r="K350" t="e">
        <f>VLOOKUP(J350,Sheet27!C:J,8,0)</f>
        <v>#N/A</v>
      </c>
      <c r="L350" s="87"/>
      <c r="M350" t="e">
        <f t="shared" si="17"/>
        <v>#N/A</v>
      </c>
    </row>
    <row r="351" spans="1:13" ht="15.75">
      <c r="A351" s="1360"/>
      <c r="B351" s="1360"/>
      <c r="C351" s="1001" t="s">
        <v>2604</v>
      </c>
      <c r="D351" s="1002">
        <v>1349041.99</v>
      </c>
      <c r="E351" s="1002"/>
      <c r="F351" s="133">
        <f t="shared" si="16"/>
        <v>1349041.99</v>
      </c>
      <c r="G351" s="133"/>
      <c r="I351" s="87">
        <v>0</v>
      </c>
      <c r="K351" t="e">
        <f>VLOOKUP(J351,Sheet27!C:J,8,0)</f>
        <v>#N/A</v>
      </c>
      <c r="L351" s="87"/>
      <c r="M351" t="e">
        <f t="shared" si="17"/>
        <v>#N/A</v>
      </c>
    </row>
    <row r="352" spans="1:13" ht="15.75">
      <c r="A352" s="1360"/>
      <c r="B352" s="1360"/>
      <c r="C352" s="1001" t="s">
        <v>2639</v>
      </c>
      <c r="D352" s="1002">
        <v>1351441.41</v>
      </c>
      <c r="E352" s="1002"/>
      <c r="F352" s="133">
        <f t="shared" si="16"/>
        <v>1351441.41</v>
      </c>
      <c r="G352" s="133"/>
      <c r="I352" s="87">
        <v>0</v>
      </c>
      <c r="K352" t="e">
        <f>VLOOKUP(J352,Sheet27!C:J,8,0)</f>
        <v>#N/A</v>
      </c>
      <c r="L352" s="87"/>
      <c r="M352" t="e">
        <f t="shared" si="17"/>
        <v>#N/A</v>
      </c>
    </row>
    <row r="353" spans="1:14" ht="15.75">
      <c r="A353" s="1360"/>
      <c r="B353" s="1360"/>
      <c r="C353" s="1001" t="s">
        <v>2735</v>
      </c>
      <c r="D353" s="1002"/>
      <c r="E353" s="1002">
        <v>1183376.95</v>
      </c>
      <c r="F353" s="133">
        <f t="shared" si="16"/>
        <v>1183376.95</v>
      </c>
      <c r="G353" s="133"/>
      <c r="I353" s="87">
        <v>1727039.06</v>
      </c>
      <c r="J353" t="s">
        <v>1905</v>
      </c>
      <c r="K353">
        <f>VLOOKUP(J353,Sheet27!C:J,8,0)</f>
        <v>1723470</v>
      </c>
      <c r="L353" s="87">
        <f>I353/K353</f>
        <v>1.0020708570500212</v>
      </c>
      <c r="M353">
        <f t="shared" si="17"/>
        <v>0.20708570500212103</v>
      </c>
    </row>
    <row r="354" spans="1:14" ht="15.75">
      <c r="A354" s="1360"/>
      <c r="B354" s="1360"/>
      <c r="C354" s="1001" t="s">
        <v>2736</v>
      </c>
      <c r="D354" s="1002"/>
      <c r="E354" s="1002">
        <v>835019.53</v>
      </c>
      <c r="F354" s="133">
        <f t="shared" si="16"/>
        <v>835019.53</v>
      </c>
      <c r="G354" s="133"/>
      <c r="I354" s="87">
        <v>1206298.83</v>
      </c>
      <c r="J354" t="s">
        <v>1904</v>
      </c>
      <c r="K354">
        <f>VLOOKUP(J354,Sheet27!C:J,8,0)</f>
        <v>1197240.0000000051</v>
      </c>
      <c r="L354" s="87">
        <f>I354/K354</f>
        <v>1.0075664277838987</v>
      </c>
      <c r="M354">
        <f t="shared" si="17"/>
        <v>0.75664277838987282</v>
      </c>
    </row>
    <row r="355" spans="1:14" ht="15.75">
      <c r="A355" s="1360"/>
      <c r="B355" s="1360"/>
      <c r="C355" s="1001" t="s">
        <v>2737</v>
      </c>
      <c r="D355" s="1002"/>
      <c r="E355" s="1002">
        <v>130840.82</v>
      </c>
      <c r="F355" s="133">
        <f t="shared" si="16"/>
        <v>130840.82</v>
      </c>
      <c r="G355" s="133"/>
      <c r="I355" s="87">
        <v>163040.04</v>
      </c>
      <c r="J355" t="s">
        <v>1909</v>
      </c>
      <c r="K355">
        <f>VLOOKUP(J355,Sheet27!C:J,8,0)</f>
        <v>163260.00000000023</v>
      </c>
      <c r="L355" s="87">
        <f>I355/K355</f>
        <v>0.99865270121278804</v>
      </c>
      <c r="M355">
        <f t="shared" si="17"/>
        <v>-0.13472987872119585</v>
      </c>
    </row>
    <row r="356" spans="1:14" ht="15.75">
      <c r="A356" s="1360"/>
      <c r="B356" s="1360"/>
      <c r="C356" s="1001" t="s">
        <v>2738</v>
      </c>
      <c r="D356" s="1002"/>
      <c r="E356" s="1002">
        <v>759240.23</v>
      </c>
      <c r="F356" s="133">
        <f t="shared" si="16"/>
        <v>759240.23</v>
      </c>
      <c r="G356" s="133"/>
      <c r="I356" s="87">
        <v>1025399.41</v>
      </c>
      <c r="J356" t="s">
        <v>1910</v>
      </c>
      <c r="K356">
        <f>VLOOKUP(J356,Sheet27!C:J,8,0)</f>
        <v>1025790</v>
      </c>
      <c r="L356" s="87">
        <f>I356/K356</f>
        <v>0.99961923005683428</v>
      </c>
      <c r="M356">
        <f t="shared" si="17"/>
        <v>-3.8076994316572341E-2</v>
      </c>
      <c r="N356" s="87"/>
    </row>
    <row r="357" spans="1:14" ht="15.75">
      <c r="A357" s="1360"/>
      <c r="B357" s="1360"/>
      <c r="C357" s="1001" t="s">
        <v>2739</v>
      </c>
      <c r="D357" s="1002"/>
      <c r="E357" s="1002">
        <v>0</v>
      </c>
      <c r="F357" s="133">
        <f t="shared" si="16"/>
        <v>0</v>
      </c>
      <c r="G357" s="133"/>
      <c r="I357" s="87">
        <v>0</v>
      </c>
      <c r="K357" t="e">
        <f>VLOOKUP(J357,Sheet27!C:J,8,0)</f>
        <v>#N/A</v>
      </c>
      <c r="L357" s="87"/>
      <c r="M357" t="e">
        <f t="shared" si="17"/>
        <v>#N/A</v>
      </c>
    </row>
    <row r="358" spans="1:14" ht="15.75">
      <c r="A358" s="1360"/>
      <c r="B358" s="1360"/>
      <c r="C358" s="1001" t="s">
        <v>2740</v>
      </c>
      <c r="D358" s="1002"/>
      <c r="E358" s="1002">
        <v>881437.5</v>
      </c>
      <c r="F358" s="133">
        <f t="shared" si="16"/>
        <v>881437.5</v>
      </c>
      <c r="G358" s="133"/>
      <c r="I358" s="87">
        <v>1250281.25</v>
      </c>
      <c r="J358" t="s">
        <v>1444</v>
      </c>
      <c r="K358">
        <f>VLOOKUP(J358,Sheet27!C:J,8,0)</f>
        <v>1243799.9999999884</v>
      </c>
      <c r="L358" s="87">
        <f>I358/K358</f>
        <v>1.0052108457951534</v>
      </c>
      <c r="M358">
        <f t="shared" si="17"/>
        <v>0.52108457951533216</v>
      </c>
    </row>
    <row r="359" spans="1:14" ht="15.75">
      <c r="A359" s="1360"/>
      <c r="B359" s="1360"/>
      <c r="C359" s="1001" t="s">
        <v>2741</v>
      </c>
      <c r="D359" s="1002"/>
      <c r="E359" s="1002">
        <v>458480.47</v>
      </c>
      <c r="F359" s="133">
        <f t="shared" si="16"/>
        <v>458480.47</v>
      </c>
      <c r="G359" s="133"/>
      <c r="I359" s="87">
        <v>654000</v>
      </c>
      <c r="J359" t="s">
        <v>1442</v>
      </c>
      <c r="K359">
        <f>VLOOKUP(J359,Sheet27!C:J,8,0)</f>
        <v>668600.00000000582</v>
      </c>
      <c r="L359" s="87">
        <f>I359/K359</f>
        <v>0.97816332635356606</v>
      </c>
      <c r="M359">
        <f t="shared" si="17"/>
        <v>-2.1836673646433882</v>
      </c>
    </row>
    <row r="360" spans="1:14" ht="15.75">
      <c r="A360" s="1360"/>
      <c r="B360" s="1360"/>
      <c r="C360" s="1001" t="s">
        <v>2742</v>
      </c>
      <c r="D360" s="1002"/>
      <c r="E360" s="1002">
        <v>336900.89</v>
      </c>
      <c r="F360" s="133">
        <f t="shared" si="16"/>
        <v>336900.89</v>
      </c>
      <c r="G360" s="133"/>
      <c r="I360" s="87">
        <v>466379.88</v>
      </c>
      <c r="J360" t="s">
        <v>1907</v>
      </c>
      <c r="K360">
        <f>VLOOKUP(J360,Sheet27!C:J,8,0)</f>
        <v>471000</v>
      </c>
      <c r="L360" s="87">
        <f>I360/K360</f>
        <v>0.99019082802547775</v>
      </c>
      <c r="M360">
        <f t="shared" si="17"/>
        <v>-0.98091719745222827</v>
      </c>
    </row>
    <row r="361" spans="1:14" ht="15.75">
      <c r="A361" s="1360"/>
      <c r="B361" s="1360"/>
      <c r="C361" s="1000" t="s">
        <v>91</v>
      </c>
      <c r="D361" s="1003">
        <v>4361894.54</v>
      </c>
      <c r="E361" s="1003">
        <v>4585296.3899999997</v>
      </c>
      <c r="F361" s="133">
        <f t="shared" si="16"/>
        <v>8947190.9299999997</v>
      </c>
      <c r="G361" s="133"/>
      <c r="I361" s="87">
        <v>1702138.92</v>
      </c>
      <c r="K361" t="e">
        <f>VLOOKUP(J361,Sheet27!C:J,8,0)</f>
        <v>#N/A</v>
      </c>
      <c r="L361" s="87"/>
      <c r="M361" t="e">
        <f t="shared" si="17"/>
        <v>#N/A</v>
      </c>
    </row>
    <row r="362" spans="1:14" ht="15.75">
      <c r="A362" s="1360"/>
      <c r="B362" s="995"/>
      <c r="C362" s="1000"/>
      <c r="D362" s="1003"/>
      <c r="E362" s="1003"/>
      <c r="F362" s="133">
        <f t="shared" si="16"/>
        <v>0</v>
      </c>
      <c r="G362" s="133"/>
      <c r="I362" s="87" t="e">
        <f>#N/A</f>
        <v>#N/A</v>
      </c>
      <c r="K362" t="e">
        <f>VLOOKUP(J362,Sheet27!C:J,8,0)</f>
        <v>#N/A</v>
      </c>
      <c r="L362" s="87"/>
      <c r="M362" t="e">
        <f t="shared" si="17"/>
        <v>#N/A</v>
      </c>
    </row>
    <row r="363" spans="1:14" ht="15.75" customHeight="1">
      <c r="A363" s="1360">
        <v>48</v>
      </c>
      <c r="B363" s="1360" t="s">
        <v>2743</v>
      </c>
      <c r="C363" s="1001" t="s">
        <v>2546</v>
      </c>
      <c r="D363" s="1002">
        <v>33660.050000000003</v>
      </c>
      <c r="E363" s="1002"/>
      <c r="F363" s="133">
        <f t="shared" si="16"/>
        <v>33660.050000000003</v>
      </c>
      <c r="G363" s="133">
        <v>-103.67</v>
      </c>
      <c r="I363" s="87">
        <v>0</v>
      </c>
      <c r="K363" t="e">
        <f>VLOOKUP(J363,Sheet27!C:J,8,0)</f>
        <v>#N/A</v>
      </c>
      <c r="L363" s="87"/>
      <c r="M363" t="e">
        <f t="shared" si="17"/>
        <v>#N/A</v>
      </c>
    </row>
    <row r="364" spans="1:14" ht="15.75">
      <c r="A364" s="1360"/>
      <c r="B364" s="1360"/>
      <c r="C364" s="1001" t="s">
        <v>2744</v>
      </c>
      <c r="D364" s="1002"/>
      <c r="E364" s="1002">
        <v>40499.99</v>
      </c>
      <c r="F364" s="133">
        <f t="shared" si="16"/>
        <v>40499.99</v>
      </c>
      <c r="G364" s="133"/>
      <c r="I364" s="87">
        <v>44159.99</v>
      </c>
      <c r="K364" t="e">
        <f>VLOOKUP(J364,Sheet27!C:J,8,0)</f>
        <v>#N/A</v>
      </c>
      <c r="L364" s="87"/>
      <c r="M364" t="e">
        <f t="shared" si="17"/>
        <v>#N/A</v>
      </c>
    </row>
    <row r="365" spans="1:14" ht="15.75">
      <c r="A365" s="1360"/>
      <c r="B365" s="1360"/>
      <c r="C365" s="1001" t="s">
        <v>2587</v>
      </c>
      <c r="D365" s="1002"/>
      <c r="E365" s="1002">
        <v>11440.01</v>
      </c>
      <c r="F365" s="133">
        <f t="shared" si="16"/>
        <v>11440.01</v>
      </c>
      <c r="G365" s="133"/>
      <c r="I365" s="87">
        <v>293380.01</v>
      </c>
      <c r="J365" t="s">
        <v>2042</v>
      </c>
      <c r="K365">
        <f>VLOOKUP(J365,Sheet27!C:J,8,0)</f>
        <v>13179.999999999996</v>
      </c>
      <c r="L365" s="87">
        <f>I365/K365</f>
        <v>22.259484825493178</v>
      </c>
      <c r="M365">
        <f t="shared" si="17"/>
        <v>2125.9484825493178</v>
      </c>
    </row>
    <row r="366" spans="1:14" ht="15.75">
      <c r="A366" s="1360"/>
      <c r="B366" s="1360"/>
      <c r="C366" s="1001" t="s">
        <v>2588</v>
      </c>
      <c r="D366" s="1002"/>
      <c r="E366" s="1002">
        <v>9240.01</v>
      </c>
      <c r="F366" s="133">
        <f t="shared" si="16"/>
        <v>9240.01</v>
      </c>
      <c r="G366" s="133"/>
      <c r="I366" s="87">
        <v>296739.99</v>
      </c>
      <c r="J366" t="s">
        <v>2043</v>
      </c>
      <c r="K366">
        <f>VLOOKUP(J366,Sheet27!C:J,8,0)</f>
        <v>8420</v>
      </c>
      <c r="L366" s="87">
        <f>I366/K366</f>
        <v>35.242279097387176</v>
      </c>
      <c r="M366">
        <f t="shared" si="17"/>
        <v>3424.2279097387177</v>
      </c>
    </row>
    <row r="367" spans="1:14" ht="15.75">
      <c r="A367" s="1360"/>
      <c r="B367" s="1360"/>
      <c r="C367" s="1001" t="s">
        <v>2668</v>
      </c>
      <c r="D367" s="1002"/>
      <c r="E367" s="1002">
        <v>9399.98</v>
      </c>
      <c r="F367" s="133">
        <f t="shared" si="16"/>
        <v>9399.98</v>
      </c>
      <c r="G367" s="133"/>
      <c r="I367" s="87">
        <v>828600.1</v>
      </c>
      <c r="J367" t="s">
        <v>2046</v>
      </c>
      <c r="K367">
        <f>VLOOKUP(J367,Sheet27!C:J,8,0)</f>
        <v>12449.999999982538</v>
      </c>
      <c r="L367" s="87">
        <f>I367/K367</f>
        <v>66.554224899691746</v>
      </c>
      <c r="M367">
        <f t="shared" si="17"/>
        <v>6555.4224899691744</v>
      </c>
    </row>
    <row r="368" spans="1:14" ht="15.75">
      <c r="A368" s="1360"/>
      <c r="B368" s="1360"/>
      <c r="C368" s="1000" t="s">
        <v>91</v>
      </c>
      <c r="D368" s="1003">
        <v>33660.050000000003</v>
      </c>
      <c r="E368" s="1003">
        <v>70579.990000000005</v>
      </c>
      <c r="F368" s="133">
        <f t="shared" si="16"/>
        <v>104240.04000000001</v>
      </c>
      <c r="G368" s="133"/>
      <c r="I368" s="87">
        <v>1702138.92</v>
      </c>
      <c r="K368" t="e">
        <f>VLOOKUP(J368,Sheet27!C:J,8,0)</f>
        <v>#N/A</v>
      </c>
      <c r="L368" s="87"/>
      <c r="M368" t="e">
        <f t="shared" si="17"/>
        <v>#N/A</v>
      </c>
    </row>
    <row r="369" spans="1:13" ht="15.75">
      <c r="A369" s="1029"/>
      <c r="B369" s="1030"/>
      <c r="C369" s="1029"/>
      <c r="D369" s="1031"/>
      <c r="E369" s="1031"/>
      <c r="F369" s="133">
        <f t="shared" si="16"/>
        <v>0</v>
      </c>
      <c r="G369" s="133">
        <v>3.35</v>
      </c>
      <c r="I369" s="87" t="e">
        <f>#N/A</f>
        <v>#N/A</v>
      </c>
      <c r="K369" t="e">
        <f>VLOOKUP(J369,Sheet27!C:J,8,0)</f>
        <v>#N/A</v>
      </c>
      <c r="L369" s="87"/>
      <c r="M369" t="e">
        <f t="shared" si="17"/>
        <v>#N/A</v>
      </c>
    </row>
    <row r="370" spans="1:13">
      <c r="A370" s="12"/>
      <c r="B370" s="12"/>
      <c r="C370" s="12"/>
      <c r="D370" s="12"/>
      <c r="E370" s="12"/>
      <c r="F370" s="133">
        <f t="shared" si="16"/>
        <v>0</v>
      </c>
      <c r="G370" s="133"/>
      <c r="I370" s="87" t="e">
        <f>#N/A</f>
        <v>#N/A</v>
      </c>
      <c r="K370" t="e">
        <f>VLOOKUP(J370,Sheet27!C:J,8,0)</f>
        <v>#N/A</v>
      </c>
      <c r="L370" s="87"/>
      <c r="M370" t="e">
        <f t="shared" si="17"/>
        <v>#N/A</v>
      </c>
    </row>
    <row r="371" spans="1:13" ht="15.75" customHeight="1">
      <c r="A371" s="1360">
        <v>49</v>
      </c>
      <c r="B371" s="1360" t="s">
        <v>2745</v>
      </c>
      <c r="C371" s="1001" t="s">
        <v>2546</v>
      </c>
      <c r="D371" s="1002">
        <v>1876681.64</v>
      </c>
      <c r="E371" s="1002"/>
      <c r="F371" s="133">
        <f t="shared" si="16"/>
        <v>1876681.64</v>
      </c>
      <c r="G371" s="133">
        <v>0.32</v>
      </c>
      <c r="I371" s="87">
        <v>0</v>
      </c>
      <c r="K371" t="e">
        <f>VLOOKUP(J371,Sheet27!C:J,8,0)</f>
        <v>#N/A</v>
      </c>
      <c r="L371" s="87"/>
      <c r="M371" t="e">
        <f t="shared" si="17"/>
        <v>#N/A</v>
      </c>
    </row>
    <row r="372" spans="1:13" ht="15.75">
      <c r="A372" s="1360"/>
      <c r="B372" s="1360"/>
      <c r="C372" s="1001" t="s">
        <v>2746</v>
      </c>
      <c r="D372" s="1002"/>
      <c r="E372" s="1002">
        <v>864718.75</v>
      </c>
      <c r="F372" s="133">
        <f t="shared" si="16"/>
        <v>864718.75</v>
      </c>
      <c r="G372" s="133"/>
      <c r="I372" s="87">
        <v>979800.78</v>
      </c>
      <c r="J372" t="s">
        <v>1573</v>
      </c>
      <c r="K372">
        <f>VLOOKUP(J372,Sheet27!C:J,8,0)</f>
        <v>980800.00000000291</v>
      </c>
      <c r="L372" s="87">
        <f>I372/K372</f>
        <v>0.99898121941272133</v>
      </c>
      <c r="M372">
        <f t="shared" si="17"/>
        <v>-0.10187805872786292</v>
      </c>
    </row>
    <row r="373" spans="1:13" ht="15.75">
      <c r="A373" s="1360"/>
      <c r="B373" s="1360"/>
      <c r="C373" s="1001" t="s">
        <v>2747</v>
      </c>
      <c r="D373" s="1002"/>
      <c r="E373" s="1002">
        <v>593117.18999999994</v>
      </c>
      <c r="F373" s="133">
        <f t="shared" si="16"/>
        <v>593117.18999999994</v>
      </c>
      <c r="G373" s="133"/>
      <c r="I373" s="87">
        <v>760320.31</v>
      </c>
      <c r="J373" t="s">
        <v>1571</v>
      </c>
      <c r="K373">
        <f>VLOOKUP(J373,Sheet27!C:J,8,0)</f>
        <v>758799.81030000292</v>
      </c>
      <c r="L373" s="87">
        <f>I373/K373</f>
        <v>1.0020038219295231</v>
      </c>
      <c r="M373">
        <f t="shared" si="17"/>
        <v>0.20038219295231258</v>
      </c>
    </row>
    <row r="374" spans="1:13" ht="15.75">
      <c r="A374" s="1360"/>
      <c r="B374" s="1360"/>
      <c r="C374" s="1001" t="s">
        <v>2748</v>
      </c>
      <c r="D374" s="1002"/>
      <c r="E374" s="1002">
        <v>261759.77</v>
      </c>
      <c r="F374" s="133">
        <f t="shared" si="16"/>
        <v>261759.77</v>
      </c>
      <c r="G374" s="133"/>
      <c r="I374" s="87">
        <v>529119.14</v>
      </c>
      <c r="J374" t="s">
        <v>1569</v>
      </c>
      <c r="K374">
        <f>VLOOKUP(J374,Sheet27!C:J,8,0)</f>
        <v>529200.00000000442</v>
      </c>
      <c r="L374" s="87">
        <f>I374/K374</f>
        <v>0.99984720332576638</v>
      </c>
      <c r="M374">
        <f t="shared" si="17"/>
        <v>-1.5279667423357735E-2</v>
      </c>
    </row>
    <row r="375" spans="1:13" ht="15.75">
      <c r="A375" s="1360"/>
      <c r="B375" s="1360"/>
      <c r="C375" s="1000" t="s">
        <v>91</v>
      </c>
      <c r="D375" s="1003">
        <v>1876681.64</v>
      </c>
      <c r="E375" s="1003">
        <v>1719595.7</v>
      </c>
      <c r="F375" s="133">
        <f t="shared" si="16"/>
        <v>3596277.34</v>
      </c>
      <c r="G375" s="133"/>
      <c r="I375" s="87">
        <v>1702138.92</v>
      </c>
      <c r="K375" t="e">
        <f>VLOOKUP(J375,Sheet27!C:J,8,0)</f>
        <v>#N/A</v>
      </c>
      <c r="L375" s="87"/>
      <c r="M375" t="e">
        <f t="shared" si="17"/>
        <v>#N/A</v>
      </c>
    </row>
    <row r="376" spans="1:13" ht="15.75">
      <c r="A376" s="1360"/>
      <c r="B376" s="1004"/>
      <c r="C376" s="1001"/>
      <c r="D376" s="1002"/>
      <c r="E376" s="1002"/>
      <c r="F376" s="133">
        <f t="shared" si="16"/>
        <v>0</v>
      </c>
      <c r="G376" s="133"/>
      <c r="I376" s="87" t="e">
        <f>#N/A</f>
        <v>#N/A</v>
      </c>
      <c r="K376" t="e">
        <f>VLOOKUP(J376,Sheet27!C:J,8,0)</f>
        <v>#N/A</v>
      </c>
      <c r="L376" s="87"/>
      <c r="M376" t="e">
        <f t="shared" si="17"/>
        <v>#N/A</v>
      </c>
    </row>
    <row r="377" spans="1:13" ht="15.75" customHeight="1">
      <c r="A377" s="1360">
        <v>50</v>
      </c>
      <c r="B377" s="1360" t="s">
        <v>1195</v>
      </c>
      <c r="C377" s="1001" t="s">
        <v>2586</v>
      </c>
      <c r="D377" s="1002">
        <v>1613818.36</v>
      </c>
      <c r="E377" s="1002"/>
      <c r="F377" s="133">
        <f t="shared" si="16"/>
        <v>1613818.36</v>
      </c>
      <c r="G377" s="133">
        <v>31.27</v>
      </c>
      <c r="I377" s="87">
        <v>0</v>
      </c>
      <c r="K377" t="e">
        <f>VLOOKUP(J377,Sheet27!C:J,8,0)</f>
        <v>#N/A</v>
      </c>
      <c r="L377" s="87"/>
      <c r="M377" t="e">
        <f t="shared" si="17"/>
        <v>#N/A</v>
      </c>
    </row>
    <row r="378" spans="1:13" ht="15.75">
      <c r="A378" s="1360"/>
      <c r="B378" s="1360"/>
      <c r="C378" s="1001" t="s">
        <v>2615</v>
      </c>
      <c r="D378" s="1002">
        <v>1207529.8500000001</v>
      </c>
      <c r="E378" s="1002"/>
      <c r="F378" s="133">
        <f t="shared" si="16"/>
        <v>1207529.8500000001</v>
      </c>
      <c r="G378" s="133"/>
      <c r="I378" s="87">
        <v>0</v>
      </c>
      <c r="K378" t="e">
        <f>VLOOKUP(J378,Sheet27!C:J,8,0)</f>
        <v>#N/A</v>
      </c>
      <c r="L378" s="87"/>
      <c r="M378" t="e">
        <f t="shared" si="17"/>
        <v>#N/A</v>
      </c>
    </row>
    <row r="379" spans="1:13" ht="15.75">
      <c r="A379" s="1360"/>
      <c r="B379" s="1360"/>
      <c r="C379" s="1001" t="s">
        <v>2749</v>
      </c>
      <c r="D379" s="1002"/>
      <c r="E379" s="1002">
        <v>627640.63</v>
      </c>
      <c r="F379" s="133">
        <f t="shared" si="16"/>
        <v>627640.63</v>
      </c>
      <c r="G379" s="133"/>
      <c r="I379" s="87">
        <v>869078.12</v>
      </c>
      <c r="J379" t="s">
        <v>1558</v>
      </c>
      <c r="K379">
        <f>VLOOKUP(J379,Sheet27!C:J,8,0)</f>
        <v>866399.99999999418</v>
      </c>
      <c r="L379" s="87">
        <f>I379/K379</f>
        <v>1.003091089566027</v>
      </c>
      <c r="M379">
        <f t="shared" si="17"/>
        <v>0.30910895660270477</v>
      </c>
    </row>
    <row r="380" spans="1:13" ht="15.75">
      <c r="A380" s="1360"/>
      <c r="B380" s="1360"/>
      <c r="C380" s="1001" t="s">
        <v>2750</v>
      </c>
      <c r="D380" s="1002"/>
      <c r="E380" s="1002">
        <v>564480.47</v>
      </c>
      <c r="F380" s="133">
        <f t="shared" si="16"/>
        <v>564480.47</v>
      </c>
      <c r="G380" s="133"/>
      <c r="I380" s="87">
        <v>807238.28</v>
      </c>
      <c r="J380" t="s">
        <v>1559</v>
      </c>
      <c r="K380">
        <f>VLOOKUP(J380,Sheet27!C:J,8,0)</f>
        <v>805199.79870000202</v>
      </c>
      <c r="L380" s="87">
        <f>I380/K380</f>
        <v>1.002531646559387</v>
      </c>
      <c r="M380">
        <f t="shared" si="17"/>
        <v>0.25316465593870502</v>
      </c>
    </row>
    <row r="381" spans="1:13" ht="15.75">
      <c r="A381" s="1360"/>
      <c r="B381" s="1360"/>
      <c r="C381" s="1001" t="s">
        <v>2751</v>
      </c>
      <c r="D381" s="1002"/>
      <c r="E381" s="1002">
        <v>206959.96</v>
      </c>
      <c r="F381" s="133">
        <f t="shared" si="16"/>
        <v>206959.96</v>
      </c>
      <c r="G381" s="133"/>
      <c r="I381" s="87">
        <v>278140.63</v>
      </c>
      <c r="J381" t="s">
        <v>1561</v>
      </c>
      <c r="K381">
        <f>VLOOKUP(J381,Sheet27!C:J,8,0)</f>
        <v>281199.99999999889</v>
      </c>
      <c r="L381" s="87">
        <f>I381/K381</f>
        <v>0.98912030583215182</v>
      </c>
      <c r="M381">
        <f t="shared" si="17"/>
        <v>-1.0879694167848155</v>
      </c>
    </row>
    <row r="382" spans="1:13" ht="15.75">
      <c r="A382" s="1360"/>
      <c r="B382" s="1360"/>
      <c r="C382" s="1001" t="s">
        <v>2752</v>
      </c>
      <c r="D382" s="1002"/>
      <c r="E382" s="1002">
        <v>699639.89</v>
      </c>
      <c r="F382" s="133">
        <f t="shared" si="16"/>
        <v>699639.89</v>
      </c>
      <c r="G382" s="133"/>
      <c r="I382" s="87">
        <v>1079760.25</v>
      </c>
      <c r="J382" t="s">
        <v>1563</v>
      </c>
      <c r="K382">
        <f>VLOOKUP(J382,Sheet27!C:J,8,0)</f>
        <v>1079760.25</v>
      </c>
      <c r="L382" s="87"/>
      <c r="M382">
        <f t="shared" si="17"/>
        <v>0</v>
      </c>
    </row>
    <row r="383" spans="1:13" ht="15.75">
      <c r="A383" s="1360"/>
      <c r="B383" s="1360"/>
      <c r="C383" s="1001" t="s">
        <v>2753</v>
      </c>
      <c r="D383" s="1002"/>
      <c r="E383" s="1002">
        <v>684000.01</v>
      </c>
      <c r="F383" s="133">
        <f t="shared" si="16"/>
        <v>684000.01</v>
      </c>
      <c r="G383" s="133"/>
      <c r="I383" s="87">
        <v>735299.93</v>
      </c>
      <c r="K383" t="e">
        <f>VLOOKUP(J383,Sheet27!C:J,8,0)</f>
        <v>#N/A</v>
      </c>
      <c r="L383" s="87"/>
      <c r="M383" t="e">
        <f t="shared" si="17"/>
        <v>#N/A</v>
      </c>
    </row>
    <row r="384" spans="1:13" ht="15.75">
      <c r="A384" s="1360"/>
      <c r="B384" s="1360"/>
      <c r="C384" s="1000" t="s">
        <v>91</v>
      </c>
      <c r="D384" s="1003">
        <v>2821348.21</v>
      </c>
      <c r="E384" s="1003">
        <v>2098720.94</v>
      </c>
      <c r="F384" s="133">
        <f t="shared" si="16"/>
        <v>4920069.1500000004</v>
      </c>
      <c r="G384" s="133"/>
      <c r="I384" s="87">
        <v>1702138.92</v>
      </c>
      <c r="K384" t="e">
        <f>VLOOKUP(J384,Sheet27!C:J,8,0)</f>
        <v>#N/A</v>
      </c>
      <c r="L384" s="87"/>
      <c r="M384" t="e">
        <f t="shared" si="17"/>
        <v>#N/A</v>
      </c>
    </row>
    <row r="385" spans="1:13" ht="15.75">
      <c r="A385" s="1360"/>
      <c r="B385" s="1004"/>
      <c r="C385" s="1001"/>
      <c r="D385" s="1002"/>
      <c r="E385" s="1002"/>
      <c r="F385" s="133">
        <f t="shared" si="16"/>
        <v>0</v>
      </c>
      <c r="G385" s="133"/>
      <c r="I385" s="87" t="e">
        <f>#N/A</f>
        <v>#N/A</v>
      </c>
      <c r="K385" t="e">
        <f>VLOOKUP(J385,Sheet27!C:J,8,0)</f>
        <v>#N/A</v>
      </c>
      <c r="L385" s="87"/>
      <c r="M385" t="e">
        <f t="shared" si="17"/>
        <v>#N/A</v>
      </c>
    </row>
    <row r="386" spans="1:13" ht="15.75" customHeight="1">
      <c r="A386" s="1360">
        <v>51</v>
      </c>
      <c r="B386" s="1360" t="s">
        <v>1191</v>
      </c>
      <c r="C386" s="1001" t="s">
        <v>2546</v>
      </c>
      <c r="D386" s="1002">
        <v>1722960.94</v>
      </c>
      <c r="E386" s="1002"/>
      <c r="F386" s="133">
        <f t="shared" si="16"/>
        <v>1722960.94</v>
      </c>
      <c r="G386" s="133">
        <v>1.94</v>
      </c>
      <c r="I386" s="87">
        <v>0</v>
      </c>
      <c r="K386" t="e">
        <f>VLOOKUP(J386,Sheet27!C:J,8,0)</f>
        <v>#N/A</v>
      </c>
      <c r="L386" s="87"/>
      <c r="M386" t="e">
        <f t="shared" si="17"/>
        <v>#N/A</v>
      </c>
    </row>
    <row r="387" spans="1:13" ht="15.75">
      <c r="A387" s="1360"/>
      <c r="B387" s="1360"/>
      <c r="C387" s="1001" t="s">
        <v>2547</v>
      </c>
      <c r="D387" s="1002">
        <v>1400519.54</v>
      </c>
      <c r="E387" s="1002"/>
      <c r="F387" s="133">
        <f t="shared" si="16"/>
        <v>1400519.54</v>
      </c>
      <c r="G387" s="133"/>
      <c r="I387" s="87">
        <v>0</v>
      </c>
      <c r="K387" t="e">
        <f>VLOOKUP(J387,Sheet27!C:J,8,0)</f>
        <v>#N/A</v>
      </c>
      <c r="L387" s="87"/>
      <c r="M387" t="e">
        <f t="shared" si="17"/>
        <v>#N/A</v>
      </c>
    </row>
    <row r="388" spans="1:13" ht="15.75">
      <c r="A388" s="1360"/>
      <c r="B388" s="1360"/>
      <c r="C388" s="1001" t="s">
        <v>2754</v>
      </c>
      <c r="D388" s="1002"/>
      <c r="E388" s="1002">
        <v>506560.24</v>
      </c>
      <c r="F388" s="133">
        <f t="shared" si="16"/>
        <v>506560.24</v>
      </c>
      <c r="G388" s="133"/>
      <c r="I388" s="87">
        <v>1034680.05</v>
      </c>
      <c r="J388" t="s">
        <v>1581</v>
      </c>
      <c r="K388">
        <f>VLOOKUP(J388,Sheet27!C:J,8,0)</f>
        <v>1056000</v>
      </c>
      <c r="L388" s="87">
        <f>I388/K388</f>
        <v>0.9798106534090909</v>
      </c>
      <c r="M388">
        <f t="shared" si="17"/>
        <v>-2.0189346590909047</v>
      </c>
    </row>
    <row r="389" spans="1:13" ht="15.75">
      <c r="A389" s="1360"/>
      <c r="B389" s="1360"/>
      <c r="C389" s="1001" t="s">
        <v>2755</v>
      </c>
      <c r="D389" s="1002"/>
      <c r="E389" s="1002">
        <v>915420.41</v>
      </c>
      <c r="F389" s="133">
        <f t="shared" si="16"/>
        <v>915420.41</v>
      </c>
      <c r="G389" s="133"/>
      <c r="I389" s="87">
        <v>1154459.47</v>
      </c>
      <c r="J389" t="s">
        <v>1582</v>
      </c>
      <c r="K389">
        <f>VLOOKUP(J389,Sheet27!C:J,8,0)</f>
        <v>1153199.9999999972</v>
      </c>
      <c r="L389" s="87">
        <f>I389/K389</f>
        <v>1.0010921522719414</v>
      </c>
      <c r="M389">
        <f t="shared" si="17"/>
        <v>0.10921522719413536</v>
      </c>
    </row>
    <row r="390" spans="1:13" ht="15.75">
      <c r="A390" s="1360"/>
      <c r="B390" s="1360"/>
      <c r="C390" s="1001" t="s">
        <v>2756</v>
      </c>
      <c r="D390" s="1002"/>
      <c r="E390" s="1002">
        <v>806279.3</v>
      </c>
      <c r="F390" s="133">
        <f t="shared" si="16"/>
        <v>806279.3</v>
      </c>
      <c r="G390" s="133"/>
      <c r="I390" s="87">
        <v>1069980.47</v>
      </c>
      <c r="J390" t="s">
        <v>1580</v>
      </c>
      <c r="K390">
        <f>VLOOKUP(J390,Sheet27!C:J,8,0)</f>
        <v>1067599.9999999986</v>
      </c>
      <c r="L390" s="87">
        <f>I390/K390</f>
        <v>1.0022297396028488</v>
      </c>
      <c r="M390">
        <f t="shared" si="17"/>
        <v>0.22297396028487937</v>
      </c>
    </row>
    <row r="391" spans="1:13" ht="15.75">
      <c r="A391" s="1360"/>
      <c r="B391" s="1360"/>
      <c r="C391" s="1001" t="s">
        <v>2757</v>
      </c>
      <c r="D391" s="1002"/>
      <c r="E391" s="1002">
        <v>842282.59</v>
      </c>
      <c r="F391" s="133">
        <f t="shared" si="16"/>
        <v>842282.59</v>
      </c>
      <c r="G391" s="133"/>
      <c r="I391" s="87">
        <v>1025038.88</v>
      </c>
      <c r="J391" t="s">
        <v>1583</v>
      </c>
      <c r="K391">
        <f>VLOOKUP(J391,Sheet27!C:J,8,0)</f>
        <v>1025039.0000000005</v>
      </c>
      <c r="L391" s="87">
        <f>I391/K391</f>
        <v>0.99999988293128317</v>
      </c>
      <c r="M391">
        <f t="shared" si="17"/>
        <v>-1.1706871685955814E-5</v>
      </c>
    </row>
    <row r="392" spans="1:13" ht="15.75">
      <c r="A392" s="1360"/>
      <c r="B392" s="1360"/>
      <c r="C392" s="1000" t="s">
        <v>91</v>
      </c>
      <c r="D392" s="1003">
        <v>3123480.47</v>
      </c>
      <c r="E392" s="1003">
        <v>3070542.54</v>
      </c>
      <c r="F392" s="133">
        <f t="shared" si="16"/>
        <v>6194023.0099999998</v>
      </c>
      <c r="G392" s="133"/>
      <c r="I392" s="87">
        <v>1702138.92</v>
      </c>
      <c r="K392" t="e">
        <f>VLOOKUP(J392,Sheet27!C:J,8,0)</f>
        <v>#N/A</v>
      </c>
      <c r="L392" s="87"/>
      <c r="M392" t="e">
        <f t="shared" si="17"/>
        <v>#N/A</v>
      </c>
    </row>
    <row r="393" spans="1:13" ht="15.75">
      <c r="A393" s="1360"/>
      <c r="B393" s="1032"/>
      <c r="C393" s="1001"/>
      <c r="D393" s="1002"/>
      <c r="E393" s="1002"/>
      <c r="F393" s="133">
        <f t="shared" ref="F393:F453" si="19">D393+E393</f>
        <v>0</v>
      </c>
      <c r="G393" s="133"/>
      <c r="I393" s="87" t="e">
        <f>#N/A</f>
        <v>#N/A</v>
      </c>
      <c r="K393" t="e">
        <f>VLOOKUP(J393,Sheet27!C:J,8,0)</f>
        <v>#N/A</v>
      </c>
      <c r="L393" s="87"/>
      <c r="M393" t="e">
        <f t="shared" si="17"/>
        <v>#N/A</v>
      </c>
    </row>
    <row r="394" spans="1:13" ht="15.75">
      <c r="A394" s="1358">
        <v>52</v>
      </c>
      <c r="B394" s="1358" t="s">
        <v>2160</v>
      </c>
      <c r="C394" s="1033" t="s">
        <v>2546</v>
      </c>
      <c r="D394" s="1034">
        <v>2630039.06</v>
      </c>
      <c r="E394" s="1034"/>
      <c r="F394" s="133">
        <f t="shared" si="19"/>
        <v>2630039.06</v>
      </c>
      <c r="G394" s="133">
        <v>0.61</v>
      </c>
      <c r="I394" s="87">
        <v>0</v>
      </c>
      <c r="K394" t="e">
        <f>VLOOKUP(J394,Sheet27!C:J,8,0)</f>
        <v>#N/A</v>
      </c>
      <c r="L394" s="87"/>
      <c r="M394" t="e">
        <f t="shared" si="17"/>
        <v>#N/A</v>
      </c>
    </row>
    <row r="395" spans="1:13" ht="15.75">
      <c r="A395" s="1358"/>
      <c r="B395" s="1358"/>
      <c r="C395" s="1033" t="s">
        <v>2547</v>
      </c>
      <c r="D395" s="1034">
        <v>1892285.16</v>
      </c>
      <c r="E395" s="1034"/>
      <c r="F395" s="133">
        <f t="shared" si="19"/>
        <v>1892285.16</v>
      </c>
      <c r="G395" s="133"/>
      <c r="I395" s="87">
        <v>0</v>
      </c>
      <c r="K395" t="e">
        <f>VLOOKUP(J395,Sheet27!C:J,8,0)</f>
        <v>#N/A</v>
      </c>
      <c r="L395" s="87"/>
      <c r="M395" t="e">
        <f t="shared" si="17"/>
        <v>#N/A</v>
      </c>
    </row>
    <row r="396" spans="1:13" ht="15.75">
      <c r="A396" s="1358"/>
      <c r="B396" s="1358"/>
      <c r="C396" s="1033" t="s">
        <v>2604</v>
      </c>
      <c r="D396" s="1034">
        <v>1558142.58</v>
      </c>
      <c r="E396" s="1034"/>
      <c r="F396" s="133">
        <f t="shared" si="19"/>
        <v>1558142.58</v>
      </c>
      <c r="G396" s="133"/>
      <c r="I396" s="87">
        <v>0</v>
      </c>
      <c r="K396" t="e">
        <f>VLOOKUP(J396,Sheet27!C:J,8,0)</f>
        <v>#N/A</v>
      </c>
      <c r="L396" s="87"/>
      <c r="M396" t="e">
        <f t="shared" si="17"/>
        <v>#N/A</v>
      </c>
    </row>
    <row r="397" spans="1:13" ht="15.75">
      <c r="A397" s="1358"/>
      <c r="B397" s="1358"/>
      <c r="C397" s="1033" t="s">
        <v>2639</v>
      </c>
      <c r="D397" s="1034">
        <v>2076832.03</v>
      </c>
      <c r="E397" s="1034"/>
      <c r="F397" s="133">
        <f t="shared" si="19"/>
        <v>2076832.03</v>
      </c>
      <c r="G397" s="133"/>
      <c r="I397" s="87">
        <v>0</v>
      </c>
      <c r="K397" t="e">
        <f>VLOOKUP(J397,Sheet27!C:J,8,0)</f>
        <v>#N/A</v>
      </c>
      <c r="L397" s="87"/>
      <c r="M397" t="e">
        <f t="shared" si="17"/>
        <v>#N/A</v>
      </c>
    </row>
    <row r="398" spans="1:13" ht="15.75">
      <c r="A398" s="1358"/>
      <c r="B398" s="1358"/>
      <c r="C398" s="1033" t="s">
        <v>2758</v>
      </c>
      <c r="D398" s="1002"/>
      <c r="E398" s="1002">
        <v>1322100.3999999999</v>
      </c>
      <c r="F398" s="133">
        <f t="shared" si="19"/>
        <v>1322100.3999999999</v>
      </c>
      <c r="G398" s="133"/>
      <c r="I398" s="87">
        <v>1582324.22</v>
      </c>
      <c r="J398" t="s">
        <v>1508</v>
      </c>
      <c r="K398">
        <f>VLOOKUP(J398,Sheet27!C:J,8,0)</f>
        <v>1582324.0000000175</v>
      </c>
      <c r="L398" s="87">
        <f t="shared" ref="L398:L405" si="20">I398/K398</f>
        <v>1.0000001390359892</v>
      </c>
      <c r="M398">
        <f t="shared" si="17"/>
        <v>1.3903598915883195E-5</v>
      </c>
    </row>
    <row r="399" spans="1:13" ht="15.75">
      <c r="A399" s="1358"/>
      <c r="B399" s="1358"/>
      <c r="C399" s="1033" t="s">
        <v>2759</v>
      </c>
      <c r="D399" s="1002"/>
      <c r="E399" s="1002">
        <v>1039083.99</v>
      </c>
      <c r="F399" s="133">
        <f t="shared" si="19"/>
        <v>1039083.99</v>
      </c>
      <c r="G399" s="133"/>
      <c r="I399" s="87">
        <v>1432019.53</v>
      </c>
      <c r="J399" t="s">
        <v>1506</v>
      </c>
      <c r="K399">
        <f>VLOOKUP(J399,Sheet27!C:J,8,0)</f>
        <v>1429780.0000000002</v>
      </c>
      <c r="L399" s="87">
        <f t="shared" si="20"/>
        <v>1.0015663458713926</v>
      </c>
      <c r="M399">
        <f t="shared" si="17"/>
        <v>0.15663458713926581</v>
      </c>
    </row>
    <row r="400" spans="1:13" ht="15.75">
      <c r="A400" s="1358"/>
      <c r="B400" s="1358"/>
      <c r="C400" s="1001" t="s">
        <v>2760</v>
      </c>
      <c r="D400" s="1002"/>
      <c r="E400" s="1002">
        <v>540363.28</v>
      </c>
      <c r="F400" s="133">
        <f t="shared" si="19"/>
        <v>540363.28</v>
      </c>
      <c r="G400" s="133"/>
      <c r="I400" s="87">
        <v>676718.75</v>
      </c>
      <c r="J400" t="s">
        <v>1487</v>
      </c>
      <c r="K400">
        <f>VLOOKUP(J400,Sheet27!C:J,8,0)</f>
        <v>670599.99999997672</v>
      </c>
      <c r="L400" s="87">
        <f t="shared" si="20"/>
        <v>1.0091242916791283</v>
      </c>
      <c r="M400">
        <f t="shared" si="17"/>
        <v>0.91242916791283846</v>
      </c>
    </row>
    <row r="401" spans="1:13" ht="15.75">
      <c r="A401" s="1358"/>
      <c r="B401" s="1358"/>
      <c r="C401" s="1033" t="s">
        <v>2761</v>
      </c>
      <c r="D401" s="1002"/>
      <c r="E401" s="1002">
        <v>1256214.8400000001</v>
      </c>
      <c r="F401" s="133">
        <f t="shared" si="19"/>
        <v>1256214.8400000001</v>
      </c>
      <c r="G401" s="133"/>
      <c r="I401" s="87">
        <v>1761064.45</v>
      </c>
      <c r="J401" t="s">
        <v>1488</v>
      </c>
      <c r="K401">
        <f>VLOOKUP(J401,Sheet27!C:J,8,0)</f>
        <v>1761063.9999999651</v>
      </c>
      <c r="L401" s="87">
        <f t="shared" si="20"/>
        <v>1.0000002555273602</v>
      </c>
      <c r="M401">
        <f t="shared" si="17"/>
        <v>2.5552736009482864E-5</v>
      </c>
    </row>
    <row r="402" spans="1:13" ht="15.75">
      <c r="A402" s="1358"/>
      <c r="B402" s="1358"/>
      <c r="C402" s="1033" t="s">
        <v>2762</v>
      </c>
      <c r="D402" s="1002"/>
      <c r="E402" s="1002">
        <v>625980.47</v>
      </c>
      <c r="F402" s="133">
        <f t="shared" si="19"/>
        <v>625980.47</v>
      </c>
      <c r="G402" s="133"/>
      <c r="I402" s="87">
        <v>804298.83</v>
      </c>
      <c r="J402" t="s">
        <v>1502</v>
      </c>
      <c r="K402">
        <f>VLOOKUP(J402,Sheet27!C:J,8,0)</f>
        <v>800600.00000000582</v>
      </c>
      <c r="L402" s="87">
        <f t="shared" si="20"/>
        <v>1.0046200724456584</v>
      </c>
      <c r="M402">
        <f t="shared" ref="M402:M452" si="21">(I402-K402)/K402*100</f>
        <v>0.46200724456583941</v>
      </c>
    </row>
    <row r="403" spans="1:13" ht="15.75">
      <c r="A403" s="1358"/>
      <c r="B403" s="1358"/>
      <c r="C403" s="1033" t="s">
        <v>2763</v>
      </c>
      <c r="D403" s="1002"/>
      <c r="E403" s="1002">
        <v>1575000</v>
      </c>
      <c r="F403" s="133">
        <f t="shared" si="19"/>
        <v>1575000</v>
      </c>
      <c r="G403" s="133"/>
      <c r="I403" s="87">
        <v>2094240.23</v>
      </c>
      <c r="J403" t="s">
        <v>1512</v>
      </c>
      <c r="K403">
        <f>VLOOKUP(J403,Sheet27!C:J,8,0)</f>
        <v>2089400.0000000233</v>
      </c>
      <c r="L403" s="87">
        <f t="shared" si="20"/>
        <v>1.0023165645639784</v>
      </c>
      <c r="M403">
        <f t="shared" si="21"/>
        <v>0.23165645639784838</v>
      </c>
    </row>
    <row r="404" spans="1:13" ht="15.75">
      <c r="A404" s="1358"/>
      <c r="B404" s="1358"/>
      <c r="C404" s="1033" t="s">
        <v>2764</v>
      </c>
      <c r="D404" s="1002"/>
      <c r="E404" s="1002">
        <v>733139.65</v>
      </c>
      <c r="F404" s="133">
        <f t="shared" si="19"/>
        <v>733139.65</v>
      </c>
      <c r="G404" s="133"/>
      <c r="I404" s="87">
        <v>915779.3</v>
      </c>
      <c r="J404" t="s">
        <v>1510</v>
      </c>
      <c r="K404">
        <f>VLOOKUP(J404,Sheet27!C:J,8,0)</f>
        <v>916399.99999999418</v>
      </c>
      <c r="L404" s="87">
        <f t="shared" si="20"/>
        <v>0.99932267568747912</v>
      </c>
      <c r="M404">
        <f t="shared" si="21"/>
        <v>-6.7732431252088249E-2</v>
      </c>
    </row>
    <row r="405" spans="1:13" ht="15.75">
      <c r="A405" s="1358"/>
      <c r="B405" s="1358"/>
      <c r="C405" s="1033" t="s">
        <v>2765</v>
      </c>
      <c r="D405" s="1002"/>
      <c r="E405" s="1002">
        <v>1039718.75</v>
      </c>
      <c r="F405" s="133">
        <f t="shared" si="19"/>
        <v>1039718.75</v>
      </c>
      <c r="G405" s="133"/>
      <c r="I405" s="87">
        <v>1346679.69</v>
      </c>
      <c r="J405" t="s">
        <v>2099</v>
      </c>
      <c r="K405">
        <f>VLOOKUP(J405,Sheet27!C:J,8,0)</f>
        <v>1346680</v>
      </c>
      <c r="L405" s="87">
        <f t="shared" si="20"/>
        <v>0.99999976980425931</v>
      </c>
      <c r="M405">
        <f t="shared" si="21"/>
        <v>-2.3019574067772547E-5</v>
      </c>
    </row>
    <row r="406" spans="1:13" ht="15.75">
      <c r="A406" s="1358"/>
      <c r="B406" s="1358"/>
      <c r="C406" s="1000" t="s">
        <v>91</v>
      </c>
      <c r="D406" s="1003">
        <v>8157298.8300000001</v>
      </c>
      <c r="E406" s="1003">
        <v>8131601.3799999999</v>
      </c>
      <c r="F406" s="133">
        <f t="shared" si="19"/>
        <v>16288900.210000001</v>
      </c>
      <c r="G406" s="133"/>
      <c r="I406" s="87">
        <v>1702138.92</v>
      </c>
      <c r="K406" t="e">
        <f>VLOOKUP(J406,Sheet27!C:J,8,0)</f>
        <v>#N/A</v>
      </c>
      <c r="L406" s="87"/>
      <c r="M406" t="e">
        <f t="shared" si="21"/>
        <v>#N/A</v>
      </c>
    </row>
    <row r="407" spans="1:13" ht="15.75">
      <c r="A407" s="1358"/>
      <c r="B407" s="1032"/>
      <c r="C407" s="1000"/>
      <c r="D407" s="1002"/>
      <c r="E407" s="1003"/>
      <c r="F407" s="133">
        <f t="shared" si="19"/>
        <v>0</v>
      </c>
      <c r="G407" s="133"/>
      <c r="I407" s="87" t="e">
        <f>#N/A</f>
        <v>#N/A</v>
      </c>
      <c r="K407" t="e">
        <f>VLOOKUP(J407,Sheet27!C:J,8,0)</f>
        <v>#N/A</v>
      </c>
      <c r="L407" s="87"/>
      <c r="M407" t="e">
        <f t="shared" si="21"/>
        <v>#N/A</v>
      </c>
    </row>
    <row r="408" spans="1:13" ht="15.75">
      <c r="A408" s="1358">
        <v>53</v>
      </c>
      <c r="B408" s="1359" t="s">
        <v>1176</v>
      </c>
      <c r="C408" s="1001" t="s">
        <v>2546</v>
      </c>
      <c r="D408" s="1002">
        <v>296162.12</v>
      </c>
      <c r="E408" s="1002"/>
      <c r="F408" s="133">
        <f t="shared" si="19"/>
        <v>296162.12</v>
      </c>
      <c r="G408" s="133">
        <v>1.1599999999999999</v>
      </c>
      <c r="I408" s="87">
        <v>0</v>
      </c>
      <c r="K408" t="e">
        <f>VLOOKUP(J408,Sheet27!C:J,8,0)</f>
        <v>#N/A</v>
      </c>
      <c r="L408" s="87"/>
      <c r="M408" t="e">
        <f t="shared" si="21"/>
        <v>#N/A</v>
      </c>
    </row>
    <row r="409" spans="1:13" ht="15.75">
      <c r="A409" s="1358"/>
      <c r="B409" s="1359"/>
      <c r="C409" s="1001" t="s">
        <v>2547</v>
      </c>
      <c r="D409" s="1002">
        <v>694019.53</v>
      </c>
      <c r="E409" s="1002"/>
      <c r="F409" s="133">
        <f t="shared" si="19"/>
        <v>694019.53</v>
      </c>
      <c r="G409" s="133"/>
      <c r="I409" s="87">
        <v>0</v>
      </c>
      <c r="K409" t="e">
        <f>VLOOKUP(J409,Sheet27!C:J,8,0)</f>
        <v>#N/A</v>
      </c>
      <c r="L409" s="87"/>
      <c r="M409" t="e">
        <f t="shared" si="21"/>
        <v>#N/A</v>
      </c>
    </row>
    <row r="410" spans="1:13" ht="15.75">
      <c r="A410" s="1358"/>
      <c r="B410" s="1359"/>
      <c r="C410" s="1001" t="s">
        <v>2604</v>
      </c>
      <c r="D410" s="1002">
        <v>849899.41</v>
      </c>
      <c r="E410" s="1002"/>
      <c r="F410" s="133">
        <f t="shared" si="19"/>
        <v>849899.41</v>
      </c>
      <c r="G410" s="133"/>
      <c r="I410" s="87">
        <v>0</v>
      </c>
      <c r="K410" t="e">
        <f>VLOOKUP(J410,Sheet27!C:J,8,0)</f>
        <v>#N/A</v>
      </c>
      <c r="L410" s="87"/>
      <c r="M410" t="e">
        <f t="shared" si="21"/>
        <v>#N/A</v>
      </c>
    </row>
    <row r="411" spans="1:13" ht="15.75">
      <c r="A411" s="1358"/>
      <c r="B411" s="1359"/>
      <c r="C411" s="1001" t="s">
        <v>2639</v>
      </c>
      <c r="D411" s="1002">
        <v>659821.29</v>
      </c>
      <c r="E411" s="1002"/>
      <c r="F411" s="133">
        <f t="shared" si="19"/>
        <v>659821.29</v>
      </c>
      <c r="G411" s="133"/>
      <c r="I411" s="87">
        <v>0</v>
      </c>
      <c r="K411" t="e">
        <f>VLOOKUP(J411,Sheet27!C:J,8,0)</f>
        <v>#N/A</v>
      </c>
      <c r="L411" s="87"/>
      <c r="M411" t="e">
        <f t="shared" si="21"/>
        <v>#N/A</v>
      </c>
    </row>
    <row r="412" spans="1:13" ht="15.75">
      <c r="A412" s="1358"/>
      <c r="B412" s="1359"/>
      <c r="C412" s="1001" t="s">
        <v>2640</v>
      </c>
      <c r="D412" s="1002">
        <v>947279.3</v>
      </c>
      <c r="E412" s="1002"/>
      <c r="F412" s="133">
        <f t="shared" si="19"/>
        <v>947279.3</v>
      </c>
      <c r="G412" s="133"/>
      <c r="I412" s="87">
        <v>0</v>
      </c>
      <c r="K412" t="e">
        <f>VLOOKUP(J412,Sheet27!C:J,8,0)</f>
        <v>#N/A</v>
      </c>
      <c r="L412" s="87"/>
      <c r="M412" t="e">
        <f t="shared" si="21"/>
        <v>#N/A</v>
      </c>
    </row>
    <row r="413" spans="1:13" ht="15.75">
      <c r="A413" s="1358"/>
      <c r="B413" s="1359"/>
      <c r="C413" s="1033" t="s">
        <v>2766</v>
      </c>
      <c r="D413" s="1002"/>
      <c r="E413" s="1002">
        <v>957123.05</v>
      </c>
      <c r="F413" s="133">
        <f t="shared" si="19"/>
        <v>957123.05</v>
      </c>
      <c r="G413" s="133"/>
      <c r="I413" s="87">
        <v>1238460.94</v>
      </c>
      <c r="J413" t="s">
        <v>1524</v>
      </c>
      <c r="K413">
        <f>VLOOKUP(J413,Sheet27!C:J,8,0)</f>
        <v>1225200.0000000116</v>
      </c>
      <c r="L413" s="87">
        <f t="shared" ref="L413:L419" si="22">I413/K413</f>
        <v>1.0108234900424324</v>
      </c>
      <c r="M413">
        <f t="shared" si="21"/>
        <v>1.08234900424324</v>
      </c>
    </row>
    <row r="414" spans="1:13" ht="15.75">
      <c r="A414" s="1358"/>
      <c r="B414" s="1359"/>
      <c r="C414" s="1033" t="s">
        <v>2767</v>
      </c>
      <c r="D414" s="1002"/>
      <c r="E414" s="1002">
        <v>329359.86</v>
      </c>
      <c r="F414" s="133">
        <f t="shared" si="19"/>
        <v>329359.86</v>
      </c>
      <c r="G414" s="133"/>
      <c r="I414" s="86">
        <v>456720.22</v>
      </c>
      <c r="J414" t="s">
        <v>1531</v>
      </c>
      <c r="K414">
        <f>VLOOKUP(J414,Sheet27!C:J,8,0)</f>
        <v>456719.64499999996</v>
      </c>
      <c r="L414" s="87">
        <f t="shared" si="22"/>
        <v>1.0000012589780323</v>
      </c>
      <c r="M414" s="173">
        <f t="shared" si="21"/>
        <v>1.2589780323805461E-4</v>
      </c>
    </row>
    <row r="415" spans="1:13" ht="15.75">
      <c r="A415" s="1358"/>
      <c r="B415" s="1359"/>
      <c r="C415" s="1033" t="s">
        <v>2768</v>
      </c>
      <c r="D415" s="1002"/>
      <c r="E415" s="1002">
        <v>227959.96</v>
      </c>
      <c r="F415" s="133">
        <f t="shared" si="19"/>
        <v>227959.96</v>
      </c>
      <c r="G415" s="133"/>
      <c r="I415" s="87">
        <v>329839.84999999998</v>
      </c>
      <c r="J415" t="s">
        <v>1533</v>
      </c>
      <c r="K415">
        <f>VLOOKUP(J415,Sheet27!C:J,8,0)</f>
        <v>328040</v>
      </c>
      <c r="L415" s="87">
        <f t="shared" si="22"/>
        <v>1.005486678453847</v>
      </c>
      <c r="M415">
        <f t="shared" si="21"/>
        <v>0.54866784538470204</v>
      </c>
    </row>
    <row r="416" spans="1:13" ht="15.75">
      <c r="A416" s="1358"/>
      <c r="B416" s="1359"/>
      <c r="C416" s="1033" t="s">
        <v>2769</v>
      </c>
      <c r="D416" s="1002"/>
      <c r="E416" s="1002">
        <v>458919.92</v>
      </c>
      <c r="F416" s="133">
        <f t="shared" si="19"/>
        <v>458919.92</v>
      </c>
      <c r="G416" s="133"/>
      <c r="I416" s="87">
        <v>679679.69</v>
      </c>
      <c r="J416" t="s">
        <v>1529</v>
      </c>
      <c r="K416">
        <f>VLOOKUP(J416,Sheet27!C:J,8,0)</f>
        <v>688799.99999998836</v>
      </c>
      <c r="L416" s="87">
        <f t="shared" si="22"/>
        <v>0.98675913182347774</v>
      </c>
      <c r="M416">
        <f t="shared" si="21"/>
        <v>-1.3240868176522311</v>
      </c>
    </row>
    <row r="417" spans="1:14" ht="15.75">
      <c r="A417" s="1358"/>
      <c r="B417" s="1359"/>
      <c r="C417" s="1033" t="s">
        <v>2770</v>
      </c>
      <c r="D417" s="1002"/>
      <c r="E417" s="1002">
        <v>839642.58</v>
      </c>
      <c r="F417" s="133">
        <f t="shared" si="19"/>
        <v>839642.58</v>
      </c>
      <c r="G417" s="133"/>
      <c r="I417" s="87">
        <v>1004460.94</v>
      </c>
      <c r="J417" t="s">
        <v>1485</v>
      </c>
      <c r="K417">
        <f>VLOOKUP(J417,Sheet27!C:J,8,0)</f>
        <v>185000</v>
      </c>
      <c r="L417" s="87">
        <f t="shared" si="22"/>
        <v>5.4295185945945938</v>
      </c>
      <c r="M417" s="87">
        <f t="shared" si="21"/>
        <v>442.9518594594594</v>
      </c>
      <c r="N417" s="87"/>
    </row>
    <row r="418" spans="1:14" ht="15.75">
      <c r="A418" s="1358"/>
      <c r="B418" s="1359"/>
      <c r="C418" s="1033" t="s">
        <v>2771</v>
      </c>
      <c r="D418" s="1002"/>
      <c r="E418" s="1002">
        <v>293399.42</v>
      </c>
      <c r="F418" s="133">
        <f t="shared" si="19"/>
        <v>293399.42</v>
      </c>
      <c r="G418" s="133"/>
      <c r="I418" s="87">
        <v>406798.83</v>
      </c>
      <c r="J418" t="s">
        <v>1526</v>
      </c>
      <c r="K418">
        <f>VLOOKUP(J418,Sheet27!C:J,8,0)</f>
        <v>404400.00000002328</v>
      </c>
      <c r="L418" s="87">
        <f t="shared" si="22"/>
        <v>1.0059318249257581</v>
      </c>
      <c r="M418">
        <f t="shared" si="21"/>
        <v>0.5931824925758149</v>
      </c>
    </row>
    <row r="419" spans="1:14" ht="15.75">
      <c r="A419" s="1358"/>
      <c r="B419" s="1359"/>
      <c r="C419" s="1033" t="s">
        <v>2772</v>
      </c>
      <c r="D419" s="1002"/>
      <c r="E419" s="1002">
        <v>307620.12</v>
      </c>
      <c r="F419" s="133">
        <f t="shared" si="19"/>
        <v>307620.12</v>
      </c>
      <c r="G419" s="133"/>
      <c r="I419" s="87">
        <v>456959.47</v>
      </c>
      <c r="J419" t="s">
        <v>1535</v>
      </c>
      <c r="K419">
        <f>VLOOKUP(J419,Sheet27!C:J,8,0)</f>
        <v>456119.99999999988</v>
      </c>
      <c r="L419" s="87">
        <f t="shared" si="22"/>
        <v>1.0018404586512324</v>
      </c>
      <c r="M419">
        <f t="shared" si="21"/>
        <v>0.18404586512323265</v>
      </c>
    </row>
    <row r="420" spans="1:14" ht="15.75">
      <c r="A420" s="1358"/>
      <c r="B420" s="1359"/>
      <c r="C420" s="1000" t="s">
        <v>91</v>
      </c>
      <c r="D420" s="1003">
        <v>3447181.65</v>
      </c>
      <c r="E420" s="1003">
        <v>3414024.9</v>
      </c>
      <c r="F420" s="133">
        <f t="shared" si="19"/>
        <v>6861206.5499999998</v>
      </c>
      <c r="G420" s="133"/>
      <c r="I420" s="87">
        <v>1702138.92</v>
      </c>
      <c r="K420" t="e">
        <f>VLOOKUP(J420,Sheet27!C:J,8,0)</f>
        <v>#N/A</v>
      </c>
      <c r="L420" s="87"/>
      <c r="M420" t="e">
        <f t="shared" si="21"/>
        <v>#N/A</v>
      </c>
    </row>
    <row r="421" spans="1:14" ht="15.75">
      <c r="A421" s="1358"/>
      <c r="B421" s="1032"/>
      <c r="C421" s="1000"/>
      <c r="D421" s="1002"/>
      <c r="E421" s="1003"/>
      <c r="F421" s="133">
        <f t="shared" si="19"/>
        <v>0</v>
      </c>
      <c r="G421" s="133"/>
      <c r="I421" s="87" t="e">
        <f>#N/A</f>
        <v>#N/A</v>
      </c>
      <c r="K421" t="e">
        <f>VLOOKUP(J421,Sheet27!C:J,8,0)</f>
        <v>#N/A</v>
      </c>
      <c r="L421" s="87"/>
      <c r="M421" t="e">
        <f t="shared" si="21"/>
        <v>#N/A</v>
      </c>
    </row>
    <row r="422" spans="1:14" ht="15.75">
      <c r="A422" s="1358">
        <v>54</v>
      </c>
      <c r="B422" s="1358" t="s">
        <v>1203</v>
      </c>
      <c r="C422" s="1000" t="s">
        <v>2546</v>
      </c>
      <c r="D422" s="1002">
        <v>1157128.42</v>
      </c>
      <c r="E422" s="1002"/>
      <c r="F422" s="133">
        <f t="shared" si="19"/>
        <v>1157128.42</v>
      </c>
      <c r="G422" s="133">
        <v>5.29</v>
      </c>
      <c r="I422" s="87">
        <v>0</v>
      </c>
      <c r="K422" t="e">
        <f>VLOOKUP(J422,Sheet27!C:J,8,0)</f>
        <v>#N/A</v>
      </c>
      <c r="L422" s="87"/>
      <c r="M422" t="e">
        <f t="shared" si="21"/>
        <v>#N/A</v>
      </c>
    </row>
    <row r="423" spans="1:14" ht="15.75">
      <c r="A423" s="1358"/>
      <c r="B423" s="1358"/>
      <c r="C423" s="1000" t="s">
        <v>2547</v>
      </c>
      <c r="D423" s="1002">
        <v>1310399.78</v>
      </c>
      <c r="E423" s="1002"/>
      <c r="F423" s="133">
        <f t="shared" si="19"/>
        <v>1310399.78</v>
      </c>
      <c r="G423" s="133"/>
      <c r="I423" s="87">
        <v>0</v>
      </c>
      <c r="K423" t="e">
        <f>VLOOKUP(J423,Sheet27!C:J,8,0)</f>
        <v>#N/A</v>
      </c>
      <c r="L423" s="87"/>
      <c r="M423" t="e">
        <f t="shared" si="21"/>
        <v>#N/A</v>
      </c>
    </row>
    <row r="424" spans="1:14" ht="15.75">
      <c r="A424" s="1358"/>
      <c r="B424" s="1358"/>
      <c r="C424" s="1033" t="s">
        <v>2773</v>
      </c>
      <c r="D424" s="1002"/>
      <c r="E424" s="1002">
        <v>255600.59</v>
      </c>
      <c r="F424" s="133">
        <f t="shared" si="19"/>
        <v>255600.59</v>
      </c>
      <c r="G424" s="133"/>
      <c r="I424" s="87">
        <v>343740.24</v>
      </c>
      <c r="J424" t="s">
        <v>1545</v>
      </c>
      <c r="K424">
        <f>VLOOKUP(J424,Sheet27!C:J,8,0)</f>
        <v>343079.99999999994</v>
      </c>
      <c r="L424" s="87">
        <f>I424/K424</f>
        <v>1.0019244491080799</v>
      </c>
      <c r="M424">
        <f t="shared" si="21"/>
        <v>0.19244491080798909</v>
      </c>
    </row>
    <row r="425" spans="1:14" ht="15.75">
      <c r="A425" s="1358"/>
      <c r="B425" s="1358"/>
      <c r="C425" s="1033" t="s">
        <v>2774</v>
      </c>
      <c r="D425" s="1002"/>
      <c r="E425" s="1002">
        <v>1030480.47</v>
      </c>
      <c r="F425" s="133">
        <f t="shared" si="19"/>
        <v>1030480.47</v>
      </c>
      <c r="G425" s="133"/>
      <c r="I425" s="87">
        <v>1231761.72</v>
      </c>
      <c r="J425" t="s">
        <v>1543</v>
      </c>
      <c r="K425">
        <f>VLOOKUP(J425,Sheet27!C:J,8,0)</f>
        <v>1382264.7609999962</v>
      </c>
      <c r="L425" s="87">
        <f>I425/K425</f>
        <v>0.89111851416141497</v>
      </c>
      <c r="M425">
        <f t="shared" si="21"/>
        <v>-10.888148583858506</v>
      </c>
    </row>
    <row r="426" spans="1:14" ht="15.75">
      <c r="A426" s="1358"/>
      <c r="B426" s="1358"/>
      <c r="C426" s="1033" t="s">
        <v>2664</v>
      </c>
      <c r="D426" s="1002"/>
      <c r="E426" s="1002">
        <v>860480.47</v>
      </c>
      <c r="F426" s="133">
        <f t="shared" si="19"/>
        <v>860480.47</v>
      </c>
      <c r="G426" s="133"/>
      <c r="I426" s="87">
        <v>1125240.23</v>
      </c>
      <c r="J426" t="s">
        <v>1540</v>
      </c>
      <c r="K426">
        <f>VLOOKUP(J426,Sheet27!C:J,8,0)</f>
        <v>1211799.9999999884</v>
      </c>
      <c r="L426" s="87">
        <f>I426/K426</f>
        <v>0.92856926060406897</v>
      </c>
      <c r="M426">
        <f t="shared" si="21"/>
        <v>-7.1430739395931013</v>
      </c>
    </row>
    <row r="427" spans="1:14" ht="15.75">
      <c r="A427" s="1358"/>
      <c r="B427" s="1358"/>
      <c r="C427" s="1033" t="s">
        <v>2775</v>
      </c>
      <c r="D427" s="1034"/>
      <c r="E427" s="1034">
        <v>262039.06</v>
      </c>
      <c r="F427" s="133">
        <f t="shared" si="19"/>
        <v>262039.06</v>
      </c>
      <c r="G427" s="133"/>
      <c r="I427" s="87">
        <v>374921.88</v>
      </c>
      <c r="J427" t="s">
        <v>1542</v>
      </c>
      <c r="K427">
        <f>VLOOKUP(J427,Sheet27!C:J,8,0)</f>
        <v>388620</v>
      </c>
      <c r="L427" s="87">
        <f>I427/K427</f>
        <v>0.96475189130770422</v>
      </c>
      <c r="M427">
        <f t="shared" si="21"/>
        <v>-3.5248108692295803</v>
      </c>
    </row>
    <row r="428" spans="1:14" ht="15.75">
      <c r="A428" s="1358"/>
      <c r="B428" s="1358"/>
      <c r="C428" s="1000" t="s">
        <v>91</v>
      </c>
      <c r="D428" s="1003">
        <v>2467528.19</v>
      </c>
      <c r="E428" s="1003">
        <v>2408600.59</v>
      </c>
      <c r="F428" s="133">
        <f t="shared" si="19"/>
        <v>4876128.7799999993</v>
      </c>
      <c r="G428" s="133"/>
      <c r="I428" s="87">
        <v>1702138.92</v>
      </c>
      <c r="K428" t="e">
        <f>VLOOKUP(J428,Sheet27!C:J,8,0)</f>
        <v>#N/A</v>
      </c>
      <c r="L428" s="87"/>
      <c r="M428" t="e">
        <f t="shared" si="21"/>
        <v>#N/A</v>
      </c>
    </row>
    <row r="429" spans="1:14" ht="15.75">
      <c r="A429" s="1358"/>
      <c r="B429" s="1032"/>
      <c r="C429" s="1000"/>
      <c r="D429" s="1003"/>
      <c r="E429" s="1003"/>
      <c r="F429" s="133">
        <f t="shared" si="19"/>
        <v>0</v>
      </c>
      <c r="G429" s="133"/>
      <c r="I429" s="87" t="e">
        <f>#N/A</f>
        <v>#N/A</v>
      </c>
      <c r="K429" t="e">
        <f>VLOOKUP(J429,Sheet27!C:J,8,0)</f>
        <v>#N/A</v>
      </c>
      <c r="L429" s="87"/>
      <c r="M429" t="e">
        <f t="shared" si="21"/>
        <v>#N/A</v>
      </c>
    </row>
    <row r="430" spans="1:14" ht="15.75">
      <c r="A430" s="1358">
        <v>55</v>
      </c>
      <c r="B430" s="1358" t="s">
        <v>2776</v>
      </c>
      <c r="C430" s="1000" t="s">
        <v>2546</v>
      </c>
      <c r="D430" s="1002">
        <v>1743480.47</v>
      </c>
      <c r="E430" s="1002"/>
      <c r="F430" s="133">
        <f t="shared" si="19"/>
        <v>1743480.47</v>
      </c>
      <c r="G430" s="133">
        <v>3.83</v>
      </c>
      <c r="I430" s="87">
        <v>0</v>
      </c>
      <c r="K430" t="e">
        <f>VLOOKUP(J430,Sheet27!C:J,8,0)</f>
        <v>#N/A</v>
      </c>
      <c r="L430" s="87"/>
      <c r="M430" t="e">
        <f t="shared" si="21"/>
        <v>#N/A</v>
      </c>
    </row>
    <row r="431" spans="1:14" ht="15.75">
      <c r="A431" s="1358"/>
      <c r="B431" s="1358"/>
      <c r="C431" s="1000" t="s">
        <v>2547</v>
      </c>
      <c r="D431" s="1002">
        <v>730980.47</v>
      </c>
      <c r="E431" s="1002"/>
      <c r="F431" s="133">
        <f t="shared" si="19"/>
        <v>730980.47</v>
      </c>
      <c r="G431" s="133"/>
      <c r="I431" s="87">
        <v>0</v>
      </c>
      <c r="K431" t="e">
        <f>VLOOKUP(J431,Sheet27!C:J,8,0)</f>
        <v>#N/A</v>
      </c>
      <c r="L431" s="87"/>
      <c r="M431" t="e">
        <f t="shared" si="21"/>
        <v>#N/A</v>
      </c>
    </row>
    <row r="432" spans="1:14" ht="15.75">
      <c r="A432" s="1358"/>
      <c r="B432" s="1358"/>
      <c r="C432" s="1033" t="s">
        <v>2777</v>
      </c>
      <c r="D432" s="1002"/>
      <c r="E432" s="1002">
        <v>587159.18000000005</v>
      </c>
      <c r="F432" s="133">
        <f t="shared" si="19"/>
        <v>587159.18000000005</v>
      </c>
      <c r="G432" s="133"/>
      <c r="I432" s="87">
        <v>808259.76</v>
      </c>
      <c r="J432" t="s">
        <v>1553</v>
      </c>
      <c r="K432">
        <f>VLOOKUP(J432,Sheet27!C:J,8,0)</f>
        <v>875800.00000001746</v>
      </c>
      <c r="L432" s="87">
        <f>I432/K432</f>
        <v>0.92288166247999992</v>
      </c>
      <c r="M432">
        <f t="shared" si="21"/>
        <v>-7.711833752000012</v>
      </c>
    </row>
    <row r="433" spans="1:13" ht="15.75">
      <c r="A433" s="1358"/>
      <c r="B433" s="1358"/>
      <c r="C433" s="1033" t="s">
        <v>2778</v>
      </c>
      <c r="D433" s="1002"/>
      <c r="E433" s="1002">
        <v>1150318.3600000001</v>
      </c>
      <c r="F433" s="133">
        <f t="shared" si="19"/>
        <v>1150318.3600000001</v>
      </c>
      <c r="G433" s="133"/>
      <c r="I433" s="87">
        <v>1587720.7</v>
      </c>
      <c r="J433" t="s">
        <v>1551</v>
      </c>
      <c r="K433">
        <f>VLOOKUP(J433,Sheet27!C:J,8,0)</f>
        <v>1587600.0000000021</v>
      </c>
      <c r="L433" s="87">
        <f>I433/K433</f>
        <v>1.0000760267069777</v>
      </c>
      <c r="M433">
        <f t="shared" si="21"/>
        <v>7.6026706977738593E-3</v>
      </c>
    </row>
    <row r="434" spans="1:13" ht="15.75">
      <c r="A434" s="1358"/>
      <c r="B434" s="1358"/>
      <c r="C434" s="1033" t="s">
        <v>2779</v>
      </c>
      <c r="D434" s="1002"/>
      <c r="E434" s="1002">
        <v>726398.44</v>
      </c>
      <c r="F434" s="133">
        <f t="shared" si="19"/>
        <v>726398.44</v>
      </c>
      <c r="G434" s="133"/>
      <c r="I434" s="87">
        <v>1213078.1299999999</v>
      </c>
      <c r="J434" t="s">
        <v>1550</v>
      </c>
      <c r="K434">
        <f>VLOOKUP(J434,Sheet27!C:J,8,0)</f>
        <v>1213320.0000000016</v>
      </c>
      <c r="L434" s="87">
        <f>I434/K434</f>
        <v>0.9998006544027942</v>
      </c>
      <c r="M434">
        <f t="shared" si="21"/>
        <v>-1.9934559720579999E-2</v>
      </c>
    </row>
    <row r="435" spans="1:13" ht="15.75">
      <c r="A435" s="1358"/>
      <c r="B435" s="1358"/>
      <c r="C435" s="1000" t="s">
        <v>91</v>
      </c>
      <c r="D435" s="1002">
        <v>2474460.94</v>
      </c>
      <c r="E435" s="1003">
        <v>2463875.98</v>
      </c>
      <c r="F435" s="133">
        <f t="shared" si="19"/>
        <v>4938336.92</v>
      </c>
      <c r="G435" s="133"/>
      <c r="I435" s="87">
        <v>1702138.92</v>
      </c>
      <c r="K435" t="e">
        <f>VLOOKUP(J435,Sheet27!C:J,8,0)</f>
        <v>#N/A</v>
      </c>
      <c r="L435" s="87"/>
      <c r="M435" t="e">
        <f t="shared" si="21"/>
        <v>#N/A</v>
      </c>
    </row>
    <row r="436" spans="1:13" ht="15.75">
      <c r="A436" s="1035"/>
      <c r="B436" s="1035"/>
      <c r="C436" s="1036"/>
      <c r="D436" s="1037"/>
      <c r="E436" s="1038"/>
      <c r="F436" s="133">
        <f t="shared" si="19"/>
        <v>0</v>
      </c>
      <c r="G436" s="133"/>
      <c r="I436" s="87" t="e">
        <f>#N/A</f>
        <v>#N/A</v>
      </c>
      <c r="K436" t="e">
        <f>VLOOKUP(J436,Sheet27!C:J,8,0)</f>
        <v>#N/A</v>
      </c>
      <c r="L436" s="87"/>
      <c r="M436" t="e">
        <f t="shared" si="21"/>
        <v>#N/A</v>
      </c>
    </row>
    <row r="437" spans="1:13" ht="15.75">
      <c r="A437" s="1358">
        <v>56</v>
      </c>
      <c r="B437" s="1358" t="s">
        <v>1296</v>
      </c>
      <c r="C437" s="1000" t="s">
        <v>2546</v>
      </c>
      <c r="D437" s="1002">
        <v>2300940.31</v>
      </c>
      <c r="E437" s="1002"/>
      <c r="F437" s="133">
        <f t="shared" si="19"/>
        <v>2300940.31</v>
      </c>
      <c r="G437" s="133">
        <v>2.5499999999999998</v>
      </c>
      <c r="I437" s="87">
        <v>0</v>
      </c>
      <c r="K437" t="e">
        <f>VLOOKUP(J437,Sheet27!C:J,8,0)</f>
        <v>#N/A</v>
      </c>
      <c r="L437" s="87"/>
      <c r="M437" t="e">
        <f t="shared" si="21"/>
        <v>#N/A</v>
      </c>
    </row>
    <row r="438" spans="1:13" ht="15.75">
      <c r="A438" s="1358"/>
      <c r="B438" s="1358"/>
      <c r="C438" s="1000" t="s">
        <v>2780</v>
      </c>
      <c r="D438" s="1002"/>
      <c r="E438" s="1002">
        <v>805919.92</v>
      </c>
      <c r="F438" s="133">
        <f t="shared" si="19"/>
        <v>805919.92</v>
      </c>
      <c r="G438" s="133"/>
      <c r="I438" s="87">
        <v>1111200.19</v>
      </c>
      <c r="K438" t="e">
        <f>VLOOKUP(J438,Sheet27!C:J,8,0)</f>
        <v>#N/A</v>
      </c>
      <c r="L438" s="87" t="e">
        <f>I438/K438</f>
        <v>#N/A</v>
      </c>
      <c r="M438" t="e">
        <f t="shared" si="21"/>
        <v>#N/A</v>
      </c>
    </row>
    <row r="439" spans="1:13" ht="15.75">
      <c r="A439" s="1358"/>
      <c r="B439" s="1358"/>
      <c r="C439" s="1000" t="s">
        <v>2781</v>
      </c>
      <c r="D439" s="1002"/>
      <c r="E439" s="1002">
        <v>159560.04999999999</v>
      </c>
      <c r="F439" s="133">
        <f t="shared" si="19"/>
        <v>159560.04999999999</v>
      </c>
      <c r="G439" s="133"/>
      <c r="I439" s="87">
        <v>208319.82</v>
      </c>
      <c r="K439" t="e">
        <f>VLOOKUP(J439,Sheet27!C:J,8,0)</f>
        <v>#N/A</v>
      </c>
      <c r="L439" s="87" t="e">
        <f>I439/K439</f>
        <v>#N/A</v>
      </c>
      <c r="M439" t="e">
        <f t="shared" si="21"/>
        <v>#N/A</v>
      </c>
    </row>
    <row r="440" spans="1:13" ht="15.75">
      <c r="A440" s="1358"/>
      <c r="B440" s="1358"/>
      <c r="C440" s="1000" t="s">
        <v>2668</v>
      </c>
      <c r="D440" s="1002"/>
      <c r="E440" s="1002"/>
      <c r="F440" s="133">
        <f t="shared" si="19"/>
        <v>0</v>
      </c>
      <c r="G440" s="133"/>
      <c r="I440" s="87">
        <v>828600.1</v>
      </c>
      <c r="K440" t="e">
        <f>VLOOKUP(J440,Sheet27!C:J,8,0)</f>
        <v>#N/A</v>
      </c>
      <c r="L440" s="87" t="e">
        <f>I440/K440</f>
        <v>#N/A</v>
      </c>
      <c r="M440" t="e">
        <f t="shared" si="21"/>
        <v>#N/A</v>
      </c>
    </row>
    <row r="441" spans="1:13" ht="15.75">
      <c r="A441" s="1358"/>
      <c r="B441" s="1358"/>
      <c r="C441" s="1000" t="s">
        <v>71</v>
      </c>
      <c r="D441" s="1002">
        <v>2300940.31</v>
      </c>
      <c r="E441" s="1003">
        <v>965479.97</v>
      </c>
      <c r="F441" s="133">
        <f t="shared" si="19"/>
        <v>3266420.2800000003</v>
      </c>
      <c r="G441" s="133"/>
      <c r="I441" s="87">
        <v>2699383.72</v>
      </c>
      <c r="K441" t="e">
        <f>VLOOKUP(J441,Sheet27!C:J,8,0)</f>
        <v>#N/A</v>
      </c>
      <c r="L441" s="87"/>
      <c r="M441" t="e">
        <f t="shared" si="21"/>
        <v>#N/A</v>
      </c>
    </row>
    <row r="442" spans="1:13" ht="15.75">
      <c r="A442" s="1358"/>
      <c r="B442" s="1358"/>
      <c r="C442" s="1000"/>
      <c r="D442" s="1002"/>
      <c r="E442" s="1003"/>
      <c r="F442" s="133">
        <f t="shared" si="19"/>
        <v>0</v>
      </c>
      <c r="G442" s="133">
        <v>2.86</v>
      </c>
      <c r="I442" s="87" t="e">
        <f>#N/A</f>
        <v>#N/A</v>
      </c>
      <c r="K442" t="e">
        <f>VLOOKUP(J442,Sheet27!C:J,8,0)</f>
        <v>#N/A</v>
      </c>
      <c r="L442" s="87"/>
      <c r="M442" t="e">
        <f t="shared" si="21"/>
        <v>#N/A</v>
      </c>
    </row>
    <row r="443" spans="1:13" ht="15.75">
      <c r="A443" s="1358">
        <v>57</v>
      </c>
      <c r="B443" s="1358" t="s">
        <v>2782</v>
      </c>
      <c r="C443" s="1000" t="s">
        <v>2783</v>
      </c>
      <c r="D443" s="1002">
        <v>0</v>
      </c>
      <c r="E443" s="1002"/>
      <c r="F443" s="133">
        <f t="shared" si="19"/>
        <v>0</v>
      </c>
      <c r="G443" s="133"/>
      <c r="I443" s="87">
        <v>0</v>
      </c>
      <c r="K443" t="e">
        <f>VLOOKUP(J443,Sheet27!C:J,8,0)</f>
        <v>#N/A</v>
      </c>
      <c r="L443" s="87"/>
      <c r="M443" t="e">
        <f t="shared" si="21"/>
        <v>#N/A</v>
      </c>
    </row>
    <row r="444" spans="1:13" ht="15.75">
      <c r="A444" s="1358"/>
      <c r="B444" s="1358"/>
      <c r="C444" s="1000" t="s">
        <v>2547</v>
      </c>
      <c r="D444" s="1002">
        <v>924659.91</v>
      </c>
      <c r="E444" s="1002"/>
      <c r="F444" s="133">
        <f t="shared" si="19"/>
        <v>924659.91</v>
      </c>
      <c r="G444" s="133"/>
      <c r="I444" s="87">
        <v>0</v>
      </c>
      <c r="K444" t="e">
        <f>VLOOKUP(J444,Sheet27!C:J,8,0)</f>
        <v>#N/A</v>
      </c>
      <c r="L444" s="87"/>
      <c r="M444" t="e">
        <f t="shared" si="21"/>
        <v>#N/A</v>
      </c>
    </row>
    <row r="445" spans="1:13" ht="15.75">
      <c r="A445" s="1358"/>
      <c r="B445" s="1358"/>
      <c r="C445" s="1000" t="s">
        <v>2784</v>
      </c>
      <c r="D445" s="1002"/>
      <c r="E445" s="1002">
        <v>140399.9</v>
      </c>
      <c r="F445" s="133">
        <f t="shared" si="19"/>
        <v>140399.9</v>
      </c>
      <c r="G445" s="133"/>
      <c r="I445" s="87">
        <v>217320.07</v>
      </c>
      <c r="J445">
        <v>5037183</v>
      </c>
      <c r="K445">
        <f>VLOOKUP(J445,Sheet27!C:J,8,0)</f>
        <v>221044.00000000009</v>
      </c>
      <c r="L445" s="87">
        <f>I445/K445</f>
        <v>0.98315299216445562</v>
      </c>
      <c r="M445">
        <f t="shared" si="21"/>
        <v>-1.6847007835544412</v>
      </c>
    </row>
    <row r="446" spans="1:13" ht="15.75">
      <c r="A446" s="1358"/>
      <c r="B446" s="1358"/>
      <c r="C446" s="1000" t="s">
        <v>2785</v>
      </c>
      <c r="D446" s="1002"/>
      <c r="E446" s="1002">
        <v>779719.73</v>
      </c>
      <c r="F446" s="133">
        <f t="shared" si="19"/>
        <v>779719.73</v>
      </c>
      <c r="G446" s="133"/>
      <c r="I446" s="87">
        <v>1041680.18</v>
      </c>
      <c r="J446" t="s">
        <v>1586</v>
      </c>
      <c r="K446">
        <f>VLOOKUP(J446,Sheet27!C:J,8,0)</f>
        <v>1041580</v>
      </c>
      <c r="L446" s="87">
        <f>I446/K446</f>
        <v>1.0000961808022428</v>
      </c>
      <c r="M446">
        <f t="shared" si="21"/>
        <v>9.6180802242795769E-3</v>
      </c>
    </row>
    <row r="447" spans="1:13" ht="15.75">
      <c r="A447" s="1358"/>
      <c r="B447" s="1358"/>
      <c r="C447" s="1039" t="s">
        <v>71</v>
      </c>
      <c r="D447" s="1002">
        <v>924659.91</v>
      </c>
      <c r="E447" s="1003">
        <v>920119.62</v>
      </c>
      <c r="F447" s="133">
        <f t="shared" si="19"/>
        <v>1844779.53</v>
      </c>
      <c r="G447" s="133"/>
      <c r="I447" s="87">
        <v>2699383.72</v>
      </c>
      <c r="K447" t="e">
        <f>VLOOKUP(J447,Sheet27!C:J,8,0)</f>
        <v>#N/A</v>
      </c>
      <c r="L447" s="87"/>
      <c r="M447" t="e">
        <f t="shared" si="21"/>
        <v>#N/A</v>
      </c>
    </row>
    <row r="448" spans="1:13" ht="15.75">
      <c r="A448" s="1035"/>
      <c r="B448" s="1035"/>
      <c r="C448" s="1040"/>
      <c r="D448" s="1037"/>
      <c r="E448" s="1038"/>
      <c r="F448" s="133">
        <f t="shared" si="19"/>
        <v>0</v>
      </c>
      <c r="G448" s="133">
        <v>-94.26</v>
      </c>
      <c r="I448" s="87" t="e">
        <f>#N/A</f>
        <v>#N/A</v>
      </c>
      <c r="K448" t="e">
        <f>VLOOKUP(J448,Sheet27!C:J,8,0)</f>
        <v>#N/A</v>
      </c>
      <c r="L448" s="87"/>
      <c r="M448" t="e">
        <f t="shared" si="21"/>
        <v>#N/A</v>
      </c>
    </row>
    <row r="449" spans="1:13" ht="15.75">
      <c r="A449" s="1358">
        <v>58</v>
      </c>
      <c r="B449" s="1358" t="s">
        <v>1221</v>
      </c>
      <c r="C449" s="1039" t="s">
        <v>2546</v>
      </c>
      <c r="D449" s="1002">
        <v>2480579.9500000002</v>
      </c>
      <c r="E449" s="1002"/>
      <c r="F449" s="133">
        <f t="shared" si="19"/>
        <v>2480579.9500000002</v>
      </c>
      <c r="G449" s="133"/>
      <c r="I449" s="87">
        <v>0</v>
      </c>
      <c r="K449" t="e">
        <f>VLOOKUP(J449,Sheet27!C:J,8,0)</f>
        <v>#N/A</v>
      </c>
      <c r="L449" s="87"/>
      <c r="M449" t="e">
        <f t="shared" si="21"/>
        <v>#N/A</v>
      </c>
    </row>
    <row r="450" spans="1:13" ht="15.75">
      <c r="A450" s="1358"/>
      <c r="B450" s="1358"/>
      <c r="C450" s="1039" t="s">
        <v>2786</v>
      </c>
      <c r="D450" s="1002"/>
      <c r="E450" s="1002">
        <v>388859.98</v>
      </c>
      <c r="F450" s="133">
        <f t="shared" si="19"/>
        <v>388859.98</v>
      </c>
      <c r="G450" s="133"/>
      <c r="I450" s="87">
        <v>475500</v>
      </c>
      <c r="J450" t="s">
        <v>2053</v>
      </c>
      <c r="K450">
        <f>VLOOKUP(J450,Sheet27!C:J,8,0)</f>
        <v>492500</v>
      </c>
      <c r="L450" s="87">
        <f>I450-K450</f>
        <v>-17000</v>
      </c>
      <c r="M450">
        <f t="shared" si="21"/>
        <v>-3.451776649746193</v>
      </c>
    </row>
    <row r="451" spans="1:13" ht="15.75">
      <c r="A451" s="1358"/>
      <c r="B451" s="1358"/>
      <c r="C451" s="1039" t="s">
        <v>2739</v>
      </c>
      <c r="D451" s="1002"/>
      <c r="E451" s="1002">
        <v>1498379.88</v>
      </c>
      <c r="F451" s="133">
        <f t="shared" si="19"/>
        <v>1498379.88</v>
      </c>
      <c r="G451" s="133"/>
      <c r="I451" s="87">
        <v>0</v>
      </c>
      <c r="J451" t="s">
        <v>2051</v>
      </c>
      <c r="K451">
        <f>VLOOKUP(J451,Sheet27!C:J,8,0)</f>
        <v>1934640.0000000002</v>
      </c>
      <c r="L451" s="87">
        <f>I451/K451</f>
        <v>0</v>
      </c>
      <c r="M451">
        <f t="shared" si="21"/>
        <v>-100</v>
      </c>
    </row>
    <row r="452" spans="1:13" ht="15.75">
      <c r="A452" s="1358"/>
      <c r="B452" s="1358"/>
      <c r="C452" s="1039" t="s">
        <v>2787</v>
      </c>
      <c r="D452" s="1002">
        <v>240</v>
      </c>
      <c r="E452" s="1002">
        <v>105720.01059999999</v>
      </c>
      <c r="F452" s="314">
        <f t="shared" si="19"/>
        <v>105960.01059999999</v>
      </c>
      <c r="G452" s="133">
        <v>-9.68</v>
      </c>
      <c r="I452" s="87">
        <f t="shared" ref="I452:I466" si="23">D452+E452</f>
        <v>105960.01059999999</v>
      </c>
      <c r="J452" t="s">
        <v>2055</v>
      </c>
      <c r="K452">
        <v>802379.97</v>
      </c>
      <c r="L452" s="87">
        <f>I452-K452</f>
        <v>-696419.95939999993</v>
      </c>
      <c r="M452">
        <f t="shared" si="21"/>
        <v>-86.794285181371109</v>
      </c>
    </row>
    <row r="453" spans="1:13" ht="15.75">
      <c r="A453" s="1358"/>
      <c r="B453" s="1358"/>
      <c r="C453" s="1039" t="s">
        <v>71</v>
      </c>
      <c r="D453" s="1002">
        <f>SUM(D449:D452)</f>
        <v>2480819.9500000002</v>
      </c>
      <c r="E453" s="1003">
        <f>SUM(E449:E452)</f>
        <v>1992959.8705999998</v>
      </c>
      <c r="F453" s="133">
        <f t="shared" si="19"/>
        <v>4473779.8206000002</v>
      </c>
      <c r="G453" s="133"/>
      <c r="I453" s="87">
        <f t="shared" si="23"/>
        <v>4473779.8206000002</v>
      </c>
      <c r="L453" s="87">
        <f>I453-K453</f>
        <v>4473779.8206000002</v>
      </c>
    </row>
    <row r="454" spans="1:13">
      <c r="A454" s="133"/>
      <c r="B454" s="133"/>
      <c r="C454" s="133"/>
      <c r="D454" s="133"/>
      <c r="E454" s="133"/>
      <c r="F454" s="133"/>
      <c r="G454" s="133"/>
      <c r="I454" s="87">
        <f t="shared" si="23"/>
        <v>0</v>
      </c>
      <c r="L454" s="87">
        <f>I454-K454</f>
        <v>0</v>
      </c>
    </row>
    <row r="455" spans="1:13">
      <c r="A455" s="133">
        <v>1</v>
      </c>
      <c r="B455" s="133" t="s">
        <v>2734</v>
      </c>
      <c r="C455" s="133" t="s">
        <v>2788</v>
      </c>
      <c r="D455" s="133">
        <v>0</v>
      </c>
      <c r="E455" s="133">
        <v>396900.88</v>
      </c>
      <c r="F455" s="133"/>
      <c r="G455" s="133"/>
      <c r="I455" s="87">
        <f t="shared" si="23"/>
        <v>396900.88</v>
      </c>
      <c r="L455" s="87">
        <f>I455-K455</f>
        <v>396900.88</v>
      </c>
    </row>
    <row r="456" spans="1:13">
      <c r="A456" s="133"/>
      <c r="B456" s="133"/>
      <c r="C456" s="133"/>
      <c r="D456" s="133"/>
      <c r="E456" s="133"/>
      <c r="F456" s="133"/>
      <c r="G456" s="133"/>
      <c r="I456" s="87">
        <f t="shared" si="23"/>
        <v>0</v>
      </c>
      <c r="L456" s="87">
        <f>I456-K456</f>
        <v>0</v>
      </c>
    </row>
    <row r="457" spans="1:13">
      <c r="A457" s="133">
        <v>2</v>
      </c>
      <c r="B457" s="133" t="s">
        <v>904</v>
      </c>
      <c r="C457" s="133" t="s">
        <v>2789</v>
      </c>
      <c r="D457" s="133">
        <v>0</v>
      </c>
      <c r="E457" s="133">
        <v>1491301.75</v>
      </c>
      <c r="F457" s="133"/>
      <c r="G457" s="133"/>
      <c r="I457" s="87">
        <f t="shared" si="23"/>
        <v>1491301.75</v>
      </c>
    </row>
    <row r="458" spans="1:13">
      <c r="A458" s="133"/>
      <c r="B458" s="133"/>
      <c r="C458" s="133"/>
      <c r="D458" s="133"/>
      <c r="E458" s="133"/>
      <c r="F458" s="133"/>
      <c r="G458" s="133"/>
      <c r="I458" s="87">
        <f t="shared" si="23"/>
        <v>0</v>
      </c>
    </row>
    <row r="459" spans="1:13">
      <c r="A459" s="133">
        <v>3</v>
      </c>
      <c r="B459" s="133" t="s">
        <v>2620</v>
      </c>
      <c r="C459" s="133" t="s">
        <v>2790</v>
      </c>
      <c r="D459" s="133"/>
      <c r="E459" s="133"/>
      <c r="F459" s="133"/>
      <c r="G459" s="133"/>
      <c r="I459" s="87">
        <f t="shared" si="23"/>
        <v>0</v>
      </c>
    </row>
    <row r="460" spans="1:13">
      <c r="A460" s="133"/>
      <c r="B460" s="133"/>
      <c r="C460" s="133"/>
      <c r="D460" s="133"/>
      <c r="E460" s="133"/>
      <c r="F460" s="133"/>
      <c r="G460" s="133"/>
      <c r="I460" s="87">
        <f t="shared" si="23"/>
        <v>0</v>
      </c>
    </row>
    <row r="461" spans="1:13">
      <c r="A461" s="133">
        <v>4</v>
      </c>
      <c r="B461" s="133" t="s">
        <v>210</v>
      </c>
      <c r="C461" s="133" t="s">
        <v>2791</v>
      </c>
      <c r="D461" s="133">
        <v>7560.79</v>
      </c>
      <c r="E461" s="133">
        <v>383040.52</v>
      </c>
      <c r="F461" s="133"/>
      <c r="G461" s="133"/>
      <c r="I461" s="87">
        <f t="shared" si="23"/>
        <v>390601.31</v>
      </c>
    </row>
    <row r="462" spans="1:13">
      <c r="A462" s="133"/>
      <c r="B462" s="133"/>
      <c r="C462" s="133"/>
      <c r="D462" s="133"/>
      <c r="E462" s="133"/>
      <c r="F462" s="133"/>
      <c r="G462" s="133"/>
      <c r="I462" s="87">
        <f t="shared" si="23"/>
        <v>0</v>
      </c>
    </row>
    <row r="463" spans="1:13">
      <c r="A463" s="133">
        <v>5</v>
      </c>
      <c r="B463" s="133" t="s">
        <v>961</v>
      </c>
      <c r="C463" s="133" t="s">
        <v>2792</v>
      </c>
      <c r="D463" s="133">
        <v>10709.47</v>
      </c>
      <c r="E463" s="133">
        <v>0</v>
      </c>
      <c r="F463" s="133"/>
      <c r="G463" s="133"/>
      <c r="I463" s="87">
        <f t="shared" si="23"/>
        <v>10709.47</v>
      </c>
    </row>
    <row r="464" spans="1:13">
      <c r="A464" s="133"/>
      <c r="B464" s="133"/>
      <c r="C464" s="133"/>
      <c r="D464" s="133"/>
      <c r="E464" s="133"/>
      <c r="F464" s="133"/>
      <c r="G464" s="133"/>
      <c r="I464" s="87">
        <f t="shared" si="23"/>
        <v>0</v>
      </c>
    </row>
    <row r="465" spans="1:9">
      <c r="A465" s="133">
        <v>6</v>
      </c>
      <c r="B465" s="133" t="s">
        <v>2160</v>
      </c>
      <c r="C465" s="133" t="s">
        <v>2793</v>
      </c>
      <c r="D465" s="133">
        <v>2664726.56</v>
      </c>
      <c r="E465" s="133">
        <v>0</v>
      </c>
      <c r="F465" s="133"/>
      <c r="G465" s="133"/>
      <c r="I465" s="87">
        <f t="shared" si="23"/>
        <v>2664726.56</v>
      </c>
    </row>
    <row r="466" spans="1:9">
      <c r="I466" s="87">
        <f t="shared" si="23"/>
        <v>0</v>
      </c>
    </row>
  </sheetData>
  <autoFilter ref="I7:M466"/>
  <mergeCells count="122">
    <mergeCell ref="A1:G1"/>
    <mergeCell ref="A2:G2"/>
    <mergeCell ref="A3:G3"/>
    <mergeCell ref="A4:G4"/>
    <mergeCell ref="A7:A14"/>
    <mergeCell ref="B7:B14"/>
    <mergeCell ref="A16:A21"/>
    <mergeCell ref="B16:B21"/>
    <mergeCell ref="A23:A28"/>
    <mergeCell ref="B23:B28"/>
    <mergeCell ref="A30:A36"/>
    <mergeCell ref="B30:B36"/>
    <mergeCell ref="A38:A41"/>
    <mergeCell ref="B38:B41"/>
    <mergeCell ref="A43:A48"/>
    <mergeCell ref="B43:B48"/>
    <mergeCell ref="A50:A54"/>
    <mergeCell ref="B50:B54"/>
    <mergeCell ref="A56:A63"/>
    <mergeCell ref="B56:B63"/>
    <mergeCell ref="A65:A68"/>
    <mergeCell ref="B65:B68"/>
    <mergeCell ref="A70:A73"/>
    <mergeCell ref="B70:B73"/>
    <mergeCell ref="A75:A83"/>
    <mergeCell ref="B75:B83"/>
    <mergeCell ref="A84:A89"/>
    <mergeCell ref="B84:B89"/>
    <mergeCell ref="A90:A93"/>
    <mergeCell ref="B90:B93"/>
    <mergeCell ref="A94:A98"/>
    <mergeCell ref="B94:B98"/>
    <mergeCell ref="A99:A102"/>
    <mergeCell ref="B99:B102"/>
    <mergeCell ref="A103:A109"/>
    <mergeCell ref="B103:B109"/>
    <mergeCell ref="A110:A118"/>
    <mergeCell ref="B110:B118"/>
    <mergeCell ref="A119:A125"/>
    <mergeCell ref="B119:B125"/>
    <mergeCell ref="A126:A130"/>
    <mergeCell ref="B126:B130"/>
    <mergeCell ref="A131:A137"/>
    <mergeCell ref="B131:B137"/>
    <mergeCell ref="A138:A144"/>
    <mergeCell ref="B138:B143"/>
    <mergeCell ref="A145:A152"/>
    <mergeCell ref="B145:B152"/>
    <mergeCell ref="A153:A162"/>
    <mergeCell ref="B153:B161"/>
    <mergeCell ref="A163:A169"/>
    <mergeCell ref="B163:B168"/>
    <mergeCell ref="A170:A182"/>
    <mergeCell ref="B170:B179"/>
    <mergeCell ref="A183:A194"/>
    <mergeCell ref="B183:B193"/>
    <mergeCell ref="A195:A202"/>
    <mergeCell ref="B195:B201"/>
    <mergeCell ref="A203:A206"/>
    <mergeCell ref="B203:B205"/>
    <mergeCell ref="A207:A213"/>
    <mergeCell ref="B207:B212"/>
    <mergeCell ref="A214:A220"/>
    <mergeCell ref="B214:B219"/>
    <mergeCell ref="A221:A230"/>
    <mergeCell ref="B221:B226"/>
    <mergeCell ref="A231:A235"/>
    <mergeCell ref="B231:B234"/>
    <mergeCell ref="A236:A240"/>
    <mergeCell ref="B236:B239"/>
    <mergeCell ref="A241:A245"/>
    <mergeCell ref="B241:B244"/>
    <mergeCell ref="A246:A250"/>
    <mergeCell ref="B246:B249"/>
    <mergeCell ref="A251:A255"/>
    <mergeCell ref="B251:B254"/>
    <mergeCell ref="A256:A259"/>
    <mergeCell ref="B256:B259"/>
    <mergeCell ref="A260:A265"/>
    <mergeCell ref="B260:B264"/>
    <mergeCell ref="A266:A271"/>
    <mergeCell ref="B266:B270"/>
    <mergeCell ref="A272:A284"/>
    <mergeCell ref="B272:B283"/>
    <mergeCell ref="A285:A290"/>
    <mergeCell ref="B285:B289"/>
    <mergeCell ref="A291:A298"/>
    <mergeCell ref="B291:B297"/>
    <mergeCell ref="A299:A304"/>
    <mergeCell ref="B299:B303"/>
    <mergeCell ref="A305:A313"/>
    <mergeCell ref="B305:B312"/>
    <mergeCell ref="A314:A322"/>
    <mergeCell ref="B314:B321"/>
    <mergeCell ref="A323:A338"/>
    <mergeCell ref="B323:B337"/>
    <mergeCell ref="A339:A348"/>
    <mergeCell ref="B339:B347"/>
    <mergeCell ref="A349:A362"/>
    <mergeCell ref="B349:B361"/>
    <mergeCell ref="A363:A368"/>
    <mergeCell ref="B363:B368"/>
    <mergeCell ref="A371:A376"/>
    <mergeCell ref="B371:B375"/>
    <mergeCell ref="A377:A385"/>
    <mergeCell ref="B377:B384"/>
    <mergeCell ref="A386:A393"/>
    <mergeCell ref="B386:B392"/>
    <mergeCell ref="A394:A407"/>
    <mergeCell ref="B394:B406"/>
    <mergeCell ref="A449:A453"/>
    <mergeCell ref="B449:B453"/>
    <mergeCell ref="A408:A421"/>
    <mergeCell ref="B408:B420"/>
    <mergeCell ref="A422:A429"/>
    <mergeCell ref="B422:B428"/>
    <mergeCell ref="A430:A435"/>
    <mergeCell ref="B430:B435"/>
    <mergeCell ref="A437:A442"/>
    <mergeCell ref="B437:B442"/>
    <mergeCell ref="A443:A447"/>
    <mergeCell ref="B443:B447"/>
  </mergeCells>
  <pageMargins left="0.7" right="0.7" top="0.75" bottom="0.75" header="0.51180555555555496" footer="0.51180555555555496"/>
  <pageSetup firstPageNumber="0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97"/>
  <sheetViews>
    <sheetView topLeftCell="A667" zoomScaleNormal="100" workbookViewId="0">
      <selection activeCell="C676" sqref="C676"/>
    </sheetView>
  </sheetViews>
  <sheetFormatPr defaultRowHeight="15"/>
  <cols>
    <col min="1" max="1" width="5.5703125" customWidth="1"/>
    <col min="2" max="2" width="30.5703125" customWidth="1"/>
    <col min="3" max="3" width="11.140625" customWidth="1"/>
    <col min="4" max="5" width="16.5703125" customWidth="1"/>
    <col min="6" max="6" width="9.42578125" customWidth="1"/>
    <col min="7" max="7" width="9" customWidth="1"/>
    <col min="8" max="8" width="10.7109375" customWidth="1"/>
    <col min="9" max="9" width="10.28515625" customWidth="1"/>
    <col min="10" max="10" width="12.5703125" customWidth="1"/>
    <col min="11" max="11" width="16.7109375" customWidth="1"/>
    <col min="12" max="1025" width="8.7109375" customWidth="1"/>
  </cols>
  <sheetData>
    <row r="1" spans="1:11" ht="18">
      <c r="A1" s="1041" t="s">
        <v>1349</v>
      </c>
      <c r="B1" s="1042"/>
      <c r="C1" s="1042"/>
      <c r="D1" s="1042"/>
      <c r="E1" s="1042"/>
      <c r="F1" s="1042"/>
      <c r="G1" s="1042"/>
      <c r="H1" s="1042"/>
      <c r="I1" s="1042"/>
      <c r="J1" s="1042"/>
      <c r="K1" s="1043"/>
    </row>
    <row r="2" spans="1:11">
      <c r="A2" s="1044" t="s">
        <v>1350</v>
      </c>
      <c r="B2" s="1045"/>
      <c r="C2" s="1046"/>
      <c r="D2" s="1047" t="str">
        <f>'CIRCLE INPUT'!Q3</f>
        <v>OCT.2024</v>
      </c>
      <c r="E2" s="1048"/>
      <c r="F2" s="153"/>
      <c r="G2" s="153"/>
      <c r="H2" s="153"/>
      <c r="I2" s="153"/>
      <c r="J2" s="153"/>
      <c r="K2" s="153"/>
    </row>
    <row r="3" spans="1:11" ht="25.5">
      <c r="A3" s="14" t="s">
        <v>345</v>
      </c>
      <c r="B3" s="725" t="s">
        <v>898</v>
      </c>
      <c r="C3" s="726" t="s">
        <v>1351</v>
      </c>
      <c r="D3" s="1049" t="s">
        <v>1352</v>
      </c>
      <c r="E3" s="1048"/>
      <c r="F3" s="727" t="s">
        <v>1353</v>
      </c>
      <c r="G3" s="14" t="s">
        <v>135</v>
      </c>
      <c r="H3" s="14" t="s">
        <v>13</v>
      </c>
      <c r="I3" s="728" t="s">
        <v>292</v>
      </c>
      <c r="J3" s="727" t="s">
        <v>291</v>
      </c>
      <c r="K3" s="729"/>
    </row>
    <row r="4" spans="1:11" ht="15.75">
      <c r="A4" s="14"/>
      <c r="B4" s="725"/>
      <c r="C4" s="238"/>
      <c r="D4" s="730">
        <v>45412</v>
      </c>
      <c r="E4" s="730">
        <v>45443</v>
      </c>
      <c r="F4" s="14"/>
      <c r="G4" s="14"/>
      <c r="H4" s="14"/>
      <c r="I4" s="14"/>
      <c r="J4" s="731"/>
      <c r="K4" s="153" t="s">
        <v>1354</v>
      </c>
    </row>
    <row r="5" spans="1:11">
      <c r="A5" s="153">
        <v>1</v>
      </c>
      <c r="B5" s="732" t="s">
        <v>1355</v>
      </c>
      <c r="C5" s="733"/>
      <c r="D5" s="153"/>
      <c r="E5" s="153"/>
      <c r="F5" s="153"/>
      <c r="G5" s="153"/>
      <c r="H5" s="153"/>
      <c r="I5" s="153"/>
      <c r="J5" s="153"/>
      <c r="K5" s="153"/>
    </row>
    <row r="6" spans="1:11">
      <c r="A6" s="153">
        <v>1</v>
      </c>
      <c r="B6" s="734" t="s">
        <v>1356</v>
      </c>
      <c r="C6" s="238" t="s">
        <v>1357</v>
      </c>
      <c r="D6" s="153">
        <v>588.27</v>
      </c>
      <c r="E6" s="153">
        <v>588.64</v>
      </c>
      <c r="F6" s="247">
        <f>E6-D6</f>
        <v>0.37000000000000455</v>
      </c>
      <c r="G6" s="153">
        <v>80000</v>
      </c>
      <c r="H6" s="153">
        <f>F6*G6</f>
        <v>29600.000000000364</v>
      </c>
      <c r="I6" s="153"/>
      <c r="J6" s="153">
        <f>H6+I6</f>
        <v>29600.000000000364</v>
      </c>
      <c r="K6" s="153"/>
    </row>
    <row r="7" spans="1:11">
      <c r="A7" s="153">
        <v>2</v>
      </c>
      <c r="B7" s="734" t="s">
        <v>1358</v>
      </c>
      <c r="C7" s="238" t="s">
        <v>1359</v>
      </c>
      <c r="D7" s="153">
        <v>98554.2</v>
      </c>
      <c r="E7" s="153">
        <v>99626.4</v>
      </c>
      <c r="F7" s="153">
        <f>E7-D7</f>
        <v>1072.1999999999971</v>
      </c>
      <c r="G7" s="153">
        <v>4000</v>
      </c>
      <c r="H7" s="153">
        <f>F7*G7</f>
        <v>4288799.9999999888</v>
      </c>
      <c r="I7" s="153"/>
      <c r="J7" s="153">
        <f>H7+I7</f>
        <v>4288799.9999999888</v>
      </c>
      <c r="K7" s="153"/>
    </row>
    <row r="8" spans="1:11">
      <c r="A8" s="153"/>
      <c r="B8" s="737" t="s">
        <v>1360</v>
      </c>
      <c r="C8" s="733"/>
      <c r="D8" s="153"/>
      <c r="E8" s="153"/>
      <c r="F8" s="153"/>
      <c r="G8" s="153"/>
      <c r="H8" s="153"/>
      <c r="I8" s="153"/>
      <c r="J8" s="153"/>
      <c r="K8" s="153"/>
    </row>
    <row r="9" spans="1:11">
      <c r="A9" s="153">
        <v>1</v>
      </c>
      <c r="B9" s="734" t="s">
        <v>1361</v>
      </c>
      <c r="C9" s="153" t="s">
        <v>1362</v>
      </c>
      <c r="D9" s="153">
        <v>109.16</v>
      </c>
      <c r="E9" s="153">
        <v>109.16</v>
      </c>
      <c r="F9" s="153">
        <f>E9-D9</f>
        <v>0</v>
      </c>
      <c r="G9" s="153">
        <v>24000</v>
      </c>
      <c r="H9" s="153">
        <f>F9*G9</f>
        <v>0</v>
      </c>
      <c r="I9" s="153"/>
      <c r="J9" s="153">
        <f>H9+I9</f>
        <v>0</v>
      </c>
      <c r="K9" s="153"/>
    </row>
    <row r="10" spans="1:11">
      <c r="A10" s="153">
        <v>2</v>
      </c>
      <c r="B10" s="734" t="s">
        <v>1358</v>
      </c>
      <c r="C10" s="153" t="s">
        <v>1359</v>
      </c>
      <c r="D10" s="153">
        <v>74.599999999999994</v>
      </c>
      <c r="E10" s="153">
        <v>74.599999999999994</v>
      </c>
      <c r="F10" s="153">
        <f>E10-D10</f>
        <v>0</v>
      </c>
      <c r="G10" s="153">
        <v>4000</v>
      </c>
      <c r="H10" s="153">
        <f>F10*G10</f>
        <v>0</v>
      </c>
      <c r="I10" s="153"/>
      <c r="J10" s="153">
        <f>H10+I10</f>
        <v>0</v>
      </c>
      <c r="K10" s="153"/>
    </row>
    <row r="11" spans="1:11">
      <c r="A11" s="153">
        <v>2</v>
      </c>
      <c r="B11" s="734" t="s">
        <v>1356</v>
      </c>
      <c r="C11" s="238" t="s">
        <v>1357</v>
      </c>
      <c r="D11" s="153">
        <v>7.77</v>
      </c>
      <c r="E11" s="153">
        <v>7.77</v>
      </c>
      <c r="F11" s="153">
        <f>E11-D11</f>
        <v>0</v>
      </c>
      <c r="G11" s="153">
        <v>80000</v>
      </c>
      <c r="H11" s="153">
        <f>F11*G11</f>
        <v>0</v>
      </c>
      <c r="I11" s="153">
        <v>1600000</v>
      </c>
      <c r="J11" s="153">
        <f>H11+I11</f>
        <v>1600000</v>
      </c>
      <c r="K11" s="153"/>
    </row>
    <row r="12" spans="1:11">
      <c r="A12" s="153"/>
      <c r="B12" s="734" t="s">
        <v>1363</v>
      </c>
      <c r="C12" s="238"/>
      <c r="D12" s="153"/>
      <c r="E12" s="153"/>
      <c r="F12" s="153"/>
      <c r="G12" s="153"/>
      <c r="H12" s="153"/>
      <c r="I12" s="153"/>
      <c r="J12" s="153">
        <f>J6+J7-J11-J10-J9</f>
        <v>2718399.9999999888</v>
      </c>
      <c r="K12" s="153"/>
    </row>
    <row r="13" spans="1:11">
      <c r="A13" s="153"/>
      <c r="B13" s="737" t="s">
        <v>1364</v>
      </c>
      <c r="C13" s="733"/>
      <c r="D13" s="153"/>
      <c r="E13" s="153"/>
      <c r="F13" s="153"/>
      <c r="G13" s="153"/>
      <c r="H13" s="153"/>
      <c r="I13" s="153"/>
      <c r="J13" s="153"/>
      <c r="K13" s="153"/>
    </row>
    <row r="14" spans="1:11">
      <c r="A14" s="153">
        <v>1</v>
      </c>
      <c r="B14" s="734" t="s">
        <v>1365</v>
      </c>
      <c r="C14" s="238" t="s">
        <v>1366</v>
      </c>
      <c r="D14" s="153">
        <v>25384.3</v>
      </c>
      <c r="E14" s="153">
        <v>32141.599999999999</v>
      </c>
      <c r="F14" s="153">
        <f t="shared" ref="F14:F19" si="0">E14-D14</f>
        <v>6757.2999999999993</v>
      </c>
      <c r="G14" s="153">
        <v>133.333</v>
      </c>
      <c r="H14" s="244">
        <f t="shared" ref="H14:H19" si="1">F14*G14</f>
        <v>900971.08089999994</v>
      </c>
      <c r="I14" s="153"/>
      <c r="J14" s="244">
        <f t="shared" ref="J14:J19" si="2">H14+I14</f>
        <v>900971.08089999994</v>
      </c>
      <c r="K14" s="153"/>
    </row>
    <row r="15" spans="1:11">
      <c r="A15" s="153">
        <v>2</v>
      </c>
      <c r="B15" s="734" t="s">
        <v>1296</v>
      </c>
      <c r="C15" s="238" t="s">
        <v>1367</v>
      </c>
      <c r="D15" s="153">
        <v>89613.4</v>
      </c>
      <c r="E15" s="153">
        <v>89708.5</v>
      </c>
      <c r="F15" s="153">
        <f t="shared" si="0"/>
        <v>95.100000000005821</v>
      </c>
      <c r="G15" s="153">
        <v>2000</v>
      </c>
      <c r="H15" s="153">
        <f t="shared" si="1"/>
        <v>190200.00000001164</v>
      </c>
      <c r="I15" s="153"/>
      <c r="J15" s="153">
        <f t="shared" si="2"/>
        <v>190200.00000001164</v>
      </c>
      <c r="K15" s="153"/>
    </row>
    <row r="16" spans="1:11">
      <c r="A16" s="153">
        <v>3</v>
      </c>
      <c r="B16" s="734" t="s">
        <v>1368</v>
      </c>
      <c r="C16" s="238" t="s">
        <v>1369</v>
      </c>
      <c r="D16" s="153">
        <v>5636.2</v>
      </c>
      <c r="E16" s="153">
        <v>5706.4</v>
      </c>
      <c r="F16" s="153">
        <f t="shared" si="0"/>
        <v>70.199999999999818</v>
      </c>
      <c r="G16" s="153">
        <v>1000</v>
      </c>
      <c r="H16" s="153">
        <f t="shared" si="1"/>
        <v>70199.999999999825</v>
      </c>
      <c r="I16" s="153"/>
      <c r="J16" s="153">
        <f t="shared" si="2"/>
        <v>70199.999999999825</v>
      </c>
      <c r="K16" s="153"/>
    </row>
    <row r="17" spans="1:11">
      <c r="A17" s="153">
        <v>4</v>
      </c>
      <c r="B17" s="734" t="s">
        <v>1154</v>
      </c>
      <c r="C17" s="238" t="s">
        <v>1370</v>
      </c>
      <c r="D17" s="153">
        <v>103077.6</v>
      </c>
      <c r="E17" s="153">
        <v>103822.1</v>
      </c>
      <c r="F17" s="153">
        <f t="shared" si="0"/>
        <v>744.5</v>
      </c>
      <c r="G17" s="153">
        <v>2000</v>
      </c>
      <c r="H17" s="153">
        <f t="shared" si="1"/>
        <v>1489000</v>
      </c>
      <c r="I17" s="153"/>
      <c r="J17" s="153">
        <f t="shared" si="2"/>
        <v>1489000</v>
      </c>
      <c r="K17" s="738"/>
    </row>
    <row r="18" spans="1:11">
      <c r="A18" s="41">
        <v>5</v>
      </c>
      <c r="B18" s="1050" t="s">
        <v>1371</v>
      </c>
      <c r="C18" s="238" t="s">
        <v>1372</v>
      </c>
      <c r="D18" s="153">
        <v>1271.5999999999999</v>
      </c>
      <c r="E18" s="153">
        <v>1484.2</v>
      </c>
      <c r="F18" s="153">
        <f t="shared" si="0"/>
        <v>212.60000000000014</v>
      </c>
      <c r="G18" s="153">
        <v>133.33000000000001</v>
      </c>
      <c r="H18" s="244">
        <f t="shared" si="1"/>
        <v>28345.958000000021</v>
      </c>
      <c r="I18" s="244"/>
      <c r="J18" s="244">
        <f t="shared" si="2"/>
        <v>28345.958000000021</v>
      </c>
      <c r="K18" s="153"/>
    </row>
    <row r="19" spans="1:11">
      <c r="A19" s="744"/>
      <c r="B19" s="1051"/>
      <c r="C19" s="238" t="s">
        <v>1373</v>
      </c>
      <c r="D19" s="153">
        <v>1161680</v>
      </c>
      <c r="E19" s="153">
        <v>1161680</v>
      </c>
      <c r="F19" s="153">
        <f t="shared" si="0"/>
        <v>0</v>
      </c>
      <c r="G19" s="153">
        <v>0.5</v>
      </c>
      <c r="H19" s="244">
        <f t="shared" si="1"/>
        <v>0</v>
      </c>
      <c r="I19" s="244"/>
      <c r="J19" s="244">
        <f t="shared" si="2"/>
        <v>0</v>
      </c>
      <c r="K19" s="153"/>
    </row>
    <row r="20" spans="1:11">
      <c r="A20" s="153"/>
      <c r="B20" s="238"/>
      <c r="C20" s="238"/>
      <c r="D20" s="153"/>
      <c r="E20" s="153"/>
      <c r="F20" s="153"/>
      <c r="G20" s="153"/>
      <c r="H20" s="153"/>
      <c r="I20" s="244"/>
      <c r="J20" s="244">
        <f>SUM(J14:J19)</f>
        <v>2678717.0389000117</v>
      </c>
      <c r="K20" s="740">
        <f>(J12-J20)/J12</f>
        <v>1.4597910940250626E-2</v>
      </c>
    </row>
    <row r="21" spans="1:11">
      <c r="A21" s="95">
        <v>2</v>
      </c>
      <c r="B21" s="741" t="s">
        <v>1374</v>
      </c>
      <c r="C21" s="238"/>
      <c r="D21" s="153"/>
      <c r="E21" s="153"/>
      <c r="F21" s="153"/>
      <c r="G21" s="153"/>
      <c r="H21" s="153"/>
      <c r="I21" s="153"/>
      <c r="J21" s="244"/>
      <c r="K21" s="153"/>
    </row>
    <row r="22" spans="1:11">
      <c r="A22" s="153">
        <v>1</v>
      </c>
      <c r="B22" s="238" t="s">
        <v>1375</v>
      </c>
      <c r="C22" s="41">
        <v>3743657</v>
      </c>
      <c r="D22" s="742">
        <v>826669.6</v>
      </c>
      <c r="E22" s="742">
        <v>860567.7</v>
      </c>
      <c r="F22" s="41">
        <f>E22-D22</f>
        <v>33898.099999999977</v>
      </c>
      <c r="G22" s="41">
        <v>80</v>
      </c>
      <c r="H22" s="41">
        <f>F22*G22</f>
        <v>2711847.9999999981</v>
      </c>
      <c r="I22" s="1052"/>
      <c r="J22" s="41">
        <f>H22+I22</f>
        <v>2711847.9999999981</v>
      </c>
      <c r="K22" s="743"/>
    </row>
    <row r="23" spans="1:11">
      <c r="A23" s="153">
        <v>2</v>
      </c>
      <c r="B23" s="238" t="s">
        <v>1376</v>
      </c>
      <c r="C23" s="744"/>
      <c r="D23" s="744"/>
      <c r="E23" s="744"/>
      <c r="F23" s="744"/>
      <c r="G23" s="744"/>
      <c r="H23" s="744"/>
      <c r="I23" s="1053"/>
      <c r="J23" s="744"/>
      <c r="K23" s="153"/>
    </row>
    <row r="24" spans="1:11">
      <c r="A24" s="153"/>
      <c r="B24" s="734" t="s">
        <v>1363</v>
      </c>
      <c r="C24" s="238"/>
      <c r="D24" s="153"/>
      <c r="E24" s="153"/>
      <c r="F24" s="153"/>
      <c r="G24" s="153"/>
      <c r="H24" s="153"/>
      <c r="I24" s="153"/>
      <c r="J24" s="153">
        <f>SUM(J22)</f>
        <v>2711847.9999999981</v>
      </c>
      <c r="K24" s="743"/>
    </row>
    <row r="25" spans="1:11">
      <c r="A25" s="153" t="s">
        <v>15</v>
      </c>
      <c r="B25" s="737" t="s">
        <v>1364</v>
      </c>
      <c r="C25" s="238"/>
      <c r="D25" s="153"/>
      <c r="E25" s="153"/>
      <c r="F25" s="153"/>
      <c r="G25" s="153"/>
      <c r="H25" s="153"/>
      <c r="I25" s="153"/>
      <c r="J25" s="153"/>
      <c r="K25" s="153"/>
    </row>
    <row r="26" spans="1:11">
      <c r="A26" s="153"/>
      <c r="B26" s="238" t="s">
        <v>1162</v>
      </c>
      <c r="C26" s="238" t="s">
        <v>1377</v>
      </c>
      <c r="D26" s="745">
        <v>2617.42</v>
      </c>
      <c r="E26" s="745">
        <v>2689.82</v>
      </c>
      <c r="F26" s="153">
        <f>E26-D26</f>
        <v>72.400000000000091</v>
      </c>
      <c r="G26" s="153">
        <v>6000</v>
      </c>
      <c r="H26" s="153">
        <f>F26*G26</f>
        <v>434400.00000000052</v>
      </c>
      <c r="I26" s="153"/>
      <c r="J26" s="153">
        <f>H26+I26</f>
        <v>434400.00000000052</v>
      </c>
      <c r="K26" s="743"/>
    </row>
    <row r="27" spans="1:11">
      <c r="A27" s="153">
        <v>7</v>
      </c>
      <c r="B27" s="238" t="s">
        <v>1165</v>
      </c>
      <c r="C27" s="238" t="s">
        <v>1378</v>
      </c>
      <c r="D27" s="153">
        <v>56833.3</v>
      </c>
      <c r="E27" s="153">
        <v>57796.9</v>
      </c>
      <c r="F27" s="153">
        <f>E27-D27</f>
        <v>963.59999999999854</v>
      </c>
      <c r="G27" s="153">
        <v>2000</v>
      </c>
      <c r="H27" s="244">
        <f>F27*G27</f>
        <v>1927199.9999999972</v>
      </c>
      <c r="I27" s="244"/>
      <c r="J27" s="244">
        <f>H27+I27</f>
        <v>1927199.9999999972</v>
      </c>
      <c r="K27" s="153"/>
    </row>
    <row r="28" spans="1:11">
      <c r="A28" s="153">
        <v>8</v>
      </c>
      <c r="B28" s="238" t="s">
        <v>1158</v>
      </c>
      <c r="C28" s="238" t="s">
        <v>1379</v>
      </c>
      <c r="D28" s="153">
        <v>62230.7</v>
      </c>
      <c r="E28" s="153">
        <v>62400.1</v>
      </c>
      <c r="F28" s="153">
        <f>E28-D28</f>
        <v>169.40000000000146</v>
      </c>
      <c r="G28" s="153">
        <v>2000</v>
      </c>
      <c r="H28" s="153">
        <f>F28*G28</f>
        <v>338800.00000000291</v>
      </c>
      <c r="I28" s="153"/>
      <c r="J28" s="153">
        <f>H28+I28</f>
        <v>338800.00000000291</v>
      </c>
      <c r="K28" s="743"/>
    </row>
    <row r="29" spans="1:11">
      <c r="A29" s="153"/>
      <c r="B29" s="238"/>
      <c r="C29" s="238"/>
      <c r="D29" s="153"/>
      <c r="E29" s="153"/>
      <c r="F29" s="153"/>
      <c r="G29" s="153"/>
      <c r="H29" s="153"/>
      <c r="I29" s="153"/>
      <c r="J29" s="244">
        <f>SUM(J26+J27+J28)</f>
        <v>2700400.0000000005</v>
      </c>
      <c r="K29" s="743">
        <f>(J24-J29)/J24</f>
        <v>4.2214755399261608E-3</v>
      </c>
    </row>
    <row r="30" spans="1:11">
      <c r="A30" s="95">
        <v>3</v>
      </c>
      <c r="B30" s="741" t="s">
        <v>1380</v>
      </c>
      <c r="C30" s="238"/>
      <c r="D30" s="153"/>
      <c r="E30" s="153"/>
      <c r="F30" s="153"/>
      <c r="G30" s="153"/>
      <c r="H30" s="153"/>
      <c r="I30" s="153"/>
      <c r="J30" s="153"/>
      <c r="K30" s="153"/>
    </row>
    <row r="31" spans="1:11">
      <c r="A31" s="153">
        <v>1</v>
      </c>
      <c r="B31" s="238" t="s">
        <v>1381</v>
      </c>
      <c r="C31" s="238" t="s">
        <v>1382</v>
      </c>
      <c r="D31" s="153">
        <v>159192.5</v>
      </c>
      <c r="E31" s="153">
        <v>159825.79999999999</v>
      </c>
      <c r="F31" s="153">
        <f>E31-D31</f>
        <v>633.29999999998836</v>
      </c>
      <c r="G31" s="153">
        <v>2000</v>
      </c>
      <c r="H31" s="153">
        <f>F31*G31</f>
        <v>1266599.9999999767</v>
      </c>
      <c r="I31" s="153"/>
      <c r="J31" s="153">
        <f>H31+I31</f>
        <v>1266599.9999999767</v>
      </c>
      <c r="K31" s="746"/>
    </row>
    <row r="32" spans="1:11">
      <c r="A32" s="153"/>
      <c r="B32" s="734" t="s">
        <v>1363</v>
      </c>
      <c r="C32" s="238"/>
      <c r="D32" s="153"/>
      <c r="E32" s="153"/>
      <c r="F32" s="153"/>
      <c r="G32" s="153"/>
      <c r="H32" s="153"/>
      <c r="I32" s="153"/>
      <c r="J32" s="153">
        <f>SUM(J31)</f>
        <v>1266599.9999999767</v>
      </c>
      <c r="K32" s="153"/>
    </row>
    <row r="33" spans="1:11">
      <c r="A33" s="153"/>
      <c r="B33" s="737" t="s">
        <v>1364</v>
      </c>
      <c r="C33" s="238"/>
      <c r="D33" s="747"/>
      <c r="E33" s="747"/>
      <c r="F33" s="747"/>
      <c r="G33" s="747"/>
      <c r="H33" s="747"/>
      <c r="I33" s="747"/>
      <c r="J33" s="747"/>
      <c r="K33" s="743"/>
    </row>
    <row r="34" spans="1:11">
      <c r="A34" s="747"/>
      <c r="B34" s="734" t="s">
        <v>1183</v>
      </c>
      <c r="C34" s="238" t="s">
        <v>335</v>
      </c>
      <c r="D34" s="747">
        <v>37273.300000000003</v>
      </c>
      <c r="E34" s="747">
        <v>37482.800000000003</v>
      </c>
      <c r="F34" s="747">
        <f>E34-D34</f>
        <v>209.5</v>
      </c>
      <c r="G34" s="747">
        <v>2000</v>
      </c>
      <c r="H34" s="747">
        <f>F34*G34</f>
        <v>419000</v>
      </c>
      <c r="I34" s="747"/>
      <c r="J34" s="747">
        <f>H34+I34</f>
        <v>419000</v>
      </c>
      <c r="K34" s="743"/>
    </row>
    <row r="35" spans="1:11">
      <c r="A35" s="153">
        <v>9</v>
      </c>
      <c r="B35" s="748" t="s">
        <v>1383</v>
      </c>
      <c r="C35" s="748" t="s">
        <v>1384</v>
      </c>
      <c r="D35" s="153">
        <v>42299.9</v>
      </c>
      <c r="E35" s="153">
        <v>42299.9</v>
      </c>
      <c r="F35" s="153">
        <f>E35-D35</f>
        <v>0</v>
      </c>
      <c r="G35" s="153">
        <v>2000</v>
      </c>
      <c r="H35" s="153">
        <f>F35*G35</f>
        <v>0</v>
      </c>
      <c r="I35" s="153">
        <v>153000</v>
      </c>
      <c r="J35" s="161">
        <f>H35+I35</f>
        <v>153000</v>
      </c>
      <c r="K35" s="743"/>
    </row>
    <row r="36" spans="1:11">
      <c r="A36" s="153">
        <v>10</v>
      </c>
      <c r="B36" s="734" t="s">
        <v>1385</v>
      </c>
      <c r="C36" s="238" t="s">
        <v>1386</v>
      </c>
      <c r="D36" s="153">
        <v>52397.4</v>
      </c>
      <c r="E36" s="153">
        <v>52743.8</v>
      </c>
      <c r="F36" s="153">
        <f>E36-D36</f>
        <v>346.40000000000146</v>
      </c>
      <c r="G36" s="153">
        <v>2000</v>
      </c>
      <c r="H36" s="153">
        <f>F36*G36</f>
        <v>692800.00000000291</v>
      </c>
      <c r="I36" s="153"/>
      <c r="J36" s="161">
        <f>H36+I36</f>
        <v>692800.00000000291</v>
      </c>
      <c r="K36" s="153"/>
    </row>
    <row r="37" spans="1:11">
      <c r="A37" s="153">
        <v>11</v>
      </c>
      <c r="B37" s="734" t="s">
        <v>1387</v>
      </c>
      <c r="C37" s="238" t="s">
        <v>1388</v>
      </c>
      <c r="D37" s="153">
        <v>2199.29</v>
      </c>
      <c r="E37" s="153">
        <v>2199.29</v>
      </c>
      <c r="F37" s="153">
        <f>E37-D37</f>
        <v>0</v>
      </c>
      <c r="G37" s="153">
        <v>20000</v>
      </c>
      <c r="H37" s="153">
        <f>F37*G37</f>
        <v>0</v>
      </c>
      <c r="I37" s="153"/>
      <c r="J37" s="161">
        <f>H37+I37</f>
        <v>0</v>
      </c>
      <c r="K37" s="743"/>
    </row>
    <row r="38" spans="1:11">
      <c r="A38" s="153"/>
      <c r="B38" s="238"/>
      <c r="C38" s="238"/>
      <c r="D38" s="153"/>
      <c r="E38" s="153"/>
      <c r="F38" s="153"/>
      <c r="G38" s="153"/>
      <c r="H38" s="153"/>
      <c r="I38" s="153"/>
      <c r="J38" s="153">
        <f>SUM(J34:J37)</f>
        <v>1264800.0000000028</v>
      </c>
      <c r="K38" s="743">
        <f>(J31-J38)/J31</f>
        <v>1.4211274277387937E-3</v>
      </c>
    </row>
    <row r="39" spans="1:11">
      <c r="A39" s="95">
        <v>4</v>
      </c>
      <c r="B39" s="741" t="s">
        <v>1389</v>
      </c>
      <c r="C39" s="238"/>
      <c r="D39" s="153"/>
      <c r="E39" s="153"/>
      <c r="F39" s="153"/>
      <c r="G39" s="153"/>
      <c r="H39" s="153"/>
      <c r="I39" s="153"/>
      <c r="J39" s="153"/>
      <c r="K39" s="153"/>
    </row>
    <row r="40" spans="1:11">
      <c r="A40" s="153">
        <v>1</v>
      </c>
      <c r="B40" s="238" t="s">
        <v>1390</v>
      </c>
      <c r="C40" s="238" t="s">
        <v>1391</v>
      </c>
      <c r="D40" s="153">
        <v>18783.400000000001</v>
      </c>
      <c r="E40" s="153">
        <v>20022.2</v>
      </c>
      <c r="F40" s="153">
        <f>E40-D40</f>
        <v>1238.7999999999993</v>
      </c>
      <c r="G40" s="153">
        <v>1000</v>
      </c>
      <c r="H40" s="153">
        <f>F40*G40</f>
        <v>1238799.9999999993</v>
      </c>
      <c r="I40" s="153"/>
      <c r="J40" s="153">
        <f>H40+I40</f>
        <v>1238799.9999999993</v>
      </c>
      <c r="K40" s="153"/>
    </row>
    <row r="41" spans="1:11">
      <c r="A41" s="153">
        <v>2</v>
      </c>
      <c r="B41" s="238" t="s">
        <v>1392</v>
      </c>
      <c r="C41" s="238" t="s">
        <v>1393</v>
      </c>
      <c r="D41" s="153">
        <v>22223</v>
      </c>
      <c r="E41" s="153">
        <v>23836.2</v>
      </c>
      <c r="F41" s="153">
        <f>E41-D41</f>
        <v>1613.2000000000007</v>
      </c>
      <c r="G41" s="153">
        <v>1000</v>
      </c>
      <c r="H41" s="153">
        <f>F41*G41</f>
        <v>1613200.0000000007</v>
      </c>
      <c r="I41" s="153"/>
      <c r="J41" s="153">
        <f>H41+I41</f>
        <v>1613200.0000000007</v>
      </c>
      <c r="K41" s="153"/>
    </row>
    <row r="42" spans="1:11">
      <c r="A42" s="153"/>
      <c r="B42" s="238"/>
      <c r="C42" s="238"/>
      <c r="D42" s="153"/>
      <c r="E42" s="153"/>
      <c r="F42" s="153"/>
      <c r="G42" s="153"/>
      <c r="H42" s="153"/>
      <c r="I42" s="153"/>
      <c r="J42" s="153"/>
      <c r="K42" s="153"/>
    </row>
    <row r="43" spans="1:11">
      <c r="A43" s="153"/>
      <c r="B43" s="734" t="s">
        <v>1363</v>
      </c>
      <c r="C43" s="238"/>
      <c r="D43" s="153"/>
      <c r="E43" s="153"/>
      <c r="F43" s="153"/>
      <c r="G43" s="153"/>
      <c r="H43" s="153"/>
      <c r="I43" s="153"/>
      <c r="J43" s="153">
        <f>SUM(J40:J42)</f>
        <v>2852000</v>
      </c>
      <c r="K43" s="153"/>
    </row>
    <row r="44" spans="1:11">
      <c r="A44" s="153"/>
      <c r="B44" s="737" t="s">
        <v>1364</v>
      </c>
      <c r="C44" s="733"/>
      <c r="D44" s="153"/>
      <c r="E44" s="153"/>
      <c r="F44" s="153"/>
      <c r="G44" s="153"/>
      <c r="H44" s="153"/>
      <c r="I44" s="153"/>
      <c r="J44" s="153"/>
      <c r="K44" s="153"/>
    </row>
    <row r="45" spans="1:11">
      <c r="A45" s="153">
        <v>12</v>
      </c>
      <c r="B45" s="734" t="s">
        <v>1394</v>
      </c>
      <c r="C45" s="238" t="s">
        <v>1395</v>
      </c>
      <c r="D45" s="153">
        <v>5346.46</v>
      </c>
      <c r="E45" s="153">
        <v>5728.72</v>
      </c>
      <c r="F45" s="153">
        <f>E45-D45</f>
        <v>382.26000000000022</v>
      </c>
      <c r="G45" s="153">
        <v>1000</v>
      </c>
      <c r="H45" s="153">
        <f>F45*G45</f>
        <v>382260.00000000023</v>
      </c>
      <c r="I45" s="153"/>
      <c r="J45" s="153">
        <f>H45+I45</f>
        <v>382260.00000000023</v>
      </c>
      <c r="K45" s="750"/>
    </row>
    <row r="46" spans="1:11">
      <c r="A46" s="153">
        <v>13</v>
      </c>
      <c r="B46" s="734" t="s">
        <v>1174</v>
      </c>
      <c r="C46" s="238" t="s">
        <v>1396</v>
      </c>
      <c r="D46" s="153">
        <v>18641.650000000001</v>
      </c>
      <c r="E46" s="153">
        <v>19870.810000000001</v>
      </c>
      <c r="F46" s="153">
        <f>E46-D46</f>
        <v>1229.1599999999999</v>
      </c>
      <c r="G46" s="153">
        <v>1000</v>
      </c>
      <c r="H46" s="153">
        <f>F46*G46</f>
        <v>1229159.9999999998</v>
      </c>
      <c r="I46" s="153"/>
      <c r="J46" s="153">
        <f>H46+I46</f>
        <v>1229159.9999999998</v>
      </c>
      <c r="K46" s="750"/>
    </row>
    <row r="47" spans="1:11">
      <c r="A47" s="153"/>
      <c r="B47" s="734" t="s">
        <v>1397</v>
      </c>
      <c r="C47" s="238" t="s">
        <v>1398</v>
      </c>
      <c r="D47" s="153">
        <v>16200.7</v>
      </c>
      <c r="E47" s="153">
        <v>17428.02</v>
      </c>
      <c r="F47" s="153">
        <f>E47-D47</f>
        <v>1227.3199999999997</v>
      </c>
      <c r="G47" s="153">
        <v>1000</v>
      </c>
      <c r="H47" s="153">
        <f>F47*G47</f>
        <v>1227319.9999999998</v>
      </c>
      <c r="I47" s="153"/>
      <c r="J47" s="153">
        <f>H47+I47</f>
        <v>1227319.9999999998</v>
      </c>
      <c r="K47" s="153"/>
    </row>
    <row r="48" spans="1:11">
      <c r="A48" s="153"/>
      <c r="B48" s="238"/>
      <c r="C48" s="238"/>
      <c r="D48" s="153"/>
      <c r="E48" s="153"/>
      <c r="F48" s="153"/>
      <c r="G48" s="153"/>
      <c r="H48" s="153">
        <f>F48*G48</f>
        <v>0</v>
      </c>
      <c r="I48" s="153"/>
      <c r="J48" s="153">
        <f>SUM(J45:J47)</f>
        <v>2838740</v>
      </c>
      <c r="K48" s="743">
        <f>(J43-J48)/J43</f>
        <v>4.6493688639551193E-3</v>
      </c>
    </row>
    <row r="49" spans="1:11">
      <c r="A49" s="95">
        <v>5</v>
      </c>
      <c r="B49" s="741" t="s">
        <v>1399</v>
      </c>
      <c r="C49" s="238"/>
      <c r="D49" s="153"/>
      <c r="E49" s="153"/>
      <c r="F49" s="153"/>
      <c r="G49" s="153"/>
      <c r="H49" s="153"/>
      <c r="I49" s="153"/>
      <c r="J49" s="153"/>
      <c r="K49" s="153"/>
    </row>
    <row r="50" spans="1:11">
      <c r="A50" s="153">
        <v>1</v>
      </c>
      <c r="B50" s="238" t="s">
        <v>1400</v>
      </c>
      <c r="C50" s="238">
        <v>3300082</v>
      </c>
      <c r="D50" s="153">
        <v>891073.9</v>
      </c>
      <c r="E50" s="153">
        <v>891073.9</v>
      </c>
      <c r="F50" s="153">
        <f>E50-D50</f>
        <v>0</v>
      </c>
      <c r="G50" s="153">
        <v>80</v>
      </c>
      <c r="H50" s="153">
        <f>F50*G50</f>
        <v>0</v>
      </c>
      <c r="I50" s="153"/>
      <c r="J50" s="153">
        <f>H50+I50</f>
        <v>0</v>
      </c>
      <c r="K50" s="738"/>
    </row>
    <row r="51" spans="1:11">
      <c r="A51" s="153"/>
      <c r="B51" s="238" t="s">
        <v>1400</v>
      </c>
      <c r="C51" s="238" t="s">
        <v>1401</v>
      </c>
      <c r="D51" s="153">
        <v>316970.5</v>
      </c>
      <c r="E51" s="153">
        <v>325413</v>
      </c>
      <c r="F51" s="153">
        <f>E51-D51</f>
        <v>8442.5</v>
      </c>
      <c r="G51" s="153">
        <v>240</v>
      </c>
      <c r="H51" s="153">
        <f>F51*G51</f>
        <v>2026200</v>
      </c>
      <c r="I51" s="153"/>
      <c r="J51" s="153">
        <f>H51+I51</f>
        <v>2026200</v>
      </c>
      <c r="K51" s="738"/>
    </row>
    <row r="52" spans="1:11">
      <c r="A52" s="153"/>
      <c r="B52" s="734" t="s">
        <v>1363</v>
      </c>
      <c r="C52" s="238"/>
      <c r="D52" s="153"/>
      <c r="E52" s="153"/>
      <c r="F52" s="153"/>
      <c r="G52" s="153"/>
      <c r="H52" s="153"/>
      <c r="I52" s="153"/>
      <c r="J52" s="153">
        <f>SUM(J50:J51)</f>
        <v>2026200</v>
      </c>
      <c r="K52" s="153"/>
    </row>
    <row r="53" spans="1:11">
      <c r="A53" s="153"/>
      <c r="B53" s="737" t="s">
        <v>1364</v>
      </c>
      <c r="C53" s="238"/>
      <c r="D53" s="153"/>
      <c r="E53" s="153"/>
      <c r="F53" s="153"/>
      <c r="G53" s="153"/>
      <c r="H53" s="153"/>
      <c r="I53" s="153"/>
      <c r="J53" s="153"/>
      <c r="K53" s="153"/>
    </row>
    <row r="54" spans="1:11">
      <c r="A54" s="153">
        <v>15</v>
      </c>
      <c r="B54" s="238" t="s">
        <v>1402</v>
      </c>
      <c r="C54" s="238" t="s">
        <v>1403</v>
      </c>
      <c r="D54" s="153">
        <v>97141.3</v>
      </c>
      <c r="E54" s="153">
        <v>97733.6</v>
      </c>
      <c r="F54" s="153">
        <f>E54-D54</f>
        <v>592.30000000000291</v>
      </c>
      <c r="G54" s="153">
        <v>1333.33</v>
      </c>
      <c r="H54" s="244">
        <f>F54*G54</f>
        <v>789731.35900000378</v>
      </c>
      <c r="I54" s="153"/>
      <c r="J54" s="244">
        <f>H54+I54</f>
        <v>789731.35900000378</v>
      </c>
      <c r="K54" s="153"/>
    </row>
    <row r="55" spans="1:11">
      <c r="A55" s="153">
        <v>16</v>
      </c>
      <c r="B55" s="238" t="s">
        <v>1404</v>
      </c>
      <c r="C55" s="238" t="s">
        <v>1405</v>
      </c>
      <c r="D55" s="153">
        <v>83195</v>
      </c>
      <c r="E55" s="153">
        <v>83807.100000000006</v>
      </c>
      <c r="F55" s="153">
        <f>E55-D55</f>
        <v>612.10000000000582</v>
      </c>
      <c r="G55" s="153">
        <v>2000</v>
      </c>
      <c r="H55" s="153">
        <f>F55*G55</f>
        <v>1224200.0000000116</v>
      </c>
      <c r="I55" s="153"/>
      <c r="J55" s="153">
        <f>H55+I55</f>
        <v>1224200.0000000116</v>
      </c>
      <c r="K55" s="153"/>
    </row>
    <row r="56" spans="1:11">
      <c r="A56" s="153"/>
      <c r="B56" s="238"/>
      <c r="C56" s="238"/>
      <c r="D56" s="153"/>
      <c r="E56" s="153"/>
      <c r="F56" s="153"/>
      <c r="G56" s="153"/>
      <c r="H56" s="153"/>
      <c r="I56" s="244"/>
      <c r="J56" s="244">
        <f>SUM(J54:J55)</f>
        <v>2013931.3590000155</v>
      </c>
      <c r="K56" s="743">
        <f>(J52-J56)/J52</f>
        <v>6.0549999999923313E-3</v>
      </c>
    </row>
    <row r="57" spans="1:11">
      <c r="A57" s="95">
        <v>6</v>
      </c>
      <c r="B57" s="741" t="s">
        <v>1406</v>
      </c>
      <c r="C57" s="238"/>
      <c r="D57" s="153"/>
      <c r="E57" s="153"/>
      <c r="F57" s="153"/>
      <c r="G57" s="153"/>
      <c r="H57" s="153"/>
      <c r="I57" s="153"/>
      <c r="J57" s="153"/>
      <c r="K57" s="743"/>
    </row>
    <row r="58" spans="1:11">
      <c r="A58" s="153">
        <v>1</v>
      </c>
      <c r="B58" s="238" t="s">
        <v>1407</v>
      </c>
      <c r="C58" s="238" t="s">
        <v>1408</v>
      </c>
      <c r="D58" s="153">
        <v>73716.5</v>
      </c>
      <c r="E58" s="153">
        <v>73995.5</v>
      </c>
      <c r="F58" s="153">
        <f>E58-D58</f>
        <v>279</v>
      </c>
      <c r="G58" s="153">
        <v>4000</v>
      </c>
      <c r="H58" s="153">
        <f>F58*G58</f>
        <v>1116000</v>
      </c>
      <c r="I58" s="153"/>
      <c r="J58" s="153">
        <f>H58+I58</f>
        <v>1116000</v>
      </c>
      <c r="K58" s="743"/>
    </row>
    <row r="59" spans="1:11">
      <c r="A59" s="153">
        <v>2</v>
      </c>
      <c r="B59" s="734" t="s">
        <v>1400</v>
      </c>
      <c r="C59" s="751" t="s">
        <v>1409</v>
      </c>
      <c r="D59" s="153">
        <v>169455</v>
      </c>
      <c r="E59" s="153">
        <v>170906</v>
      </c>
      <c r="F59" s="153">
        <f>E59-D59</f>
        <v>1451</v>
      </c>
      <c r="G59" s="153">
        <v>240</v>
      </c>
      <c r="H59" s="153">
        <f>F59*G59</f>
        <v>348240</v>
      </c>
      <c r="I59" s="153"/>
      <c r="J59" s="153">
        <f>H59+I59</f>
        <v>348240</v>
      </c>
      <c r="K59" s="161"/>
    </row>
    <row r="60" spans="1:11">
      <c r="A60" s="153"/>
      <c r="B60" s="734" t="s">
        <v>1410</v>
      </c>
      <c r="C60" s="734"/>
      <c r="D60" s="153"/>
      <c r="E60" s="153"/>
      <c r="F60" s="153"/>
      <c r="G60" s="153"/>
      <c r="H60" s="153"/>
      <c r="I60" s="153"/>
      <c r="J60" s="153"/>
      <c r="K60" s="161"/>
    </row>
    <row r="61" spans="1:11">
      <c r="A61" s="153"/>
      <c r="B61" s="734" t="s">
        <v>1363</v>
      </c>
      <c r="C61" s="238"/>
      <c r="D61" s="153"/>
      <c r="E61" s="153"/>
      <c r="F61" s="153"/>
      <c r="G61" s="153"/>
      <c r="H61" s="153"/>
      <c r="I61" s="153"/>
      <c r="J61" s="153">
        <f>J58+J59-J60</f>
        <v>1464240</v>
      </c>
      <c r="K61" s="743"/>
    </row>
    <row r="62" spans="1:11">
      <c r="A62" s="153"/>
      <c r="B62" s="737" t="s">
        <v>1364</v>
      </c>
      <c r="C62" s="238"/>
      <c r="D62" s="153"/>
      <c r="E62" s="153"/>
      <c r="F62" s="153"/>
      <c r="G62" s="153"/>
      <c r="H62" s="153"/>
      <c r="I62" s="153"/>
      <c r="J62" s="153"/>
      <c r="K62" s="743"/>
    </row>
    <row r="63" spans="1:11">
      <c r="A63" s="153">
        <v>17</v>
      </c>
      <c r="B63" s="734" t="s">
        <v>1169</v>
      </c>
      <c r="C63" s="238" t="s">
        <v>1411</v>
      </c>
      <c r="D63" s="153">
        <v>102758.6</v>
      </c>
      <c r="E63" s="153">
        <v>102904.4</v>
      </c>
      <c r="F63" s="153">
        <f>E63-D63</f>
        <v>145.79999999998836</v>
      </c>
      <c r="G63" s="153">
        <v>2000</v>
      </c>
      <c r="H63" s="153">
        <f>F63*G63</f>
        <v>291599.99999997672</v>
      </c>
      <c r="I63" s="153"/>
      <c r="J63" s="153">
        <f>H63+I63</f>
        <v>291599.99999997672</v>
      </c>
      <c r="K63" s="743"/>
    </row>
    <row r="64" spans="1:11">
      <c r="A64" s="153">
        <v>18</v>
      </c>
      <c r="B64" s="734" t="s">
        <v>1412</v>
      </c>
      <c r="C64" s="238" t="s">
        <v>1413</v>
      </c>
      <c r="D64" s="153">
        <v>21450.1</v>
      </c>
      <c r="E64" s="153">
        <v>21587.4</v>
      </c>
      <c r="F64" s="153">
        <f>E64-D64</f>
        <v>137.30000000000291</v>
      </c>
      <c r="G64" s="153">
        <v>2000</v>
      </c>
      <c r="H64" s="153">
        <f>F64*G64</f>
        <v>274600.00000000582</v>
      </c>
      <c r="I64" s="153"/>
      <c r="J64" s="153">
        <f>H64+I64</f>
        <v>274600.00000000582</v>
      </c>
      <c r="K64" s="743"/>
    </row>
    <row r="65" spans="1:11">
      <c r="A65" s="153">
        <v>19</v>
      </c>
      <c r="B65" s="734" t="s">
        <v>1414</v>
      </c>
      <c r="C65" s="238" t="s">
        <v>1415</v>
      </c>
      <c r="D65" s="153">
        <v>355583</v>
      </c>
      <c r="E65" s="153">
        <v>370253.5</v>
      </c>
      <c r="F65" s="153">
        <f>E65-D65</f>
        <v>14670.5</v>
      </c>
      <c r="G65" s="153">
        <v>60</v>
      </c>
      <c r="H65" s="153">
        <f>F65*G65</f>
        <v>880230</v>
      </c>
      <c r="I65" s="244"/>
      <c r="J65" s="244">
        <f>H65+I65</f>
        <v>880230</v>
      </c>
      <c r="K65" s="153"/>
    </row>
    <row r="66" spans="1:11">
      <c r="A66" s="153"/>
      <c r="B66" s="238"/>
      <c r="C66" s="238"/>
      <c r="D66" s="153"/>
      <c r="E66" s="153"/>
      <c r="F66" s="153"/>
      <c r="G66" s="153"/>
      <c r="H66" s="153"/>
      <c r="I66" s="153"/>
      <c r="J66" s="244">
        <f>SUM(J63:J65)</f>
        <v>1446429.9999999825</v>
      </c>
      <c r="K66" s="743">
        <f>(J61-J66)/J61</f>
        <v>1.2163306561777757E-2</v>
      </c>
    </row>
    <row r="67" spans="1:11">
      <c r="A67" s="95">
        <v>7</v>
      </c>
      <c r="B67" s="741" t="s">
        <v>1416</v>
      </c>
      <c r="C67" s="238"/>
      <c r="D67" s="153"/>
      <c r="E67" s="153"/>
      <c r="F67" s="153"/>
      <c r="G67" s="153"/>
      <c r="H67" s="153"/>
      <c r="I67" s="244"/>
      <c r="J67" s="153"/>
      <c r="K67" s="743"/>
    </row>
    <row r="68" spans="1:11">
      <c r="A68" s="153">
        <v>1</v>
      </c>
      <c r="B68" s="238" t="s">
        <v>1417</v>
      </c>
      <c r="C68" s="238" t="s">
        <v>1418</v>
      </c>
      <c r="D68" s="153">
        <v>244257.9</v>
      </c>
      <c r="E68" s="153">
        <v>246593.3</v>
      </c>
      <c r="F68" s="153">
        <f>E68-D68</f>
        <v>2335.3999999999942</v>
      </c>
      <c r="G68" s="153">
        <v>2000</v>
      </c>
      <c r="H68" s="153">
        <f>F68*G68</f>
        <v>4670799.9999999888</v>
      </c>
      <c r="I68" s="153"/>
      <c r="J68" s="153">
        <f>H68+I68</f>
        <v>4670799.9999999888</v>
      </c>
      <c r="K68" s="743"/>
    </row>
    <row r="69" spans="1:11">
      <c r="A69" s="153"/>
      <c r="B69" s="238"/>
      <c r="C69" s="238"/>
      <c r="D69" s="153"/>
      <c r="E69" s="153"/>
      <c r="F69" s="153"/>
      <c r="G69" s="153"/>
      <c r="H69" s="153"/>
      <c r="I69" s="153"/>
      <c r="J69" s="153"/>
      <c r="K69" s="743"/>
    </row>
    <row r="70" spans="1:11">
      <c r="A70" s="153"/>
      <c r="B70" s="734" t="s">
        <v>1363</v>
      </c>
      <c r="C70" s="238"/>
      <c r="D70" s="153"/>
      <c r="E70" s="153"/>
      <c r="F70" s="153"/>
      <c r="G70" s="153"/>
      <c r="H70" s="153"/>
      <c r="I70" s="153"/>
      <c r="J70" s="153">
        <f>SUM(J68:J69)</f>
        <v>4670799.9999999888</v>
      </c>
      <c r="K70" s="753"/>
    </row>
    <row r="71" spans="1:11">
      <c r="A71" s="153"/>
      <c r="B71" s="737" t="s">
        <v>1364</v>
      </c>
      <c r="C71" s="238"/>
      <c r="D71" s="153"/>
      <c r="E71" s="153"/>
      <c r="F71" s="153"/>
      <c r="G71" s="153"/>
      <c r="H71" s="153"/>
      <c r="I71" s="153"/>
      <c r="J71" s="153"/>
      <c r="K71" s="743"/>
    </row>
    <row r="72" spans="1:11">
      <c r="A72" s="153">
        <v>20</v>
      </c>
      <c r="B72" s="734" t="s">
        <v>1419</v>
      </c>
      <c r="C72" s="238" t="s">
        <v>1420</v>
      </c>
      <c r="D72" s="153">
        <v>8778.76</v>
      </c>
      <c r="E72" s="153">
        <v>8837.69</v>
      </c>
      <c r="F72" s="153">
        <f>E72-D72</f>
        <v>58.930000000000291</v>
      </c>
      <c r="G72" s="153">
        <v>12000</v>
      </c>
      <c r="H72" s="153">
        <f>F72*G72</f>
        <v>707160.00000000349</v>
      </c>
      <c r="I72" s="244"/>
      <c r="J72" s="244">
        <f>H72+I72</f>
        <v>707160.00000000349</v>
      </c>
      <c r="K72" s="743"/>
    </row>
    <row r="73" spans="1:11">
      <c r="A73" s="153">
        <v>21</v>
      </c>
      <c r="B73" s="734" t="s">
        <v>1421</v>
      </c>
      <c r="C73" s="238" t="s">
        <v>1422</v>
      </c>
      <c r="D73" s="153">
        <v>9823.9699999999993</v>
      </c>
      <c r="E73" s="153">
        <v>9921.1299999999992</v>
      </c>
      <c r="F73" s="247">
        <f>E73-D73</f>
        <v>97.159999999999854</v>
      </c>
      <c r="G73" s="153">
        <v>12000</v>
      </c>
      <c r="H73" s="153">
        <f>F73*G73</f>
        <v>1165919.9999999981</v>
      </c>
      <c r="I73" s="244"/>
      <c r="J73" s="244">
        <f>H73+I73</f>
        <v>1165919.9999999981</v>
      </c>
      <c r="K73" s="727"/>
    </row>
    <row r="74" spans="1:11">
      <c r="A74" s="153">
        <v>22</v>
      </c>
      <c r="B74" s="734" t="s">
        <v>1423</v>
      </c>
      <c r="C74" s="238" t="s">
        <v>1424</v>
      </c>
      <c r="D74" s="153">
        <v>3638.82</v>
      </c>
      <c r="E74" s="153">
        <v>3771.77</v>
      </c>
      <c r="F74" s="247">
        <f>E74-D74</f>
        <v>132.94999999999982</v>
      </c>
      <c r="G74" s="153">
        <v>6000</v>
      </c>
      <c r="H74" s="153">
        <f>F74*G74</f>
        <v>797699.99999999895</v>
      </c>
      <c r="I74" s="244"/>
      <c r="J74" s="244">
        <f>H74+I74</f>
        <v>797699.99999999895</v>
      </c>
      <c r="K74" s="727"/>
    </row>
    <row r="75" spans="1:11">
      <c r="A75" s="153">
        <v>23</v>
      </c>
      <c r="B75" s="734" t="s">
        <v>1425</v>
      </c>
      <c r="C75" s="238" t="s">
        <v>1426</v>
      </c>
      <c r="D75" s="153">
        <v>1827.69</v>
      </c>
      <c r="E75" s="153">
        <v>1878.48</v>
      </c>
      <c r="F75" s="153">
        <f>E75-D75</f>
        <v>50.789999999999964</v>
      </c>
      <c r="G75" s="153">
        <v>20000</v>
      </c>
      <c r="H75" s="153">
        <f>F75*G75</f>
        <v>1015799.9999999993</v>
      </c>
      <c r="I75" s="244"/>
      <c r="J75" s="244">
        <f>H75+I75</f>
        <v>1015799.9999999993</v>
      </c>
      <c r="K75" s="727"/>
    </row>
    <row r="76" spans="1:11">
      <c r="A76" s="153">
        <v>24</v>
      </c>
      <c r="B76" s="734" t="s">
        <v>1427</v>
      </c>
      <c r="C76" s="238" t="s">
        <v>1428</v>
      </c>
      <c r="D76" s="153">
        <v>468495</v>
      </c>
      <c r="E76" s="153">
        <v>484689.5</v>
      </c>
      <c r="F76" s="153">
        <f>E76-D76</f>
        <v>16194.5</v>
      </c>
      <c r="G76" s="153">
        <v>60</v>
      </c>
      <c r="H76" s="244">
        <f>F76*G76</f>
        <v>971670</v>
      </c>
      <c r="I76" s="244"/>
      <c r="J76" s="244">
        <f>H76+I76</f>
        <v>971670</v>
      </c>
      <c r="K76" s="727"/>
    </row>
    <row r="77" spans="1:11">
      <c r="A77" s="153"/>
      <c r="B77" s="238"/>
      <c r="C77" s="238"/>
      <c r="D77" s="153"/>
      <c r="E77" s="153"/>
      <c r="F77" s="153"/>
      <c r="G77" s="153"/>
      <c r="H77" s="153"/>
      <c r="I77" s="244"/>
      <c r="J77" s="244">
        <f>SUM(J72:J76)</f>
        <v>4658250</v>
      </c>
      <c r="K77" s="743">
        <f>(J70-J77)/J70</f>
        <v>2.6869058833580658E-3</v>
      </c>
    </row>
    <row r="78" spans="1:11">
      <c r="A78" s="95">
        <v>8</v>
      </c>
      <c r="B78" s="741" t="s">
        <v>1429</v>
      </c>
      <c r="C78" s="238"/>
      <c r="D78" s="153"/>
      <c r="E78" s="153"/>
      <c r="F78" s="153"/>
      <c r="G78" s="153"/>
      <c r="H78" s="153"/>
      <c r="I78" s="153"/>
      <c r="J78" s="153"/>
      <c r="K78" s="743"/>
    </row>
    <row r="79" spans="1:11">
      <c r="A79" s="153">
        <v>1</v>
      </c>
      <c r="B79" s="238" t="s">
        <v>1375</v>
      </c>
      <c r="C79" s="238" t="s">
        <v>1430</v>
      </c>
      <c r="D79" s="153">
        <v>91651</v>
      </c>
      <c r="E79" s="153">
        <v>92720</v>
      </c>
      <c r="F79" s="153">
        <f>E79-D79</f>
        <v>1069</v>
      </c>
      <c r="G79" s="153">
        <v>2000</v>
      </c>
      <c r="H79" s="153">
        <f>F79*G79</f>
        <v>2138000</v>
      </c>
      <c r="I79" s="153"/>
      <c r="J79" s="153">
        <f>H79+I79</f>
        <v>2138000</v>
      </c>
      <c r="K79" s="743"/>
    </row>
    <row r="80" spans="1:11">
      <c r="A80" s="153">
        <v>2</v>
      </c>
      <c r="B80" s="238" t="s">
        <v>1375</v>
      </c>
      <c r="C80" s="238">
        <v>3300081</v>
      </c>
      <c r="D80" s="153">
        <v>504820.8</v>
      </c>
      <c r="E80" s="153">
        <v>515191.9</v>
      </c>
      <c r="F80" s="153">
        <f>E80-D80</f>
        <v>10371.100000000035</v>
      </c>
      <c r="G80" s="153">
        <v>80</v>
      </c>
      <c r="H80" s="153">
        <f>F80*G80</f>
        <v>829688.00000000279</v>
      </c>
      <c r="I80" s="153"/>
      <c r="J80" s="153">
        <f>H80+I80</f>
        <v>829688.00000000279</v>
      </c>
      <c r="K80" s="738"/>
    </row>
    <row r="81" spans="1:11">
      <c r="A81" s="153"/>
      <c r="B81" s="734" t="s">
        <v>1363</v>
      </c>
      <c r="C81" s="238"/>
      <c r="D81" s="153"/>
      <c r="E81" s="153"/>
      <c r="F81" s="153"/>
      <c r="G81" s="153"/>
      <c r="H81" s="153"/>
      <c r="I81" s="153"/>
      <c r="J81" s="153">
        <f>SUM(J79:J80)</f>
        <v>2967688.0000000028</v>
      </c>
      <c r="K81" s="743"/>
    </row>
    <row r="82" spans="1:11">
      <c r="A82" s="153"/>
      <c r="B82" s="737" t="s">
        <v>1364</v>
      </c>
      <c r="C82" s="238"/>
      <c r="D82" s="153"/>
      <c r="E82" s="153"/>
      <c r="F82" s="153"/>
      <c r="G82" s="153"/>
      <c r="H82" s="153"/>
      <c r="I82" s="153"/>
      <c r="J82" s="153"/>
      <c r="K82" s="153"/>
    </row>
    <row r="83" spans="1:11">
      <c r="A83" s="153">
        <v>25</v>
      </c>
      <c r="B83" s="238" t="s">
        <v>1431</v>
      </c>
      <c r="C83" s="238" t="s">
        <v>1432</v>
      </c>
      <c r="D83" s="153">
        <v>3057.27</v>
      </c>
      <c r="E83" s="153">
        <v>3140.96</v>
      </c>
      <c r="F83" s="261">
        <f>E83-D83</f>
        <v>83.690000000000055</v>
      </c>
      <c r="G83" s="153">
        <v>13333.333000000001</v>
      </c>
      <c r="H83" s="244">
        <f>F83*G83</f>
        <v>1115866.6387700008</v>
      </c>
      <c r="I83" s="244"/>
      <c r="J83" s="244">
        <f>H83+I83</f>
        <v>1115866.6387700008</v>
      </c>
      <c r="K83" s="727"/>
    </row>
    <row r="84" spans="1:11">
      <c r="A84" s="153">
        <v>26</v>
      </c>
      <c r="B84" s="238" t="s">
        <v>1433</v>
      </c>
      <c r="C84" s="238" t="s">
        <v>1434</v>
      </c>
      <c r="D84" s="153">
        <v>4283.04</v>
      </c>
      <c r="E84" s="153">
        <v>4333.4399999999996</v>
      </c>
      <c r="F84" s="153">
        <f>E84-D84</f>
        <v>50.399999999999636</v>
      </c>
      <c r="G84" s="153">
        <v>20000</v>
      </c>
      <c r="H84" s="153">
        <f>F84*G84</f>
        <v>1007999.9999999928</v>
      </c>
      <c r="I84" s="153"/>
      <c r="J84" s="153">
        <f>H84+I84</f>
        <v>1007999.9999999928</v>
      </c>
      <c r="K84" s="727"/>
    </row>
    <row r="85" spans="1:11">
      <c r="A85" s="153">
        <v>27</v>
      </c>
      <c r="B85" s="238" t="s">
        <v>1435</v>
      </c>
      <c r="C85" s="238" t="s">
        <v>1436</v>
      </c>
      <c r="D85" s="153">
        <v>6421.2</v>
      </c>
      <c r="E85" s="153">
        <v>6523.1</v>
      </c>
      <c r="F85" s="153">
        <f>E85-D85</f>
        <v>101.90000000000055</v>
      </c>
      <c r="G85" s="153">
        <v>1333.33</v>
      </c>
      <c r="H85" s="244">
        <f>F85*G85</f>
        <v>135866.32700000072</v>
      </c>
      <c r="I85" s="153"/>
      <c r="J85" s="244">
        <f>H85+I85</f>
        <v>135866.32700000072</v>
      </c>
      <c r="K85" s="727"/>
    </row>
    <row r="86" spans="1:11">
      <c r="A86" s="153">
        <v>28</v>
      </c>
      <c r="B86" s="238" t="s">
        <v>1437</v>
      </c>
      <c r="C86" s="238" t="s">
        <v>1438</v>
      </c>
      <c r="D86" s="153">
        <v>16939.900000000001</v>
      </c>
      <c r="E86" s="153">
        <v>17624.400000000001</v>
      </c>
      <c r="F86" s="153">
        <f>E86-D86</f>
        <v>684.5</v>
      </c>
      <c r="G86" s="153">
        <v>1000</v>
      </c>
      <c r="H86" s="244">
        <f>F86*G86</f>
        <v>684500</v>
      </c>
      <c r="I86" s="153"/>
      <c r="J86" s="244">
        <f>H86+I86</f>
        <v>684500</v>
      </c>
      <c r="K86" s="727"/>
    </row>
    <row r="87" spans="1:11">
      <c r="A87" s="153"/>
      <c r="B87" s="755"/>
      <c r="C87" s="238"/>
      <c r="D87" s="153"/>
      <c r="E87" s="153"/>
      <c r="F87" s="153"/>
      <c r="G87" s="153"/>
      <c r="H87" s="153"/>
      <c r="I87" s="153"/>
      <c r="J87" s="244">
        <f>SUM(J83:J86)</f>
        <v>2944232.9657699941</v>
      </c>
      <c r="K87" s="743">
        <f>(J81-J87)/J81</f>
        <v>7.9034703883995548E-3</v>
      </c>
    </row>
    <row r="88" spans="1:11">
      <c r="A88" s="95">
        <v>9</v>
      </c>
      <c r="B88" s="741" t="s">
        <v>1439</v>
      </c>
      <c r="C88" s="238"/>
      <c r="D88" s="153"/>
      <c r="E88" s="153"/>
      <c r="F88" s="153"/>
      <c r="G88" s="153"/>
      <c r="H88" s="153"/>
      <c r="I88" s="153"/>
      <c r="J88" s="153"/>
      <c r="K88" s="743"/>
    </row>
    <row r="89" spans="1:11">
      <c r="A89" s="153">
        <v>1</v>
      </c>
      <c r="B89" s="238" t="s">
        <v>1440</v>
      </c>
      <c r="C89" s="238" t="s">
        <v>1441</v>
      </c>
      <c r="D89" s="153">
        <v>1441.27</v>
      </c>
      <c r="E89" s="153">
        <v>1473.15</v>
      </c>
      <c r="F89" s="153">
        <f>E89-D89</f>
        <v>31.880000000000109</v>
      </c>
      <c r="G89" s="153">
        <v>60000</v>
      </c>
      <c r="H89" s="153">
        <f>F89*G89</f>
        <v>1912800.0000000065</v>
      </c>
      <c r="I89" s="153"/>
      <c r="J89" s="153">
        <f>H89+I89</f>
        <v>1912800.0000000065</v>
      </c>
      <c r="K89" s="727"/>
    </row>
    <row r="90" spans="1:11">
      <c r="A90" s="153"/>
      <c r="B90" s="734" t="s">
        <v>1363</v>
      </c>
      <c r="C90" s="238"/>
      <c r="D90" s="153"/>
      <c r="E90" s="153"/>
      <c r="F90" s="153"/>
      <c r="G90" s="153"/>
      <c r="H90" s="153"/>
      <c r="I90" s="153"/>
      <c r="J90" s="153">
        <f>SUM(J89)</f>
        <v>1912800.0000000065</v>
      </c>
      <c r="K90" s="743"/>
    </row>
    <row r="91" spans="1:11">
      <c r="A91" s="153"/>
      <c r="B91" s="737" t="s">
        <v>1364</v>
      </c>
      <c r="C91" s="238"/>
      <c r="D91" s="153"/>
      <c r="E91" s="153"/>
      <c r="F91" s="153"/>
      <c r="G91" s="153"/>
      <c r="H91" s="153"/>
      <c r="I91" s="153"/>
      <c r="J91" s="153"/>
      <c r="K91" s="153"/>
    </row>
    <row r="92" spans="1:11">
      <c r="A92" s="153">
        <v>29</v>
      </c>
      <c r="B92" s="238" t="s">
        <v>1167</v>
      </c>
      <c r="C92" s="238" t="s">
        <v>1442</v>
      </c>
      <c r="D92" s="153">
        <v>73376.2</v>
      </c>
      <c r="E92" s="153">
        <v>73710.5</v>
      </c>
      <c r="F92" s="153">
        <f>E92-D92</f>
        <v>334.30000000000291</v>
      </c>
      <c r="G92" s="153">
        <v>2000</v>
      </c>
      <c r="H92" s="153">
        <f>F92*G92</f>
        <v>668600.00000000582</v>
      </c>
      <c r="I92" s="747"/>
      <c r="J92" s="153">
        <f>H92+I92</f>
        <v>668600.00000000582</v>
      </c>
      <c r="K92" s="756"/>
    </row>
    <row r="93" spans="1:11">
      <c r="A93" s="153">
        <v>30</v>
      </c>
      <c r="B93" s="238" t="s">
        <v>1443</v>
      </c>
      <c r="C93" s="238" t="s">
        <v>1444</v>
      </c>
      <c r="D93" s="153">
        <v>92618</v>
      </c>
      <c r="E93" s="153">
        <v>93239.9</v>
      </c>
      <c r="F93" s="153">
        <f>E93-D93</f>
        <v>621.89999999999418</v>
      </c>
      <c r="G93" s="153">
        <v>2000</v>
      </c>
      <c r="H93" s="153">
        <f>F93*G93</f>
        <v>1243799.9999999884</v>
      </c>
      <c r="I93" s="747"/>
      <c r="J93" s="153">
        <f>H93+I93</f>
        <v>1243799.9999999884</v>
      </c>
      <c r="K93" s="756"/>
    </row>
    <row r="94" spans="1:11">
      <c r="A94" s="153"/>
      <c r="B94" s="238"/>
      <c r="C94" s="238"/>
      <c r="D94" s="153"/>
      <c r="E94" s="153"/>
      <c r="F94" s="153"/>
      <c r="G94" s="153"/>
      <c r="H94" s="153"/>
      <c r="I94" s="153"/>
      <c r="J94" s="153">
        <f>SUM(J92:J93)</f>
        <v>1912399.9999999942</v>
      </c>
      <c r="K94" s="743">
        <f>(J90-J94)/J90</f>
        <v>2.0911752405496583E-4</v>
      </c>
    </row>
    <row r="95" spans="1:11">
      <c r="A95" s="153"/>
      <c r="B95" s="238"/>
      <c r="C95" s="238"/>
      <c r="D95" s="153"/>
      <c r="E95" s="153"/>
      <c r="F95" s="153"/>
      <c r="G95" s="153"/>
      <c r="H95" s="153"/>
      <c r="I95" s="153"/>
      <c r="J95" s="153"/>
      <c r="K95" s="743"/>
    </row>
    <row r="96" spans="1:11">
      <c r="A96" s="95">
        <v>10</v>
      </c>
      <c r="B96" s="741" t="s">
        <v>1445</v>
      </c>
      <c r="C96" s="238"/>
      <c r="D96" s="153"/>
      <c r="E96" s="153"/>
      <c r="F96" s="153"/>
      <c r="G96" s="153"/>
      <c r="H96" s="153"/>
      <c r="I96" s="153"/>
      <c r="J96" s="153"/>
      <c r="K96" s="743"/>
    </row>
    <row r="97" spans="1:11">
      <c r="A97" s="153">
        <v>1</v>
      </c>
      <c r="B97" s="238" t="s">
        <v>1381</v>
      </c>
      <c r="C97" s="14" t="s">
        <v>1446</v>
      </c>
      <c r="D97" s="153">
        <v>4390</v>
      </c>
      <c r="E97" s="153">
        <v>4699.8999999999996</v>
      </c>
      <c r="F97" s="153">
        <f>E97-D97</f>
        <v>309.89999999999964</v>
      </c>
      <c r="G97" s="153">
        <v>2000</v>
      </c>
      <c r="H97" s="153">
        <f>F97*G97</f>
        <v>619799.9999999993</v>
      </c>
      <c r="I97" s="153"/>
      <c r="J97" s="153">
        <f>H97+I97</f>
        <v>619799.9999999993</v>
      </c>
      <c r="K97" s="757"/>
    </row>
    <row r="98" spans="1:11">
      <c r="A98" s="153"/>
      <c r="B98" s="734" t="s">
        <v>1363</v>
      </c>
      <c r="C98" s="14"/>
      <c r="D98" s="153"/>
      <c r="E98" s="153"/>
      <c r="F98" s="153"/>
      <c r="G98" s="153"/>
      <c r="H98" s="153"/>
      <c r="I98" s="153"/>
      <c r="J98" s="153">
        <f>SUM(J97)</f>
        <v>619799.9999999993</v>
      </c>
      <c r="K98" s="743"/>
    </row>
    <row r="99" spans="1:11">
      <c r="A99" s="153"/>
      <c r="B99" s="737" t="s">
        <v>1364</v>
      </c>
      <c r="C99" s="14"/>
      <c r="D99" s="153"/>
      <c r="E99" s="153"/>
      <c r="F99" s="153"/>
      <c r="G99" s="153"/>
      <c r="H99" s="153"/>
      <c r="I99" s="153"/>
      <c r="J99" s="153"/>
      <c r="K99" s="743"/>
    </row>
    <row r="100" spans="1:11">
      <c r="A100" s="153">
        <v>31</v>
      </c>
      <c r="B100" s="238" t="s">
        <v>1447</v>
      </c>
      <c r="C100" s="14">
        <v>3300073</v>
      </c>
      <c r="D100" s="153">
        <v>481445.5</v>
      </c>
      <c r="E100" s="153">
        <v>527111.5</v>
      </c>
      <c r="F100" s="153">
        <f>E100-D100</f>
        <v>45666</v>
      </c>
      <c r="G100" s="153">
        <v>13.333</v>
      </c>
      <c r="H100" s="244">
        <f>F100*G100</f>
        <v>608864.77800000005</v>
      </c>
      <c r="I100" s="261"/>
      <c r="J100" s="244">
        <f>H100+I100</f>
        <v>608864.77800000005</v>
      </c>
      <c r="K100" s="757"/>
    </row>
    <row r="101" spans="1:11">
      <c r="A101" s="153">
        <v>31</v>
      </c>
      <c r="B101" s="238" t="s">
        <v>1448</v>
      </c>
      <c r="C101" s="14"/>
      <c r="D101" s="153"/>
      <c r="E101" s="153"/>
      <c r="F101" s="153"/>
      <c r="G101" s="153"/>
      <c r="H101" s="244"/>
      <c r="I101" s="153"/>
      <c r="J101" s="244"/>
      <c r="K101" s="757"/>
    </row>
    <row r="102" spans="1:11">
      <c r="A102" s="153"/>
      <c r="B102" s="238"/>
      <c r="C102" s="238"/>
      <c r="D102" s="153"/>
      <c r="E102" s="153"/>
      <c r="F102" s="153"/>
      <c r="G102" s="153"/>
      <c r="H102" s="153"/>
      <c r="I102" s="153"/>
      <c r="J102" s="244">
        <f>SUM(J100+J101)</f>
        <v>608864.77800000005</v>
      </c>
      <c r="K102" s="743">
        <f>(J97-J102)/J97</f>
        <v>1.764314617618468E-2</v>
      </c>
    </row>
    <row r="103" spans="1:11">
      <c r="A103" s="95">
        <v>11</v>
      </c>
      <c r="B103" s="741" t="s">
        <v>1449</v>
      </c>
      <c r="C103" s="238"/>
      <c r="D103" s="153"/>
      <c r="E103" s="153"/>
      <c r="F103" s="153"/>
      <c r="G103" s="153"/>
      <c r="H103" s="153"/>
      <c r="I103" s="153"/>
      <c r="J103" s="244"/>
      <c r="K103" s="743"/>
    </row>
    <row r="104" spans="1:11">
      <c r="A104" s="153">
        <v>1</v>
      </c>
      <c r="B104" s="238" t="s">
        <v>1381</v>
      </c>
      <c r="C104" s="14" t="s">
        <v>1450</v>
      </c>
      <c r="D104" s="153">
        <v>2808400</v>
      </c>
      <c r="E104" s="153">
        <v>2820850</v>
      </c>
      <c r="F104" s="153">
        <f>E104-D104</f>
        <v>12450</v>
      </c>
      <c r="G104" s="153">
        <v>1</v>
      </c>
      <c r="H104" s="153">
        <f>F104*G104</f>
        <v>12450</v>
      </c>
      <c r="I104" s="153">
        <v>55205</v>
      </c>
      <c r="J104" s="153">
        <f>H104+I104</f>
        <v>67655</v>
      </c>
      <c r="K104" s="743"/>
    </row>
    <row r="105" spans="1:11">
      <c r="A105" s="153"/>
      <c r="B105" s="734" t="s">
        <v>1363</v>
      </c>
      <c r="C105" s="238"/>
      <c r="D105" s="153"/>
      <c r="E105" s="153"/>
      <c r="F105" s="153"/>
      <c r="G105" s="153"/>
      <c r="H105" s="153"/>
      <c r="I105" s="153"/>
      <c r="J105" s="153">
        <f>SUM(J104)</f>
        <v>67655</v>
      </c>
      <c r="K105" s="743"/>
    </row>
    <row r="106" spans="1:11">
      <c r="A106" s="153"/>
      <c r="B106" s="737" t="s">
        <v>1364</v>
      </c>
      <c r="C106" s="238"/>
      <c r="D106" s="153"/>
      <c r="E106" s="153"/>
      <c r="F106" s="153"/>
      <c r="G106" s="153"/>
      <c r="H106" s="153"/>
      <c r="I106" s="153"/>
      <c r="J106" s="153"/>
      <c r="K106" s="743"/>
    </row>
    <row r="107" spans="1:11">
      <c r="A107" s="153">
        <v>32</v>
      </c>
      <c r="B107" s="238" t="s">
        <v>1451</v>
      </c>
      <c r="C107" s="14"/>
      <c r="D107" s="153"/>
      <c r="E107" s="153"/>
      <c r="F107" s="153">
        <f>E107-D107</f>
        <v>0</v>
      </c>
      <c r="G107" s="153">
        <v>2000</v>
      </c>
      <c r="H107" s="153">
        <f>F107*G107</f>
        <v>0</v>
      </c>
      <c r="I107" s="244">
        <v>38920</v>
      </c>
      <c r="J107" s="153">
        <f>H107+I107</f>
        <v>38920</v>
      </c>
      <c r="K107" s="743"/>
    </row>
    <row r="108" spans="1:11">
      <c r="A108" s="153">
        <v>33</v>
      </c>
      <c r="B108" s="238" t="s">
        <v>1452</v>
      </c>
      <c r="C108" s="14" t="s">
        <v>1453</v>
      </c>
      <c r="D108" s="153">
        <v>461885</v>
      </c>
      <c r="E108" s="153">
        <v>461885</v>
      </c>
      <c r="F108" s="153">
        <f>E108-D108</f>
        <v>0</v>
      </c>
      <c r="G108" s="153">
        <v>1</v>
      </c>
      <c r="H108" s="153">
        <f>F108*G108</f>
        <v>0</v>
      </c>
      <c r="I108" s="153">
        <f>H109+I109</f>
        <v>28335</v>
      </c>
      <c r="J108" s="153">
        <f>H108+I108</f>
        <v>28335</v>
      </c>
      <c r="K108" s="153"/>
    </row>
    <row r="109" spans="1:11">
      <c r="A109" s="153">
        <v>33</v>
      </c>
      <c r="B109" s="238" t="s">
        <v>1454</v>
      </c>
      <c r="C109" s="14" t="s">
        <v>1453</v>
      </c>
      <c r="D109" s="153">
        <v>1456670</v>
      </c>
      <c r="E109" s="153">
        <v>1485005</v>
      </c>
      <c r="F109" s="153">
        <f>E109-D109</f>
        <v>28335</v>
      </c>
      <c r="G109" s="153">
        <v>1</v>
      </c>
      <c r="H109" s="153">
        <f>F109*G109</f>
        <v>28335</v>
      </c>
      <c r="I109" s="153"/>
      <c r="J109" s="153">
        <f>H109+I109</f>
        <v>28335</v>
      </c>
      <c r="K109" s="153"/>
    </row>
    <row r="110" spans="1:11">
      <c r="A110" s="153"/>
      <c r="B110" s="238"/>
      <c r="C110" s="238"/>
      <c r="D110" s="153"/>
      <c r="E110" s="153"/>
      <c r="F110" s="153"/>
      <c r="G110" s="153"/>
      <c r="H110" s="153"/>
      <c r="I110" s="153"/>
      <c r="J110" s="153">
        <f>SUM(J107:J108)</f>
        <v>67255</v>
      </c>
      <c r="K110" s="743">
        <f>(J104-J110)/J104</f>
        <v>5.9123494198507131E-3</v>
      </c>
    </row>
    <row r="111" spans="1:11">
      <c r="A111" s="95">
        <v>12</v>
      </c>
      <c r="B111" s="741" t="s">
        <v>1455</v>
      </c>
      <c r="C111" s="734"/>
      <c r="D111" s="161"/>
      <c r="E111" s="161"/>
      <c r="F111" s="161"/>
      <c r="G111" s="161"/>
      <c r="H111" s="161"/>
      <c r="I111" s="153"/>
      <c r="J111" s="153"/>
      <c r="K111" s="743"/>
    </row>
    <row r="112" spans="1:11">
      <c r="A112" s="153">
        <v>1</v>
      </c>
      <c r="B112" s="238" t="s">
        <v>1376</v>
      </c>
      <c r="C112" s="238" t="s">
        <v>1456</v>
      </c>
      <c r="D112" s="153">
        <v>3437</v>
      </c>
      <c r="E112" s="153">
        <v>3437</v>
      </c>
      <c r="F112" s="153">
        <f>E112-D112</f>
        <v>0</v>
      </c>
      <c r="G112" s="153">
        <v>24000</v>
      </c>
      <c r="H112" s="153">
        <f>F112*G112</f>
        <v>0</v>
      </c>
      <c r="I112" s="153"/>
      <c r="J112" s="153">
        <f>H112+I112</f>
        <v>0</v>
      </c>
      <c r="K112" s="153"/>
    </row>
    <row r="113" spans="1:11">
      <c r="A113" s="153">
        <v>2</v>
      </c>
      <c r="B113" s="734" t="s">
        <v>1376</v>
      </c>
      <c r="C113" s="238" t="s">
        <v>1457</v>
      </c>
      <c r="D113" s="153">
        <v>3427.2</v>
      </c>
      <c r="E113" s="153">
        <v>3554.17</v>
      </c>
      <c r="F113" s="153">
        <f>E113-D113</f>
        <v>126.97000000000025</v>
      </c>
      <c r="G113" s="153">
        <v>24000</v>
      </c>
      <c r="H113" s="153">
        <f>F113*G113</f>
        <v>3047280.0000000061</v>
      </c>
      <c r="I113" s="153"/>
      <c r="J113" s="153">
        <f>H113+I113</f>
        <v>3047280.0000000061</v>
      </c>
      <c r="K113" s="153"/>
    </row>
    <row r="114" spans="1:11">
      <c r="A114" s="153"/>
      <c r="B114" s="734" t="s">
        <v>1458</v>
      </c>
      <c r="C114" s="238" t="s">
        <v>1459</v>
      </c>
      <c r="D114" s="153">
        <v>131.16999999999999</v>
      </c>
      <c r="E114" s="153">
        <v>147.97</v>
      </c>
      <c r="F114" s="153">
        <f>E114-D114</f>
        <v>16.800000000000011</v>
      </c>
      <c r="G114" s="153">
        <v>24000</v>
      </c>
      <c r="H114" s="153">
        <f>F114*G114</f>
        <v>403200.00000000029</v>
      </c>
      <c r="I114" s="153"/>
      <c r="J114" s="153">
        <f>H114+I114</f>
        <v>403200.00000000029</v>
      </c>
      <c r="K114" s="153"/>
    </row>
    <row r="115" spans="1:11">
      <c r="A115" s="153"/>
      <c r="B115" s="734" t="s">
        <v>1363</v>
      </c>
      <c r="C115" s="238"/>
      <c r="D115" s="153"/>
      <c r="E115" s="153"/>
      <c r="F115" s="153"/>
      <c r="G115" s="153"/>
      <c r="H115" s="153"/>
      <c r="I115" s="153"/>
      <c r="J115" s="153">
        <f>SUM(J112:J114)</f>
        <v>3450480.0000000065</v>
      </c>
      <c r="K115" s="161"/>
    </row>
    <row r="116" spans="1:11">
      <c r="A116" s="153">
        <v>34</v>
      </c>
      <c r="B116" s="238" t="s">
        <v>1137</v>
      </c>
      <c r="C116" s="238" t="s">
        <v>1460</v>
      </c>
      <c r="D116" s="153">
        <v>7669.9</v>
      </c>
      <c r="E116" s="153">
        <v>7803.08</v>
      </c>
      <c r="F116" s="153">
        <f>E116-D116</f>
        <v>133.18000000000029</v>
      </c>
      <c r="G116" s="153">
        <v>6000</v>
      </c>
      <c r="H116" s="153">
        <f>F116*G116</f>
        <v>799080.00000000175</v>
      </c>
      <c r="I116" s="153"/>
      <c r="J116" s="153">
        <f>H116+I116</f>
        <v>799080.00000000175</v>
      </c>
      <c r="K116" s="153"/>
    </row>
    <row r="117" spans="1:11">
      <c r="A117" s="153">
        <v>35</v>
      </c>
      <c r="B117" s="238" t="s">
        <v>1461</v>
      </c>
      <c r="C117" s="238" t="s">
        <v>1462</v>
      </c>
      <c r="D117" s="247">
        <v>6689.95</v>
      </c>
      <c r="E117" s="247">
        <v>6828.17</v>
      </c>
      <c r="F117" s="247">
        <f>E117-D117</f>
        <v>138.22000000000025</v>
      </c>
      <c r="G117" s="153">
        <v>6000</v>
      </c>
      <c r="H117" s="153">
        <f>F117*G117</f>
        <v>829320.00000000151</v>
      </c>
      <c r="I117" s="153"/>
      <c r="J117" s="153">
        <f>H117+I117</f>
        <v>829320.00000000151</v>
      </c>
      <c r="K117" s="153"/>
    </row>
    <row r="118" spans="1:11">
      <c r="A118" s="153">
        <v>36</v>
      </c>
      <c r="B118" s="238" t="s">
        <v>1291</v>
      </c>
      <c r="C118" s="238" t="s">
        <v>1463</v>
      </c>
      <c r="D118" s="247">
        <v>5849.44</v>
      </c>
      <c r="E118" s="247">
        <v>5944.28</v>
      </c>
      <c r="F118" s="153">
        <f>E118-D118</f>
        <v>94.840000000000146</v>
      </c>
      <c r="G118" s="153">
        <v>6000</v>
      </c>
      <c r="H118" s="153">
        <f>F118*G118</f>
        <v>569040.00000000093</v>
      </c>
      <c r="I118" s="244"/>
      <c r="J118" s="244">
        <f>H118+I118</f>
        <v>569040.00000000093</v>
      </c>
      <c r="K118" s="153"/>
    </row>
    <row r="119" spans="1:11">
      <c r="A119" s="161">
        <v>37</v>
      </c>
      <c r="B119" s="238" t="s">
        <v>1464</v>
      </c>
      <c r="C119" s="238" t="s">
        <v>1465</v>
      </c>
      <c r="D119" s="153">
        <v>7140.88</v>
      </c>
      <c r="E119" s="153">
        <v>7277.75</v>
      </c>
      <c r="F119" s="153">
        <f>E119-D119</f>
        <v>136.86999999999989</v>
      </c>
      <c r="G119" s="153">
        <v>6000</v>
      </c>
      <c r="H119" s="153">
        <f>F119*G119</f>
        <v>821219.9999999993</v>
      </c>
      <c r="I119" s="161"/>
      <c r="J119" s="153">
        <f>H119+I119</f>
        <v>821219.9999999993</v>
      </c>
      <c r="K119" s="161"/>
    </row>
    <row r="120" spans="1:11">
      <c r="A120" s="161"/>
      <c r="B120" s="238" t="s">
        <v>1466</v>
      </c>
      <c r="C120" s="238" t="s">
        <v>1467</v>
      </c>
      <c r="D120" s="153">
        <v>234.71</v>
      </c>
      <c r="E120" s="153">
        <v>267.63</v>
      </c>
      <c r="F120" s="153">
        <f>E120-D120</f>
        <v>32.919999999999987</v>
      </c>
      <c r="G120" s="153">
        <v>6000</v>
      </c>
      <c r="H120" s="153">
        <f>F120*G120</f>
        <v>197519.99999999991</v>
      </c>
      <c r="I120" s="244">
        <f>377700-H120</f>
        <v>180180.00000000009</v>
      </c>
      <c r="J120" s="244">
        <f>H120+I120</f>
        <v>377700</v>
      </c>
      <c r="K120" s="161"/>
    </row>
    <row r="121" spans="1:11">
      <c r="A121" s="161"/>
      <c r="B121" s="238"/>
      <c r="C121" s="238"/>
      <c r="D121" s="153"/>
      <c r="E121" s="153"/>
      <c r="F121" s="153"/>
      <c r="G121" s="153"/>
      <c r="H121" s="153"/>
      <c r="I121" s="161"/>
      <c r="J121" s="749">
        <f>SUM(J116:J120)</f>
        <v>3396360.0000000037</v>
      </c>
      <c r="K121" s="759">
        <f>(J115-J121)/J115</f>
        <v>1.5684774292273159E-2</v>
      </c>
    </row>
    <row r="122" spans="1:11">
      <c r="A122" s="161">
        <v>13</v>
      </c>
      <c r="B122" s="239" t="s">
        <v>1468</v>
      </c>
      <c r="C122" s="202"/>
      <c r="D122" s="202"/>
      <c r="E122" s="202"/>
      <c r="F122" s="202"/>
      <c r="G122" s="202"/>
      <c r="H122" s="153"/>
      <c r="I122" s="161"/>
      <c r="J122" s="161"/>
      <c r="K122" s="760"/>
    </row>
    <row r="123" spans="1:11">
      <c r="A123" s="161">
        <v>1</v>
      </c>
      <c r="B123" s="238" t="s">
        <v>1381</v>
      </c>
      <c r="C123" s="153">
        <v>3300082</v>
      </c>
      <c r="D123" s="153">
        <v>911725</v>
      </c>
      <c r="E123" s="153">
        <v>911725</v>
      </c>
      <c r="F123" s="153">
        <f>E123-D123</f>
        <v>0</v>
      </c>
      <c r="G123" s="153">
        <v>40</v>
      </c>
      <c r="H123" s="153">
        <f>F123*G123</f>
        <v>0</v>
      </c>
      <c r="I123" s="161">
        <v>300800</v>
      </c>
      <c r="J123" s="153">
        <f>H123+I123</f>
        <v>300800</v>
      </c>
      <c r="K123" s="760"/>
    </row>
    <row r="124" spans="1:11">
      <c r="A124" s="161"/>
      <c r="B124" s="238"/>
      <c r="C124" s="14"/>
      <c r="D124" s="153"/>
      <c r="E124" s="153"/>
      <c r="F124" s="153"/>
      <c r="G124" s="153"/>
      <c r="H124" s="153"/>
      <c r="I124" s="161"/>
      <c r="J124" s="153"/>
      <c r="K124" s="760"/>
    </row>
    <row r="125" spans="1:11">
      <c r="A125" s="161"/>
      <c r="B125" s="734" t="s">
        <v>1363</v>
      </c>
      <c r="C125" s="238"/>
      <c r="D125" s="153"/>
      <c r="E125" s="153"/>
      <c r="F125" s="153"/>
      <c r="G125" s="153"/>
      <c r="H125" s="153"/>
      <c r="I125" s="161"/>
      <c r="J125" s="153">
        <f>SUM(J123)</f>
        <v>300800</v>
      </c>
      <c r="K125" s="760"/>
    </row>
    <row r="126" spans="1:11">
      <c r="A126" s="161">
        <v>38</v>
      </c>
      <c r="B126" s="752" t="s">
        <v>1469</v>
      </c>
      <c r="C126" s="752">
        <v>3310877</v>
      </c>
      <c r="D126" s="155">
        <v>162658.9</v>
      </c>
      <c r="E126" s="155">
        <v>172651</v>
      </c>
      <c r="F126" s="155">
        <f>E126-D126</f>
        <v>9992.1000000000058</v>
      </c>
      <c r="G126" s="155">
        <v>30</v>
      </c>
      <c r="H126" s="155">
        <f>F126*G126</f>
        <v>299763.00000000017</v>
      </c>
      <c r="I126" s="761"/>
      <c r="J126" s="158">
        <f>H126+I126</f>
        <v>299763.00000000017</v>
      </c>
      <c r="K126" s="760"/>
    </row>
    <row r="127" spans="1:11">
      <c r="A127" s="161">
        <v>39</v>
      </c>
      <c r="B127" s="752" t="s">
        <v>28</v>
      </c>
      <c r="C127" s="752" t="s">
        <v>1470</v>
      </c>
      <c r="D127" s="762">
        <v>10265</v>
      </c>
      <c r="E127" s="155">
        <v>14070.6</v>
      </c>
      <c r="F127" s="155">
        <f>E127-D127</f>
        <v>3805.6000000000004</v>
      </c>
      <c r="G127" s="155">
        <v>0</v>
      </c>
      <c r="H127" s="155">
        <f>F127*G127</f>
        <v>0</v>
      </c>
      <c r="I127" s="763"/>
      <c r="J127" s="158">
        <f>H127+I127</f>
        <v>0</v>
      </c>
      <c r="K127" s="760"/>
    </row>
    <row r="128" spans="1:11">
      <c r="A128" s="161"/>
      <c r="B128" s="238"/>
      <c r="C128" s="238"/>
      <c r="D128" s="153"/>
      <c r="E128" s="153"/>
      <c r="F128" s="153"/>
      <c r="G128" s="153"/>
      <c r="H128" s="153"/>
      <c r="I128" s="161"/>
      <c r="J128" s="749">
        <f>SUM(J126)</f>
        <v>299763.00000000017</v>
      </c>
      <c r="K128" s="759">
        <f>(J123-J128)/J123</f>
        <v>3.4474734042547386E-3</v>
      </c>
    </row>
    <row r="129" spans="1:11">
      <c r="A129" s="161">
        <v>14</v>
      </c>
      <c r="B129" s="239" t="s">
        <v>1471</v>
      </c>
      <c r="C129" s="238"/>
      <c r="D129" s="153"/>
      <c r="E129" s="153"/>
      <c r="F129" s="153"/>
      <c r="G129" s="153"/>
      <c r="H129" s="153"/>
      <c r="I129" s="161"/>
      <c r="J129" s="161"/>
      <c r="K129" s="759"/>
    </row>
    <row r="130" spans="1:11">
      <c r="A130" s="161"/>
      <c r="B130" s="238" t="s">
        <v>1472</v>
      </c>
      <c r="C130" s="153" t="s">
        <v>1473</v>
      </c>
      <c r="D130" s="153">
        <v>4171</v>
      </c>
      <c r="E130" s="153">
        <v>4426</v>
      </c>
      <c r="F130" s="153">
        <f>E130-D130</f>
        <v>255</v>
      </c>
      <c r="G130" s="153">
        <v>60</v>
      </c>
      <c r="H130" s="153">
        <f>F130*G130</f>
        <v>15300</v>
      </c>
      <c r="I130" s="749">
        <f>25919-H130</f>
        <v>10619</v>
      </c>
      <c r="J130" s="244">
        <f>H130+I130</f>
        <v>25919</v>
      </c>
      <c r="K130" s="759"/>
    </row>
    <row r="131" spans="1:11">
      <c r="A131" s="161"/>
      <c r="B131" s="238"/>
      <c r="C131" s="238"/>
      <c r="D131" s="153"/>
      <c r="E131" s="153"/>
      <c r="F131" s="153"/>
      <c r="G131" s="153"/>
      <c r="H131" s="153"/>
      <c r="I131" s="161"/>
      <c r="J131" s="161"/>
      <c r="K131" s="759"/>
    </row>
    <row r="132" spans="1:11">
      <c r="A132" s="161"/>
      <c r="B132" s="734" t="s">
        <v>1363</v>
      </c>
      <c r="C132" s="238"/>
      <c r="D132" s="153"/>
      <c r="E132" s="153"/>
      <c r="F132" s="153"/>
      <c r="G132" s="153"/>
      <c r="H132" s="153"/>
      <c r="I132" s="161"/>
      <c r="J132" s="161"/>
      <c r="K132" s="759"/>
    </row>
    <row r="133" spans="1:11">
      <c r="A133" s="161"/>
      <c r="B133" s="238" t="s">
        <v>1474</v>
      </c>
      <c r="C133" s="153" t="s">
        <v>1475</v>
      </c>
      <c r="D133" s="153">
        <v>5217.5</v>
      </c>
      <c r="E133" s="153">
        <v>5540.5</v>
      </c>
      <c r="F133" s="153">
        <f>E133-D133</f>
        <v>323</v>
      </c>
      <c r="G133" s="153">
        <v>40</v>
      </c>
      <c r="H133" s="153">
        <f>F133*G133</f>
        <v>12920</v>
      </c>
      <c r="I133" s="749">
        <v>6090</v>
      </c>
      <c r="J133" s="244">
        <f>H133+I133</f>
        <v>19010</v>
      </c>
      <c r="K133" s="759"/>
    </row>
    <row r="134" spans="1:11">
      <c r="A134" s="161"/>
      <c r="B134" s="238" t="s">
        <v>1476</v>
      </c>
      <c r="C134" s="153" t="s">
        <v>1477</v>
      </c>
      <c r="D134" s="153">
        <v>1111.5</v>
      </c>
      <c r="E134" s="153">
        <v>1183.5</v>
      </c>
      <c r="F134" s="153">
        <f>E134-D134</f>
        <v>72</v>
      </c>
      <c r="G134" s="153">
        <v>40</v>
      </c>
      <c r="H134" s="153">
        <f>F134*G134</f>
        <v>2880</v>
      </c>
      <c r="I134" s="749">
        <v>3520</v>
      </c>
      <c r="J134" s="244">
        <f>H134+I134</f>
        <v>6400</v>
      </c>
      <c r="K134" s="759"/>
    </row>
    <row r="135" spans="1:11">
      <c r="A135" s="161"/>
      <c r="B135" s="238"/>
      <c r="C135" s="238"/>
      <c r="D135" s="153"/>
      <c r="E135" s="153"/>
      <c r="F135" s="153"/>
      <c r="G135" s="153"/>
      <c r="H135" s="153"/>
      <c r="I135" s="161"/>
      <c r="J135" s="749">
        <f>SUM(J133:J134)</f>
        <v>25410</v>
      </c>
      <c r="K135" s="759">
        <f>(J130-J135)/J130</f>
        <v>1.963810332188742E-2</v>
      </c>
    </row>
    <row r="136" spans="1:11">
      <c r="A136" s="161">
        <v>14</v>
      </c>
      <c r="B136" s="239" t="s">
        <v>1478</v>
      </c>
      <c r="C136" s="238"/>
      <c r="D136" s="153"/>
      <c r="E136" s="153"/>
      <c r="F136" s="153"/>
      <c r="G136" s="153"/>
      <c r="H136" s="153"/>
      <c r="I136" s="161"/>
      <c r="J136" s="161"/>
      <c r="K136" s="759"/>
    </row>
    <row r="137" spans="1:11">
      <c r="A137" s="161"/>
      <c r="B137" s="238" t="s">
        <v>1479</v>
      </c>
      <c r="C137" s="153"/>
      <c r="D137" s="153">
        <v>17276.5</v>
      </c>
      <c r="E137" s="764">
        <v>20108.5</v>
      </c>
      <c r="F137" s="153">
        <f>E137-D137</f>
        <v>2832</v>
      </c>
      <c r="G137" s="153">
        <v>1000</v>
      </c>
      <c r="H137" s="153">
        <f>F137*G137</f>
        <v>2832000</v>
      </c>
      <c r="I137" s="161"/>
      <c r="J137" s="153">
        <f>H137+I137</f>
        <v>2832000</v>
      </c>
      <c r="K137" s="759"/>
    </row>
    <row r="138" spans="1:11">
      <c r="A138" s="161"/>
      <c r="B138" s="238"/>
      <c r="C138" s="238"/>
      <c r="D138" s="153"/>
      <c r="E138" s="153"/>
      <c r="F138" s="153"/>
      <c r="G138" s="153"/>
      <c r="H138" s="153"/>
      <c r="I138" s="161"/>
      <c r="J138" s="161"/>
      <c r="K138" s="759"/>
    </row>
    <row r="139" spans="1:11">
      <c r="A139" s="161"/>
      <c r="B139" s="734" t="s">
        <v>1363</v>
      </c>
      <c r="C139" s="238"/>
      <c r="D139" s="153"/>
      <c r="E139" s="153"/>
      <c r="F139" s="153"/>
      <c r="G139" s="153"/>
      <c r="H139" s="153"/>
      <c r="I139" s="161"/>
      <c r="J139" s="161"/>
      <c r="K139" s="759"/>
    </row>
    <row r="140" spans="1:11">
      <c r="A140" s="161"/>
      <c r="B140" s="238" t="s">
        <v>1480</v>
      </c>
      <c r="C140" s="153"/>
      <c r="D140" s="153">
        <v>10005.780000000001</v>
      </c>
      <c r="E140" s="153">
        <v>11130.5</v>
      </c>
      <c r="F140" s="153">
        <f>E140-D140</f>
        <v>1124.7199999999993</v>
      </c>
      <c r="G140" s="153">
        <v>1000</v>
      </c>
      <c r="H140" s="153">
        <f>F140*G140</f>
        <v>1124719.9999999993</v>
      </c>
      <c r="I140" s="749"/>
      <c r="J140" s="153">
        <f>H140+I140</f>
        <v>1124719.9999999993</v>
      </c>
      <c r="K140" s="759"/>
    </row>
    <row r="141" spans="1:11">
      <c r="A141" s="161"/>
      <c r="B141" s="238" t="s">
        <v>1481</v>
      </c>
      <c r="C141" s="153"/>
      <c r="D141" s="153">
        <v>2364.23</v>
      </c>
      <c r="E141" s="153">
        <v>2575.4</v>
      </c>
      <c r="F141" s="153">
        <f>E141-D141</f>
        <v>211.17000000000007</v>
      </c>
      <c r="G141" s="153">
        <v>1000</v>
      </c>
      <c r="H141" s="153">
        <f>F141*G141</f>
        <v>211170.00000000006</v>
      </c>
      <c r="I141" s="161"/>
      <c r="J141" s="153">
        <f>H141+I141</f>
        <v>211170.00000000006</v>
      </c>
      <c r="K141" s="759"/>
    </row>
    <row r="142" spans="1:11">
      <c r="A142" s="161"/>
      <c r="B142" s="238" t="s">
        <v>1482</v>
      </c>
      <c r="C142" s="153"/>
      <c r="D142" s="153">
        <v>1120.8399999999999</v>
      </c>
      <c r="E142" s="153">
        <v>2586.8000000000002</v>
      </c>
      <c r="F142" s="153">
        <f>E142-D142</f>
        <v>1465.9600000000003</v>
      </c>
      <c r="G142" s="153">
        <v>1000</v>
      </c>
      <c r="H142" s="153">
        <f>F142*G142</f>
        <v>1465960.0000000002</v>
      </c>
      <c r="I142" s="244"/>
      <c r="J142" s="153">
        <f>H142+I142</f>
        <v>1465960.0000000002</v>
      </c>
      <c r="K142" s="759"/>
    </row>
    <row r="143" spans="1:11">
      <c r="A143" s="161"/>
      <c r="B143" s="238"/>
      <c r="C143" s="238"/>
      <c r="D143" s="153"/>
      <c r="E143" s="153"/>
      <c r="F143" s="153"/>
      <c r="G143" s="153"/>
      <c r="H143" s="153"/>
      <c r="I143" s="161"/>
      <c r="J143" s="161">
        <f>SUM(J140:J142)</f>
        <v>2801849.9999999995</v>
      </c>
      <c r="K143" s="759">
        <f>(J137-J143)/J137</f>
        <v>1.0646186440678131E-2</v>
      </c>
    </row>
    <row r="144" spans="1:11">
      <c r="A144" s="153"/>
      <c r="B144" s="239" t="s">
        <v>1483</v>
      </c>
      <c r="C144" s="238"/>
      <c r="D144" s="153"/>
      <c r="E144" s="153"/>
      <c r="F144" s="153"/>
      <c r="G144" s="153"/>
      <c r="H144" s="153"/>
      <c r="I144" s="153"/>
      <c r="J144" s="153"/>
      <c r="K144" s="153"/>
    </row>
    <row r="145" spans="1:11">
      <c r="A145" s="153">
        <v>1</v>
      </c>
      <c r="B145" s="238" t="s">
        <v>1484</v>
      </c>
      <c r="C145" s="238" t="str">
        <f t="shared" ref="C145:H145" si="3">C692</f>
        <v>MPE24438</v>
      </c>
      <c r="D145" s="153">
        <f t="shared" si="3"/>
        <v>26601.3</v>
      </c>
      <c r="E145" s="153">
        <f t="shared" si="3"/>
        <v>26601.3</v>
      </c>
      <c r="F145" s="153">
        <f t="shared" si="3"/>
        <v>0</v>
      </c>
      <c r="G145" s="153">
        <f t="shared" si="3"/>
        <v>2000</v>
      </c>
      <c r="H145" s="153">
        <f t="shared" si="3"/>
        <v>0</v>
      </c>
      <c r="I145" s="244"/>
      <c r="J145" s="153">
        <f>J692</f>
        <v>308040.00000000099</v>
      </c>
      <c r="K145" s="153"/>
    </row>
    <row r="146" spans="1:11">
      <c r="A146" s="153">
        <v>2</v>
      </c>
      <c r="B146" s="238" t="s">
        <v>1200</v>
      </c>
      <c r="C146" s="238" t="s">
        <v>1485</v>
      </c>
      <c r="D146" s="153">
        <f>D184</f>
        <v>122500.7</v>
      </c>
      <c r="E146" s="153">
        <f>E184</f>
        <v>122593.2</v>
      </c>
      <c r="F146" s="153">
        <f>F184</f>
        <v>92.5</v>
      </c>
      <c r="G146" s="153">
        <f>G184</f>
        <v>2000</v>
      </c>
      <c r="H146" s="153">
        <f>H184</f>
        <v>185000</v>
      </c>
      <c r="I146" s="153"/>
      <c r="J146" s="153">
        <f>J245</f>
        <v>185000</v>
      </c>
      <c r="K146" s="153"/>
    </row>
    <row r="147" spans="1:11">
      <c r="A147" s="153">
        <v>3</v>
      </c>
      <c r="B147" s="238" t="s">
        <v>1486</v>
      </c>
      <c r="C147" s="238" t="s">
        <v>1487</v>
      </c>
      <c r="D147" s="244">
        <f>D168</f>
        <v>88463.1</v>
      </c>
      <c r="E147" s="244">
        <f>E168</f>
        <v>88798.399999999994</v>
      </c>
      <c r="F147" s="244">
        <f>F168</f>
        <v>335.29999999998836</v>
      </c>
      <c r="G147" s="244">
        <f>G168</f>
        <v>2000</v>
      </c>
      <c r="H147" s="244">
        <f>H168</f>
        <v>670599.99999997672</v>
      </c>
      <c r="I147" s="153"/>
      <c r="J147" s="244">
        <f>J168</f>
        <v>670599.99999997672</v>
      </c>
      <c r="K147" s="153"/>
    </row>
    <row r="148" spans="1:11">
      <c r="A148" s="153">
        <v>4</v>
      </c>
      <c r="B148" s="238" t="s">
        <v>1171</v>
      </c>
      <c r="C148" s="238" t="s">
        <v>1488</v>
      </c>
      <c r="D148" s="247">
        <f>D172</f>
        <v>152639.6</v>
      </c>
      <c r="E148" s="247">
        <f>E172</f>
        <v>153455.29999999999</v>
      </c>
      <c r="F148" s="244">
        <f>F172</f>
        <v>815.69999999998254</v>
      </c>
      <c r="G148" s="244">
        <f>G172</f>
        <v>2000</v>
      </c>
      <c r="H148" s="244">
        <f>H172</f>
        <v>1631399.9999999651</v>
      </c>
      <c r="I148" s="153"/>
      <c r="J148" s="244">
        <f>J172</f>
        <v>1761063.9999999651</v>
      </c>
      <c r="K148" s="153"/>
    </row>
    <row r="149" spans="1:11">
      <c r="A149" s="153"/>
      <c r="B149" s="766"/>
      <c r="C149" s="238"/>
      <c r="D149" s="153"/>
      <c r="E149" s="153"/>
      <c r="F149" s="153"/>
      <c r="G149" s="153"/>
      <c r="H149" s="153"/>
      <c r="I149" s="153"/>
      <c r="J149" s="95">
        <f>SUM(J145:J148)</f>
        <v>2924703.9999999427</v>
      </c>
      <c r="K149" s="153"/>
    </row>
    <row r="150" spans="1:11">
      <c r="A150" s="153"/>
      <c r="B150" s="733" t="s">
        <v>1489</v>
      </c>
      <c r="C150" s="238"/>
      <c r="D150" s="261"/>
      <c r="E150" s="261"/>
      <c r="F150" s="153"/>
      <c r="G150" s="153"/>
      <c r="H150" s="261"/>
      <c r="I150" s="153"/>
      <c r="J150" s="153"/>
      <c r="K150" s="153"/>
    </row>
    <row r="151" spans="1:11">
      <c r="A151" s="153">
        <v>1</v>
      </c>
      <c r="B151" s="238" t="s">
        <v>1490</v>
      </c>
      <c r="C151" s="238">
        <v>3628907</v>
      </c>
      <c r="D151" s="261">
        <f>D689</f>
        <v>441220.3</v>
      </c>
      <c r="E151" s="261">
        <f>E689</f>
        <v>441220.3</v>
      </c>
      <c r="F151" s="261">
        <f>E151-D151</f>
        <v>0</v>
      </c>
      <c r="G151" s="153">
        <v>1</v>
      </c>
      <c r="H151" s="244">
        <f>F151*G151</f>
        <v>0</v>
      </c>
      <c r="I151" s="244"/>
      <c r="J151" s="244">
        <f>H151+I151</f>
        <v>0</v>
      </c>
      <c r="K151" s="153"/>
    </row>
    <row r="152" spans="1:11">
      <c r="A152" s="153">
        <v>3</v>
      </c>
      <c r="B152" s="748" t="s">
        <v>1491</v>
      </c>
      <c r="C152" s="238" t="str">
        <f t="shared" ref="C152:H152" si="4">C34</f>
        <v>MPE24439</v>
      </c>
      <c r="D152" s="261">
        <f t="shared" si="4"/>
        <v>37273.300000000003</v>
      </c>
      <c r="E152" s="261">
        <f t="shared" si="4"/>
        <v>37482.800000000003</v>
      </c>
      <c r="F152" s="153">
        <f t="shared" si="4"/>
        <v>209.5</v>
      </c>
      <c r="G152" s="153">
        <f t="shared" si="4"/>
        <v>2000</v>
      </c>
      <c r="H152" s="153">
        <f t="shared" si="4"/>
        <v>419000</v>
      </c>
      <c r="I152" s="244"/>
      <c r="J152" s="153">
        <f>J34</f>
        <v>419000</v>
      </c>
      <c r="K152" s="153"/>
    </row>
    <row r="153" spans="1:11">
      <c r="A153" s="153"/>
      <c r="B153" s="755"/>
      <c r="C153" s="238"/>
      <c r="D153" s="153"/>
      <c r="E153" s="153"/>
      <c r="F153" s="153"/>
      <c r="G153" s="153"/>
      <c r="H153" s="153"/>
      <c r="I153" s="153"/>
      <c r="J153" s="349">
        <f>SUM(J151:J152)</f>
        <v>419000</v>
      </c>
      <c r="K153" s="153"/>
    </row>
    <row r="154" spans="1:11">
      <c r="A154" s="153"/>
      <c r="B154" s="238" t="s">
        <v>1492</v>
      </c>
      <c r="C154" s="238"/>
      <c r="D154" s="153"/>
      <c r="E154" s="153"/>
      <c r="F154" s="153"/>
      <c r="G154" s="153"/>
      <c r="H154" s="153"/>
      <c r="I154" s="153"/>
      <c r="J154" s="349">
        <f>J12+J24+J32+J43+J52+J61+J70+J81+J90+J98+J105+J115+J125+J149-J153+J130</f>
        <v>29560933.999999914</v>
      </c>
      <c r="K154" s="153"/>
    </row>
    <row r="155" spans="1:11">
      <c r="A155" s="153"/>
      <c r="B155" s="238" t="s">
        <v>1493</v>
      </c>
      <c r="C155" s="238"/>
      <c r="D155" s="153"/>
      <c r="E155" s="153"/>
      <c r="F155" s="153"/>
      <c r="G155" s="153"/>
      <c r="H155" s="153"/>
      <c r="I155" s="244"/>
      <c r="J155" s="349">
        <f>J20+J29+J38+J48+J56+J66+J77+J87+J94+J102+J110+J121+J128+J149-J153+J135</f>
        <v>29361258.141669951</v>
      </c>
      <c r="K155" s="743">
        <f>(J154-J155)/J154</f>
        <v>6.7547208870316318E-3</v>
      </c>
    </row>
    <row r="156" spans="1:11">
      <c r="A156" s="153"/>
      <c r="B156" s="755"/>
      <c r="C156" s="238"/>
      <c r="D156" s="153"/>
      <c r="E156" s="153"/>
      <c r="F156" s="153"/>
      <c r="G156" s="153"/>
      <c r="H156" s="153"/>
      <c r="I156" s="153"/>
      <c r="J156" s="153"/>
      <c r="K156" s="153"/>
    </row>
    <row r="157" spans="1:11" ht="18">
      <c r="A157" s="1041" t="s">
        <v>1494</v>
      </c>
      <c r="B157" s="1042"/>
      <c r="C157" s="1042"/>
      <c r="D157" s="1042"/>
      <c r="E157" s="1042"/>
      <c r="F157" s="1042"/>
      <c r="G157" s="1042"/>
      <c r="H157" s="1042"/>
      <c r="I157" s="1042"/>
      <c r="J157" s="1042"/>
      <c r="K157" s="1043"/>
    </row>
    <row r="158" spans="1:11">
      <c r="A158" s="1044" t="s">
        <v>1350</v>
      </c>
      <c r="B158" s="1045"/>
      <c r="C158" s="1046"/>
      <c r="D158" s="1054" t="str">
        <f>D2</f>
        <v>OCT.2024</v>
      </c>
      <c r="E158" s="1055"/>
      <c r="F158" s="153"/>
      <c r="G158" s="153"/>
      <c r="H158" s="153"/>
      <c r="I158" s="153"/>
      <c r="J158" s="153"/>
      <c r="K158" s="153"/>
    </row>
    <row r="159" spans="1:11" ht="25.5">
      <c r="A159" s="14"/>
      <c r="B159" s="725" t="s">
        <v>898</v>
      </c>
      <c r="C159" s="726" t="s">
        <v>1351</v>
      </c>
      <c r="D159" s="727"/>
      <c r="E159" s="727"/>
      <c r="F159" s="727" t="s">
        <v>1353</v>
      </c>
      <c r="G159" s="14" t="s">
        <v>135</v>
      </c>
      <c r="H159" s="14" t="s">
        <v>13</v>
      </c>
      <c r="I159" s="728" t="s">
        <v>292</v>
      </c>
      <c r="J159" s="727" t="s">
        <v>1495</v>
      </c>
      <c r="K159" s="727"/>
    </row>
    <row r="160" spans="1:11">
      <c r="A160" s="14"/>
      <c r="B160" s="725"/>
      <c r="C160" s="239"/>
      <c r="D160" s="767">
        <f>D4</f>
        <v>45412</v>
      </c>
      <c r="E160" s="767">
        <f>E4</f>
        <v>45443</v>
      </c>
      <c r="F160" s="69"/>
      <c r="G160" s="69"/>
      <c r="H160" s="69"/>
      <c r="I160" s="69"/>
      <c r="J160" s="768"/>
      <c r="K160" s="153"/>
    </row>
    <row r="161" spans="1:11">
      <c r="A161" s="153">
        <v>1</v>
      </c>
      <c r="B161" s="741" t="s">
        <v>1496</v>
      </c>
      <c r="C161" s="238"/>
      <c r="D161" s="14"/>
      <c r="E161" s="14"/>
      <c r="F161" s="153"/>
      <c r="G161" s="153"/>
      <c r="H161" s="153"/>
      <c r="I161" s="153"/>
      <c r="J161" s="153"/>
      <c r="K161" s="738"/>
    </row>
    <row r="162" spans="1:11">
      <c r="A162" s="153">
        <v>1</v>
      </c>
      <c r="B162" s="238" t="s">
        <v>1497</v>
      </c>
      <c r="C162" s="238" t="s">
        <v>1498</v>
      </c>
      <c r="D162" s="14">
        <v>596703.9</v>
      </c>
      <c r="E162" s="14">
        <v>599724.80000000005</v>
      </c>
      <c r="F162" s="247">
        <f>E162-D162</f>
        <v>3020.9000000000233</v>
      </c>
      <c r="G162" s="153">
        <v>2000</v>
      </c>
      <c r="H162" s="153">
        <f>F162*G162</f>
        <v>6041800.0000000466</v>
      </c>
      <c r="I162" s="769"/>
      <c r="J162" s="244">
        <f>H162+I162</f>
        <v>6041800.0000000466</v>
      </c>
      <c r="K162" s="746"/>
    </row>
    <row r="163" spans="1:11">
      <c r="A163" s="153">
        <v>2</v>
      </c>
      <c r="B163" s="238" t="s">
        <v>1499</v>
      </c>
      <c r="C163" s="14" t="s">
        <v>1500</v>
      </c>
      <c r="D163" s="14">
        <v>4696.13</v>
      </c>
      <c r="E163" s="14">
        <v>4859.79</v>
      </c>
      <c r="F163" s="247">
        <f>E163-D163</f>
        <v>163.65999999999985</v>
      </c>
      <c r="G163" s="153">
        <v>12000</v>
      </c>
      <c r="H163" s="153">
        <f>F163*G163</f>
        <v>1963919.9999999981</v>
      </c>
      <c r="I163" s="153">
        <v>2631000</v>
      </c>
      <c r="J163" s="244">
        <f>H163+I163</f>
        <v>4594919.9999999981</v>
      </c>
      <c r="K163" s="153"/>
    </row>
    <row r="164" spans="1:11">
      <c r="A164" s="153"/>
      <c r="B164" s="734" t="s">
        <v>1363</v>
      </c>
      <c r="C164" s="238"/>
      <c r="D164" s="14"/>
      <c r="E164" s="14"/>
      <c r="F164" s="247"/>
      <c r="G164" s="153"/>
      <c r="H164" s="153"/>
      <c r="I164" s="153"/>
      <c r="J164" s="244">
        <f>SUM(J162:J163)</f>
        <v>10636720.000000045</v>
      </c>
      <c r="K164" s="738"/>
    </row>
    <row r="165" spans="1:11">
      <c r="A165" s="153"/>
      <c r="B165" s="737" t="s">
        <v>1364</v>
      </c>
      <c r="C165" s="733"/>
      <c r="D165" s="14"/>
      <c r="E165" s="14"/>
      <c r="F165" s="247"/>
      <c r="G165" s="153"/>
      <c r="H165" s="153"/>
      <c r="I165" s="153"/>
      <c r="J165" s="153"/>
      <c r="K165" s="738"/>
    </row>
    <row r="166" spans="1:11">
      <c r="A166" s="153">
        <v>1</v>
      </c>
      <c r="B166" s="734" t="s">
        <v>1501</v>
      </c>
      <c r="C166" s="238" t="s">
        <v>1502</v>
      </c>
      <c r="D166" s="14">
        <v>91932.2</v>
      </c>
      <c r="E166" s="14">
        <v>92332.5</v>
      </c>
      <c r="F166" s="247">
        <f t="shared" ref="F166:F173" si="5">E166-D166</f>
        <v>400.30000000000291</v>
      </c>
      <c r="G166" s="153">
        <v>2000</v>
      </c>
      <c r="H166" s="153">
        <f t="shared" ref="H166:H173" si="6">F166*G166</f>
        <v>800600.00000000582</v>
      </c>
      <c r="I166" s="153"/>
      <c r="J166" s="153">
        <f t="shared" ref="J166:J173" si="7">H166+I166</f>
        <v>800600.00000000582</v>
      </c>
      <c r="K166" s="738"/>
    </row>
    <row r="167" spans="1:11">
      <c r="A167" s="153">
        <v>2</v>
      </c>
      <c r="B167" s="734" t="s">
        <v>1503</v>
      </c>
      <c r="C167" s="238" t="s">
        <v>2099</v>
      </c>
      <c r="D167" s="14">
        <v>1445.7</v>
      </c>
      <c r="E167" s="14">
        <v>1576.7</v>
      </c>
      <c r="F167" s="247">
        <f t="shared" si="5"/>
        <v>131</v>
      </c>
      <c r="G167" s="153">
        <v>2000</v>
      </c>
      <c r="H167" s="153">
        <f t="shared" si="6"/>
        <v>262000</v>
      </c>
      <c r="I167" s="244">
        <f>790800+293880</f>
        <v>1084680</v>
      </c>
      <c r="J167" s="244">
        <f t="shared" si="7"/>
        <v>1346680</v>
      </c>
      <c r="K167" s="153"/>
    </row>
    <row r="168" spans="1:11">
      <c r="A168" s="153">
        <v>3</v>
      </c>
      <c r="B168" s="734" t="s">
        <v>1504</v>
      </c>
      <c r="C168" s="238" t="s">
        <v>1487</v>
      </c>
      <c r="D168" s="14">
        <v>88463.1</v>
      </c>
      <c r="E168" s="14">
        <v>88798.399999999994</v>
      </c>
      <c r="F168" s="247">
        <f t="shared" si="5"/>
        <v>335.29999999998836</v>
      </c>
      <c r="G168" s="153">
        <v>2000</v>
      </c>
      <c r="H168" s="153">
        <f t="shared" si="6"/>
        <v>670599.99999997672</v>
      </c>
      <c r="I168" s="153"/>
      <c r="J168" s="153">
        <f t="shared" si="7"/>
        <v>670599.99999997672</v>
      </c>
      <c r="K168" s="770"/>
    </row>
    <row r="169" spans="1:11">
      <c r="A169" s="153">
        <v>4</v>
      </c>
      <c r="B169" s="734" t="s">
        <v>1505</v>
      </c>
      <c r="C169" s="238" t="s">
        <v>1506</v>
      </c>
      <c r="D169" s="14">
        <v>61005.1</v>
      </c>
      <c r="E169" s="14">
        <v>68154</v>
      </c>
      <c r="F169" s="247">
        <f t="shared" si="5"/>
        <v>7148.9000000000015</v>
      </c>
      <c r="G169" s="153">
        <v>200</v>
      </c>
      <c r="H169" s="244">
        <f t="shared" si="6"/>
        <v>1429780.0000000002</v>
      </c>
      <c r="I169" s="153"/>
      <c r="J169" s="244">
        <f t="shared" si="7"/>
        <v>1429780.0000000002</v>
      </c>
      <c r="K169" s="153"/>
    </row>
    <row r="170" spans="1:11">
      <c r="A170" s="153">
        <v>5</v>
      </c>
      <c r="B170" s="734" t="s">
        <v>1507</v>
      </c>
      <c r="C170" s="238" t="s">
        <v>1508</v>
      </c>
      <c r="D170" s="14">
        <v>17320.439999999999</v>
      </c>
      <c r="E170" s="14">
        <v>17356.84</v>
      </c>
      <c r="F170" s="247">
        <f t="shared" si="5"/>
        <v>36.400000000001455</v>
      </c>
      <c r="G170" s="153">
        <v>12000</v>
      </c>
      <c r="H170" s="153">
        <f t="shared" si="6"/>
        <v>436800.00000001746</v>
      </c>
      <c r="I170" s="153">
        <v>1145524</v>
      </c>
      <c r="J170" s="244">
        <f t="shared" si="7"/>
        <v>1582324.0000000175</v>
      </c>
      <c r="K170" s="153"/>
    </row>
    <row r="171" spans="1:11">
      <c r="A171" s="153">
        <v>6</v>
      </c>
      <c r="B171" s="734" t="s">
        <v>1509</v>
      </c>
      <c r="C171" s="238" t="s">
        <v>1510</v>
      </c>
      <c r="D171" s="14">
        <v>108321.5</v>
      </c>
      <c r="E171" s="14">
        <v>108779.7</v>
      </c>
      <c r="F171" s="247">
        <f t="shared" si="5"/>
        <v>458.19999999999709</v>
      </c>
      <c r="G171" s="153">
        <v>2000</v>
      </c>
      <c r="H171" s="153">
        <f t="shared" si="6"/>
        <v>916399.99999999418</v>
      </c>
      <c r="I171" s="153"/>
      <c r="J171" s="153">
        <f t="shared" si="7"/>
        <v>916399.99999999418</v>
      </c>
      <c r="K171" s="153"/>
    </row>
    <row r="172" spans="1:11">
      <c r="A172" s="153">
        <v>7</v>
      </c>
      <c r="B172" s="734" t="s">
        <v>1171</v>
      </c>
      <c r="C172" s="238" t="s">
        <v>1488</v>
      </c>
      <c r="D172" s="14">
        <v>152639.6</v>
      </c>
      <c r="E172" s="14">
        <v>153455.29999999999</v>
      </c>
      <c r="F172" s="247">
        <f t="shared" si="5"/>
        <v>815.69999999998254</v>
      </c>
      <c r="G172" s="153">
        <v>2000</v>
      </c>
      <c r="H172" s="153">
        <f t="shared" si="6"/>
        <v>1631399.9999999651</v>
      </c>
      <c r="I172" s="244">
        <v>129664</v>
      </c>
      <c r="J172" s="244">
        <f t="shared" si="7"/>
        <v>1761063.9999999651</v>
      </c>
      <c r="K172" s="770"/>
    </row>
    <row r="173" spans="1:11">
      <c r="A173" s="153">
        <v>8</v>
      </c>
      <c r="B173" s="734" t="s">
        <v>1511</v>
      </c>
      <c r="C173" s="238" t="s">
        <v>1512</v>
      </c>
      <c r="D173" s="14">
        <v>78920.899999999994</v>
      </c>
      <c r="E173" s="14">
        <v>79965.600000000006</v>
      </c>
      <c r="F173" s="247">
        <f t="shared" si="5"/>
        <v>1044.7000000000116</v>
      </c>
      <c r="G173" s="153">
        <v>2000</v>
      </c>
      <c r="H173" s="244">
        <f t="shared" si="6"/>
        <v>2089400.0000000233</v>
      </c>
      <c r="I173" s="153"/>
      <c r="J173" s="244">
        <f t="shared" si="7"/>
        <v>2089400.0000000233</v>
      </c>
      <c r="K173" s="153"/>
    </row>
    <row r="174" spans="1:11">
      <c r="A174" s="153"/>
      <c r="B174" s="238"/>
      <c r="C174" s="238"/>
      <c r="D174" s="14"/>
      <c r="E174" s="14"/>
      <c r="F174" s="247"/>
      <c r="G174" s="153"/>
      <c r="H174" s="153"/>
      <c r="I174" s="153"/>
      <c r="J174" s="244">
        <f>SUM(J166:J173)</f>
        <v>10596847.999999981</v>
      </c>
      <c r="K174" s="771">
        <f>(J164-J174)/J164</f>
        <v>3.7485239810828115E-3</v>
      </c>
    </row>
    <row r="175" spans="1:11">
      <c r="A175" s="95">
        <v>2</v>
      </c>
      <c r="B175" s="741" t="s">
        <v>1513</v>
      </c>
      <c r="C175" s="238"/>
      <c r="D175" s="14"/>
      <c r="E175" s="14"/>
      <c r="F175" s="247"/>
      <c r="G175" s="153"/>
      <c r="H175" s="153"/>
      <c r="I175" s="153"/>
      <c r="J175" s="153"/>
      <c r="K175" s="771"/>
    </row>
    <row r="176" spans="1:11">
      <c r="A176" s="153">
        <v>1</v>
      </c>
      <c r="B176" s="238" t="s">
        <v>1514</v>
      </c>
      <c r="C176" s="238" t="s">
        <v>1515</v>
      </c>
      <c r="D176" s="14">
        <v>602102.4</v>
      </c>
      <c r="E176" s="14">
        <v>605049.19999999995</v>
      </c>
      <c r="F176" s="247">
        <f>E176-D176</f>
        <v>2946.7999999999302</v>
      </c>
      <c r="G176" s="153">
        <v>2000</v>
      </c>
      <c r="H176" s="153">
        <f>F176*G176</f>
        <v>5893599.9999998603</v>
      </c>
      <c r="I176" s="153"/>
      <c r="J176" s="153">
        <f>H176+I176</f>
        <v>5893599.9999998603</v>
      </c>
      <c r="K176" s="738"/>
    </row>
    <row r="177" spans="1:11">
      <c r="A177" s="153">
        <v>2</v>
      </c>
      <c r="B177" s="772" t="s">
        <v>925</v>
      </c>
      <c r="C177" s="238" t="s">
        <v>2101</v>
      </c>
      <c r="D177" s="14">
        <v>572561.4</v>
      </c>
      <c r="E177" s="14">
        <v>572561.4</v>
      </c>
      <c r="F177" s="247">
        <f>E177-D177</f>
        <v>0</v>
      </c>
      <c r="G177" s="153">
        <v>2000</v>
      </c>
      <c r="H177" s="153">
        <f>F177*G177</f>
        <v>0</v>
      </c>
      <c r="I177" s="153">
        <v>6060000</v>
      </c>
      <c r="J177" s="153">
        <f>H177+I177</f>
        <v>6060000</v>
      </c>
      <c r="K177" s="771"/>
    </row>
    <row r="178" spans="1:11">
      <c r="A178" s="153"/>
      <c r="B178" s="737" t="s">
        <v>1517</v>
      </c>
      <c r="C178" s="733"/>
      <c r="D178" s="14"/>
      <c r="E178" s="14"/>
      <c r="F178" s="247"/>
      <c r="G178" s="153"/>
      <c r="H178" s="153"/>
      <c r="I178" s="153"/>
      <c r="J178" s="153"/>
      <c r="K178" s="771"/>
    </row>
    <row r="179" spans="1:11">
      <c r="A179" s="153">
        <v>3</v>
      </c>
      <c r="B179" s="772" t="s">
        <v>1518</v>
      </c>
      <c r="C179" s="238" t="s">
        <v>1519</v>
      </c>
      <c r="D179" s="14">
        <v>476489.4</v>
      </c>
      <c r="E179" s="14">
        <v>479021.9</v>
      </c>
      <c r="F179" s="247">
        <f>E179-D179</f>
        <v>2532.5</v>
      </c>
      <c r="G179" s="153">
        <v>2000</v>
      </c>
      <c r="H179" s="153">
        <f>F179*G179</f>
        <v>5065000</v>
      </c>
      <c r="I179" s="244"/>
      <c r="J179" s="153">
        <f>H179+I179</f>
        <v>5065000</v>
      </c>
      <c r="K179" s="771"/>
    </row>
    <row r="180" spans="1:11">
      <c r="A180" s="153">
        <v>4</v>
      </c>
      <c r="B180" s="734" t="s">
        <v>1520</v>
      </c>
      <c r="C180" s="238" t="s">
        <v>1521</v>
      </c>
      <c r="D180" s="14">
        <v>87260.2</v>
      </c>
      <c r="E180" s="14">
        <v>92966.1</v>
      </c>
      <c r="F180" s="247">
        <f>E180-D180</f>
        <v>5705.9000000000087</v>
      </c>
      <c r="G180" s="153">
        <v>400</v>
      </c>
      <c r="H180" s="153">
        <f>F180*G180</f>
        <v>2282360.0000000037</v>
      </c>
      <c r="I180" s="244"/>
      <c r="J180" s="244">
        <f>H180+I180</f>
        <v>2282360.0000000037</v>
      </c>
      <c r="K180" s="771"/>
    </row>
    <row r="181" spans="1:11">
      <c r="A181" s="153"/>
      <c r="B181" s="733" t="s">
        <v>1522</v>
      </c>
      <c r="C181" s="733"/>
      <c r="D181" s="14"/>
      <c r="E181" s="14"/>
      <c r="F181" s="247"/>
      <c r="G181" s="153"/>
      <c r="H181" s="153"/>
      <c r="I181" s="153"/>
      <c r="J181" s="244">
        <f>(J176+J177-J179-J180)</f>
        <v>4606239.9999998566</v>
      </c>
      <c r="K181" s="771"/>
    </row>
    <row r="182" spans="1:11">
      <c r="A182" s="153">
        <v>9</v>
      </c>
      <c r="B182" s="734" t="s">
        <v>1523</v>
      </c>
      <c r="C182" s="238" t="s">
        <v>1524</v>
      </c>
      <c r="D182" s="14">
        <v>95515.5</v>
      </c>
      <c r="E182" s="14">
        <v>96128.1</v>
      </c>
      <c r="F182" s="247">
        <f t="shared" ref="F182:F188" si="8">E182-D182</f>
        <v>612.60000000000582</v>
      </c>
      <c r="G182" s="153">
        <v>2000</v>
      </c>
      <c r="H182" s="153">
        <f t="shared" ref="H182:H188" si="9">F182*G182</f>
        <v>1225200.0000000116</v>
      </c>
      <c r="I182" s="153"/>
      <c r="J182" s="153">
        <f t="shared" ref="J182:J188" si="10">H182+I182</f>
        <v>1225200.0000000116</v>
      </c>
      <c r="K182" s="738"/>
    </row>
    <row r="183" spans="1:11">
      <c r="A183" s="153">
        <v>10</v>
      </c>
      <c r="B183" s="734" t="s">
        <v>1525</v>
      </c>
      <c r="C183" s="238" t="s">
        <v>1526</v>
      </c>
      <c r="D183" s="14">
        <v>141651</v>
      </c>
      <c r="E183" s="14">
        <v>141853.20000000001</v>
      </c>
      <c r="F183" s="247">
        <f t="shared" si="8"/>
        <v>202.20000000001164</v>
      </c>
      <c r="G183" s="153">
        <v>2000</v>
      </c>
      <c r="H183" s="153">
        <f t="shared" si="9"/>
        <v>404400.00000002328</v>
      </c>
      <c r="I183" s="153"/>
      <c r="J183" s="153">
        <f t="shared" si="10"/>
        <v>404400.00000002328</v>
      </c>
      <c r="K183" s="771"/>
    </row>
    <row r="184" spans="1:11">
      <c r="A184" s="153">
        <v>11</v>
      </c>
      <c r="B184" s="748" t="s">
        <v>1527</v>
      </c>
      <c r="C184" s="238" t="s">
        <v>1485</v>
      </c>
      <c r="D184" s="14">
        <v>122500.7</v>
      </c>
      <c r="E184" s="14">
        <v>122593.2</v>
      </c>
      <c r="F184" s="247">
        <f t="shared" si="8"/>
        <v>92.5</v>
      </c>
      <c r="G184" s="153">
        <v>2000</v>
      </c>
      <c r="H184" s="153">
        <f t="shared" si="9"/>
        <v>185000</v>
      </c>
      <c r="I184" s="244">
        <v>819461</v>
      </c>
      <c r="J184" s="153">
        <f t="shared" si="10"/>
        <v>1004461</v>
      </c>
      <c r="K184" s="771"/>
    </row>
    <row r="185" spans="1:11">
      <c r="A185" s="153">
        <v>12</v>
      </c>
      <c r="B185" s="734" t="s">
        <v>1528</v>
      </c>
      <c r="C185" s="238" t="s">
        <v>1529</v>
      </c>
      <c r="D185" s="14">
        <v>77990.3</v>
      </c>
      <c r="E185" s="14">
        <v>78334.7</v>
      </c>
      <c r="F185" s="247">
        <f t="shared" si="8"/>
        <v>344.39999999999418</v>
      </c>
      <c r="G185" s="153">
        <v>2000</v>
      </c>
      <c r="H185" s="153">
        <f t="shared" si="9"/>
        <v>688799.99999998836</v>
      </c>
      <c r="I185" s="153"/>
      <c r="J185" s="153">
        <f t="shared" si="10"/>
        <v>688799.99999998836</v>
      </c>
      <c r="K185" s="771"/>
    </row>
    <row r="186" spans="1:11">
      <c r="A186" s="153">
        <v>13</v>
      </c>
      <c r="B186" s="772" t="s">
        <v>1530</v>
      </c>
      <c r="C186" s="258" t="s">
        <v>1531</v>
      </c>
      <c r="D186" s="14">
        <v>70403.199999999997</v>
      </c>
      <c r="E186" s="14">
        <v>70709.7</v>
      </c>
      <c r="F186" s="247">
        <f t="shared" si="8"/>
        <v>306.5</v>
      </c>
      <c r="G186" s="244">
        <v>1333.33</v>
      </c>
      <c r="H186" s="244">
        <f t="shared" si="9"/>
        <v>408665.64499999996</v>
      </c>
      <c r="I186" s="244">
        <v>48054</v>
      </c>
      <c r="J186" s="244">
        <f t="shared" si="10"/>
        <v>456719.64499999996</v>
      </c>
      <c r="K186" s="738"/>
    </row>
    <row r="187" spans="1:11">
      <c r="A187" s="153">
        <v>14</v>
      </c>
      <c r="B187" s="734" t="s">
        <v>1532</v>
      </c>
      <c r="C187" s="20" t="s">
        <v>1533</v>
      </c>
      <c r="D187" s="14">
        <v>125697</v>
      </c>
      <c r="E187" s="14">
        <v>133898</v>
      </c>
      <c r="F187" s="247">
        <f t="shared" si="8"/>
        <v>8201</v>
      </c>
      <c r="G187" s="153">
        <v>40</v>
      </c>
      <c r="H187" s="153">
        <f t="shared" si="9"/>
        <v>328040</v>
      </c>
      <c r="I187" s="153"/>
      <c r="J187" s="153">
        <f t="shared" si="10"/>
        <v>328040</v>
      </c>
      <c r="K187" s="738"/>
    </row>
    <row r="188" spans="1:11">
      <c r="A188" s="153">
        <v>15</v>
      </c>
      <c r="B188" s="773" t="s">
        <v>1534</v>
      </c>
      <c r="C188" s="20" t="s">
        <v>1535</v>
      </c>
      <c r="D188" s="14">
        <v>1711.42</v>
      </c>
      <c r="E188" s="14">
        <v>1787.44</v>
      </c>
      <c r="F188" s="247">
        <f t="shared" si="8"/>
        <v>76.019999999999982</v>
      </c>
      <c r="G188" s="153">
        <v>6000</v>
      </c>
      <c r="H188" s="153">
        <f t="shared" si="9"/>
        <v>456119.99999999988</v>
      </c>
      <c r="I188" s="153"/>
      <c r="J188" s="153">
        <f t="shared" si="10"/>
        <v>456119.99999999988</v>
      </c>
      <c r="K188" s="738"/>
    </row>
    <row r="189" spans="1:11">
      <c r="A189" s="153"/>
      <c r="B189" s="238"/>
      <c r="C189" s="238"/>
      <c r="D189" s="14"/>
      <c r="E189" s="14"/>
      <c r="F189" s="247"/>
      <c r="G189" s="153"/>
      <c r="H189" s="153"/>
      <c r="I189" s="153"/>
      <c r="J189" s="244">
        <f>SUM(J182:J188)</f>
        <v>4563740.6450000228</v>
      </c>
      <c r="K189" s="771">
        <f>(J181-J189)/J181</f>
        <v>9.22647430438602E-3</v>
      </c>
    </row>
    <row r="190" spans="1:11">
      <c r="A190" s="95">
        <v>3</v>
      </c>
      <c r="B190" s="741" t="s">
        <v>1536</v>
      </c>
      <c r="C190" s="733"/>
      <c r="D190" s="14"/>
      <c r="E190" s="14"/>
      <c r="F190" s="247"/>
      <c r="G190" s="153"/>
      <c r="H190" s="153"/>
      <c r="I190" s="244"/>
      <c r="J190" s="153"/>
      <c r="K190" s="738"/>
    </row>
    <row r="191" spans="1:11">
      <c r="A191" s="153"/>
      <c r="B191" s="238" t="s">
        <v>1537</v>
      </c>
      <c r="C191" s="238" t="s">
        <v>1538</v>
      </c>
      <c r="D191" s="14">
        <v>3298.74</v>
      </c>
      <c r="E191" s="14">
        <v>3340.93</v>
      </c>
      <c r="F191" s="247">
        <f>E191-D191</f>
        <v>42.190000000000055</v>
      </c>
      <c r="G191" s="153">
        <v>80000</v>
      </c>
      <c r="H191" s="153">
        <f>F191*G191</f>
        <v>3375200.0000000042</v>
      </c>
      <c r="I191" s="153"/>
      <c r="J191" s="153">
        <f>H191+I191</f>
        <v>3375200.0000000042</v>
      </c>
      <c r="K191" s="738"/>
    </row>
    <row r="192" spans="1:11">
      <c r="A192" s="153"/>
      <c r="B192" s="734" t="s">
        <v>1363</v>
      </c>
      <c r="C192" s="238"/>
      <c r="D192" s="14"/>
      <c r="E192" s="14"/>
      <c r="F192" s="247"/>
      <c r="G192" s="153"/>
      <c r="H192" s="153"/>
      <c r="I192" s="153"/>
      <c r="J192" s="153">
        <f>J191</f>
        <v>3375200.0000000042</v>
      </c>
      <c r="K192" s="738"/>
    </row>
    <row r="193" spans="1:11">
      <c r="A193" s="153"/>
      <c r="B193" s="733" t="s">
        <v>1522</v>
      </c>
      <c r="C193" s="238"/>
      <c r="D193" s="14"/>
      <c r="E193" s="14"/>
      <c r="F193" s="247"/>
      <c r="G193" s="153"/>
      <c r="H193" s="153"/>
      <c r="I193" s="153"/>
      <c r="J193" s="153"/>
      <c r="K193" s="738"/>
    </row>
    <row r="194" spans="1:11">
      <c r="A194" s="153">
        <v>16</v>
      </c>
      <c r="B194" s="774" t="s">
        <v>1539</v>
      </c>
      <c r="C194" s="238" t="s">
        <v>1540</v>
      </c>
      <c r="D194" s="14">
        <v>101441</v>
      </c>
      <c r="E194" s="14">
        <v>102046.9</v>
      </c>
      <c r="F194" s="247">
        <f>E194-D194</f>
        <v>605.89999999999418</v>
      </c>
      <c r="G194" s="153">
        <v>2000</v>
      </c>
      <c r="H194" s="153">
        <f>F194*G194</f>
        <v>1211799.9999999884</v>
      </c>
      <c r="I194" s="153"/>
      <c r="J194" s="153">
        <f>H194+I194</f>
        <v>1211799.9999999884</v>
      </c>
      <c r="K194" s="738"/>
    </row>
    <row r="195" spans="1:11">
      <c r="A195" s="153">
        <v>17</v>
      </c>
      <c r="B195" s="734" t="s">
        <v>1541</v>
      </c>
      <c r="C195" s="238" t="s">
        <v>1542</v>
      </c>
      <c r="D195" s="14">
        <v>708222</v>
      </c>
      <c r="E195" s="14">
        <v>714699</v>
      </c>
      <c r="F195" s="247">
        <f>E195-D195</f>
        <v>6477</v>
      </c>
      <c r="G195" s="153">
        <v>60</v>
      </c>
      <c r="H195" s="153">
        <f>F195*G195</f>
        <v>388620</v>
      </c>
      <c r="I195" s="153"/>
      <c r="J195" s="153">
        <f>H195+I195</f>
        <v>388620</v>
      </c>
      <c r="K195" s="738"/>
    </row>
    <row r="196" spans="1:11">
      <c r="A196" s="153">
        <v>18</v>
      </c>
      <c r="B196" s="734" t="s">
        <v>1203</v>
      </c>
      <c r="C196" s="238" t="s">
        <v>1543</v>
      </c>
      <c r="D196" s="14">
        <v>72031.8</v>
      </c>
      <c r="E196" s="14">
        <v>72603.5</v>
      </c>
      <c r="F196" s="247">
        <f>E196-D196</f>
        <v>571.69999999999709</v>
      </c>
      <c r="G196" s="153">
        <v>1333.33</v>
      </c>
      <c r="H196" s="244">
        <f>F196*G196</f>
        <v>762264.7609999961</v>
      </c>
      <c r="I196" s="244">
        <v>620000</v>
      </c>
      <c r="J196" s="244">
        <f>H196+I196</f>
        <v>1382264.7609999962</v>
      </c>
      <c r="K196" s="738"/>
    </row>
    <row r="197" spans="1:11">
      <c r="A197" s="153">
        <v>19</v>
      </c>
      <c r="B197" s="734" t="s">
        <v>1544</v>
      </c>
      <c r="C197" s="238" t="s">
        <v>1545</v>
      </c>
      <c r="D197" s="14">
        <v>6169.1</v>
      </c>
      <c r="E197" s="14">
        <v>7884.5</v>
      </c>
      <c r="F197" s="247">
        <f>E197-D197</f>
        <v>1715.3999999999996</v>
      </c>
      <c r="G197" s="153">
        <v>200</v>
      </c>
      <c r="H197" s="153">
        <f>F197*G197</f>
        <v>343079.99999999994</v>
      </c>
      <c r="I197" s="244"/>
      <c r="J197" s="244">
        <f>H197+I197</f>
        <v>343079.99999999994</v>
      </c>
      <c r="K197" s="738"/>
    </row>
    <row r="198" spans="1:11">
      <c r="A198" s="153"/>
      <c r="B198" s="238"/>
      <c r="C198" s="238"/>
      <c r="D198" s="14"/>
      <c r="E198" s="14"/>
      <c r="F198" s="247" t="s">
        <v>1546</v>
      </c>
      <c r="G198" s="153"/>
      <c r="H198" s="153"/>
      <c r="I198" s="153"/>
      <c r="J198" s="244">
        <f>SUM(J194:J197)</f>
        <v>3325764.7609999846</v>
      </c>
      <c r="K198" s="771">
        <f>(J192-J198)/J192</f>
        <v>1.4646610274952464E-2</v>
      </c>
    </row>
    <row r="199" spans="1:11">
      <c r="A199" s="95">
        <v>4</v>
      </c>
      <c r="B199" s="741" t="s">
        <v>1547</v>
      </c>
      <c r="C199" s="733"/>
      <c r="D199" s="14"/>
      <c r="E199" s="14"/>
      <c r="F199" s="247"/>
      <c r="G199" s="153"/>
      <c r="H199" s="153"/>
      <c r="I199" s="153"/>
      <c r="J199" s="244"/>
      <c r="K199" s="738"/>
    </row>
    <row r="200" spans="1:11">
      <c r="A200" s="153">
        <v>1</v>
      </c>
      <c r="B200" s="238" t="s">
        <v>925</v>
      </c>
      <c r="C200" s="238" t="s">
        <v>1548</v>
      </c>
      <c r="D200" s="14">
        <v>190201.3</v>
      </c>
      <c r="E200" s="14">
        <v>191449.60000000001</v>
      </c>
      <c r="F200" s="247">
        <f>E200-D200</f>
        <v>1248.3000000000175</v>
      </c>
      <c r="G200" s="153">
        <v>2000</v>
      </c>
      <c r="H200" s="153">
        <f>F200*G200</f>
        <v>2496600.0000000349</v>
      </c>
      <c r="I200" s="153"/>
      <c r="J200" s="153">
        <f>H200+I200</f>
        <v>2496600.0000000349</v>
      </c>
      <c r="K200" s="153"/>
    </row>
    <row r="201" spans="1:11">
      <c r="A201" s="161"/>
      <c r="B201" s="238" t="s">
        <v>925</v>
      </c>
      <c r="C201" s="748" t="s">
        <v>1549</v>
      </c>
      <c r="D201" s="24">
        <v>375723.5</v>
      </c>
      <c r="E201" s="24">
        <v>385851.5</v>
      </c>
      <c r="F201" s="247">
        <f>E201-D201</f>
        <v>10128</v>
      </c>
      <c r="G201" s="153">
        <v>120</v>
      </c>
      <c r="H201" s="153">
        <f>F201*G201</f>
        <v>1215360</v>
      </c>
      <c r="I201" s="153"/>
      <c r="J201" s="153">
        <f>H201+I201</f>
        <v>1215360</v>
      </c>
      <c r="K201" s="153"/>
    </row>
    <row r="202" spans="1:11">
      <c r="A202" s="153"/>
      <c r="B202" s="734" t="s">
        <v>1363</v>
      </c>
      <c r="C202" s="238"/>
      <c r="D202" s="14"/>
      <c r="E202" s="14"/>
      <c r="F202" s="247"/>
      <c r="G202" s="153"/>
      <c r="H202" s="153"/>
      <c r="I202" s="153"/>
      <c r="J202" s="153">
        <f>SUM(J200:J201)</f>
        <v>3711960.0000000349</v>
      </c>
      <c r="K202" s="771"/>
    </row>
    <row r="203" spans="1:11">
      <c r="A203" s="153"/>
      <c r="B203" s="238" t="s">
        <v>1522</v>
      </c>
      <c r="C203" s="238"/>
      <c r="D203" s="14"/>
      <c r="E203" s="14"/>
      <c r="F203" s="247"/>
      <c r="G203" s="153"/>
      <c r="H203" s="153"/>
      <c r="I203" s="153"/>
      <c r="J203" s="153"/>
      <c r="K203" s="738"/>
    </row>
    <row r="204" spans="1:11">
      <c r="A204" s="153"/>
      <c r="B204" s="734" t="s">
        <v>1175</v>
      </c>
      <c r="C204" s="748" t="s">
        <v>1550</v>
      </c>
      <c r="D204" s="14">
        <v>5417.17</v>
      </c>
      <c r="E204" s="14">
        <v>5619.39</v>
      </c>
      <c r="F204" s="247">
        <f>E204-D204</f>
        <v>202.22000000000025</v>
      </c>
      <c r="G204" s="153">
        <v>6000</v>
      </c>
      <c r="H204" s="153">
        <f>F204*G204</f>
        <v>1213320.0000000016</v>
      </c>
      <c r="I204" s="153"/>
      <c r="J204" s="153">
        <f>H204+I204</f>
        <v>1213320.0000000016</v>
      </c>
      <c r="K204" s="738"/>
    </row>
    <row r="205" spans="1:11">
      <c r="A205" s="153">
        <v>21</v>
      </c>
      <c r="B205" s="734" t="s">
        <v>1199</v>
      </c>
      <c r="C205" s="238" t="s">
        <v>1551</v>
      </c>
      <c r="D205" s="14">
        <v>7788.42</v>
      </c>
      <c r="E205" s="14">
        <v>8053.02</v>
      </c>
      <c r="F205" s="247">
        <f>E205-D205</f>
        <v>264.60000000000036</v>
      </c>
      <c r="G205" s="153">
        <v>6000</v>
      </c>
      <c r="H205" s="153">
        <f>F205*G205</f>
        <v>1587600.0000000021</v>
      </c>
      <c r="I205" s="153"/>
      <c r="J205" s="153">
        <f>H205+I205</f>
        <v>1587600.0000000021</v>
      </c>
      <c r="K205" s="738"/>
    </row>
    <row r="206" spans="1:11">
      <c r="A206" s="153">
        <v>22</v>
      </c>
      <c r="B206" s="734" t="s">
        <v>1552</v>
      </c>
      <c r="C206" s="238" t="s">
        <v>1553</v>
      </c>
      <c r="D206" s="14">
        <v>96893.9</v>
      </c>
      <c r="E206" s="14">
        <v>97331.8</v>
      </c>
      <c r="F206" s="247">
        <f>E206-D206</f>
        <v>437.90000000000873</v>
      </c>
      <c r="G206" s="153">
        <v>2000</v>
      </c>
      <c r="H206" s="153">
        <f>F206*G206</f>
        <v>875800.00000001746</v>
      </c>
      <c r="I206" s="153"/>
      <c r="J206" s="153">
        <f>H206+I206</f>
        <v>875800.00000001746</v>
      </c>
      <c r="K206" s="746"/>
    </row>
    <row r="207" spans="1:11">
      <c r="A207" s="153"/>
      <c r="B207" s="238"/>
      <c r="C207" s="238"/>
      <c r="D207" s="14"/>
      <c r="E207" s="14"/>
      <c r="F207" s="247"/>
      <c r="G207" s="153"/>
      <c r="H207" s="153"/>
      <c r="I207" s="153"/>
      <c r="J207" s="153">
        <f>SUM(J204+J205+J206)</f>
        <v>3676720.0000000214</v>
      </c>
      <c r="K207" s="771">
        <f>(J202-J207)/J202</f>
        <v>9.4936367848826968E-3</v>
      </c>
    </row>
    <row r="208" spans="1:11">
      <c r="A208" s="95">
        <v>5</v>
      </c>
      <c r="B208" s="741" t="s">
        <v>1554</v>
      </c>
      <c r="C208" s="733"/>
      <c r="D208" s="14"/>
      <c r="E208" s="14"/>
      <c r="F208" s="247"/>
      <c r="G208" s="153"/>
      <c r="H208" s="153"/>
      <c r="I208" s="153"/>
      <c r="J208" s="153"/>
      <c r="K208" s="738"/>
    </row>
    <row r="209" spans="1:11">
      <c r="A209" s="153">
        <v>1</v>
      </c>
      <c r="B209" s="238" t="s">
        <v>925</v>
      </c>
      <c r="C209" s="238" t="s">
        <v>1555</v>
      </c>
      <c r="D209" s="289">
        <v>93306.9</v>
      </c>
      <c r="E209" s="289">
        <v>97562.9</v>
      </c>
      <c r="F209" s="247">
        <f>E209-D209</f>
        <v>4256</v>
      </c>
      <c r="G209" s="153">
        <v>500</v>
      </c>
      <c r="H209" s="153">
        <f>F209*G209</f>
        <v>2128000</v>
      </c>
      <c r="I209" s="153"/>
      <c r="J209" s="153">
        <f>H209+I209</f>
        <v>2128000</v>
      </c>
      <c r="K209" s="738"/>
    </row>
    <row r="210" spans="1:11">
      <c r="A210" s="153"/>
      <c r="B210" s="238" t="s">
        <v>1479</v>
      </c>
      <c r="C210" s="238" t="s">
        <v>1556</v>
      </c>
      <c r="D210" s="289">
        <v>393.6</v>
      </c>
      <c r="E210" s="289">
        <v>578.95000000000005</v>
      </c>
      <c r="F210" s="247">
        <f>E210-D210</f>
        <v>185.35000000000002</v>
      </c>
      <c r="G210" s="153">
        <v>9000</v>
      </c>
      <c r="H210" s="153">
        <f>F210*G210</f>
        <v>1668150.0000000002</v>
      </c>
      <c r="I210" s="153"/>
      <c r="J210" s="153">
        <f>H210+I210</f>
        <v>1668150.0000000002</v>
      </c>
      <c r="K210" s="738"/>
    </row>
    <row r="211" spans="1:11">
      <c r="A211" s="153"/>
      <c r="B211" s="734" t="s">
        <v>1363</v>
      </c>
      <c r="C211" s="238"/>
      <c r="D211" s="202"/>
      <c r="E211" s="202"/>
      <c r="F211" s="247"/>
      <c r="G211" s="153"/>
      <c r="H211" s="153"/>
      <c r="I211" s="153"/>
      <c r="J211" s="153">
        <f>SUM(J209+J210)</f>
        <v>3796150</v>
      </c>
      <c r="K211" s="738"/>
    </row>
    <row r="212" spans="1:11">
      <c r="A212" s="153"/>
      <c r="B212" s="733" t="s">
        <v>1522</v>
      </c>
      <c r="C212" s="238"/>
      <c r="D212" s="202"/>
      <c r="E212" s="202"/>
      <c r="F212" s="247"/>
      <c r="G212" s="153"/>
      <c r="H212" s="153"/>
      <c r="I212" s="153"/>
      <c r="J212" s="153"/>
      <c r="K212" s="738"/>
    </row>
    <row r="213" spans="1:11">
      <c r="A213" s="153">
        <v>23</v>
      </c>
      <c r="B213" s="734" t="s">
        <v>1557</v>
      </c>
      <c r="C213" s="238" t="s">
        <v>1558</v>
      </c>
      <c r="D213" s="14">
        <v>32854.5</v>
      </c>
      <c r="E213" s="14">
        <v>33287.699999999997</v>
      </c>
      <c r="F213" s="247">
        <f>E213-D213</f>
        <v>433.19999999999709</v>
      </c>
      <c r="G213" s="153">
        <v>2000</v>
      </c>
      <c r="H213" s="153">
        <f>F213*G213</f>
        <v>866399.99999999418</v>
      </c>
      <c r="I213" s="153"/>
      <c r="J213" s="153">
        <f>SUM(H213:I213)</f>
        <v>866399.99999999418</v>
      </c>
      <c r="K213" s="738"/>
    </row>
    <row r="214" spans="1:11">
      <c r="A214" s="153">
        <v>24</v>
      </c>
      <c r="B214" s="734" t="s">
        <v>1195</v>
      </c>
      <c r="C214" s="238" t="s">
        <v>1559</v>
      </c>
      <c r="D214" s="14">
        <v>28491.3</v>
      </c>
      <c r="E214" s="14">
        <v>29095.200000000001</v>
      </c>
      <c r="F214" s="247">
        <f>E214-D214</f>
        <v>603.90000000000146</v>
      </c>
      <c r="G214" s="153">
        <v>1333.3330000000001</v>
      </c>
      <c r="H214" s="244">
        <f>F214*G214</f>
        <v>805199.79870000202</v>
      </c>
      <c r="I214" s="244"/>
      <c r="J214" s="244">
        <f>SUM(H214:I214)</f>
        <v>805199.79870000202</v>
      </c>
      <c r="K214" s="738"/>
    </row>
    <row r="215" spans="1:11">
      <c r="A215" s="153">
        <v>25</v>
      </c>
      <c r="B215" s="734" t="s">
        <v>1560</v>
      </c>
      <c r="C215" s="238" t="s">
        <v>1561</v>
      </c>
      <c r="D215" s="14">
        <v>4892.8</v>
      </c>
      <c r="E215" s="14">
        <v>5033.3999999999996</v>
      </c>
      <c r="F215" s="247">
        <f>E215-D215</f>
        <v>140.59999999999945</v>
      </c>
      <c r="G215" s="153">
        <v>2000</v>
      </c>
      <c r="H215" s="153">
        <f>F215*G215</f>
        <v>281199.99999999889</v>
      </c>
      <c r="I215" s="244"/>
      <c r="J215" s="153">
        <f>SUM(H215:I215)</f>
        <v>281199.99999999889</v>
      </c>
      <c r="K215" s="738"/>
    </row>
    <row r="216" spans="1:11">
      <c r="A216" s="153">
        <v>26</v>
      </c>
      <c r="B216" s="734" t="s">
        <v>1562</v>
      </c>
      <c r="C216" s="238" t="s">
        <v>1563</v>
      </c>
      <c r="D216" s="14">
        <v>86489</v>
      </c>
      <c r="E216" s="14">
        <v>111168</v>
      </c>
      <c r="F216" s="247">
        <f>E216-D216</f>
        <v>24679</v>
      </c>
      <c r="G216" s="153">
        <v>40</v>
      </c>
      <c r="H216" s="155">
        <f>F216*G216</f>
        <v>987160</v>
      </c>
      <c r="I216" s="244">
        <v>92600.25</v>
      </c>
      <c r="J216" s="153">
        <f>SUM(H216:I216)</f>
        <v>1079760.25</v>
      </c>
      <c r="K216" s="738"/>
    </row>
    <row r="217" spans="1:11">
      <c r="A217" s="153"/>
      <c r="B217" s="734" t="s">
        <v>1564</v>
      </c>
      <c r="C217" s="238" t="s">
        <v>1565</v>
      </c>
      <c r="D217" s="14">
        <v>227.82</v>
      </c>
      <c r="E217" s="14">
        <v>307.98</v>
      </c>
      <c r="F217" s="247">
        <f>E217-D217</f>
        <v>80.160000000000025</v>
      </c>
      <c r="G217" s="153">
        <v>6000</v>
      </c>
      <c r="H217" s="153">
        <f>F217*G217</f>
        <v>480960.00000000017</v>
      </c>
      <c r="I217" s="244">
        <v>254339.93</v>
      </c>
      <c r="J217" s="244">
        <f>SUM(H217:I217)</f>
        <v>735299.93000000017</v>
      </c>
      <c r="K217" s="738"/>
    </row>
    <row r="218" spans="1:11">
      <c r="A218" s="153"/>
      <c r="B218" s="238"/>
      <c r="C218" s="238"/>
      <c r="D218" s="14"/>
      <c r="E218" s="14"/>
      <c r="F218" s="247"/>
      <c r="G218" s="153"/>
      <c r="H218" s="153"/>
      <c r="I218" s="153"/>
      <c r="J218" s="244">
        <f>SUM(J213:J217)</f>
        <v>3767859.9786999952</v>
      </c>
      <c r="K218" s="771">
        <f>(J211-J218)/J211</f>
        <v>7.4522927966505E-3</v>
      </c>
    </row>
    <row r="219" spans="1:11">
      <c r="A219" s="95">
        <v>6</v>
      </c>
      <c r="B219" s="741" t="s">
        <v>1566</v>
      </c>
      <c r="C219" s="733"/>
      <c r="D219" s="14"/>
      <c r="E219" s="14"/>
      <c r="F219" s="247"/>
      <c r="G219" s="153"/>
      <c r="H219" s="153"/>
      <c r="I219" s="153"/>
      <c r="J219" s="153"/>
      <c r="K219" s="738"/>
    </row>
    <row r="220" spans="1:11">
      <c r="A220" s="153">
        <v>1</v>
      </c>
      <c r="B220" s="238" t="s">
        <v>1514</v>
      </c>
      <c r="C220" s="238" t="s">
        <v>1567</v>
      </c>
      <c r="D220" s="775">
        <v>75564.5</v>
      </c>
      <c r="E220" s="775">
        <v>76705.350000000006</v>
      </c>
      <c r="F220" s="247">
        <f>E220-D220</f>
        <v>1140.8500000000058</v>
      </c>
      <c r="G220" s="153">
        <v>2000</v>
      </c>
      <c r="H220" s="153">
        <f>F220*G220</f>
        <v>2281700.0000000116</v>
      </c>
      <c r="I220" s="153"/>
      <c r="J220" s="153">
        <f>SUM(H220:I220)</f>
        <v>2281700.0000000116</v>
      </c>
      <c r="K220" s="153"/>
    </row>
    <row r="221" spans="1:11">
      <c r="A221" s="153"/>
      <c r="B221" s="734" t="s">
        <v>1363</v>
      </c>
      <c r="C221" s="238"/>
      <c r="D221" s="14"/>
      <c r="E221" s="14"/>
      <c r="F221" s="247"/>
      <c r="G221" s="153"/>
      <c r="H221" s="153"/>
      <c r="I221" s="153"/>
      <c r="J221" s="153">
        <f>SUM(J220)</f>
        <v>2281700.0000000116</v>
      </c>
      <c r="K221" s="738"/>
    </row>
    <row r="222" spans="1:11">
      <c r="A222" s="153"/>
      <c r="B222" s="733" t="s">
        <v>1522</v>
      </c>
      <c r="C222" s="238"/>
      <c r="D222" s="14"/>
      <c r="E222" s="14"/>
      <c r="F222" s="247"/>
      <c r="G222" s="153"/>
      <c r="H222" s="153"/>
      <c r="I222" s="153"/>
      <c r="J222" s="153"/>
      <c r="K222" s="738"/>
    </row>
    <row r="223" spans="1:11">
      <c r="A223" s="153">
        <v>27</v>
      </c>
      <c r="B223" s="734" t="s">
        <v>1568</v>
      </c>
      <c r="C223" s="238" t="s">
        <v>1569</v>
      </c>
      <c r="D223" s="14">
        <v>17823.099999999999</v>
      </c>
      <c r="E223" s="14">
        <v>18087.7</v>
      </c>
      <c r="F223" s="247">
        <f>E223-D223</f>
        <v>264.60000000000218</v>
      </c>
      <c r="G223" s="153">
        <v>2000</v>
      </c>
      <c r="H223" s="153">
        <f>F223*G223</f>
        <v>529200.00000000442</v>
      </c>
      <c r="I223" s="153"/>
      <c r="J223" s="153">
        <f>SUM(H223:I223)</f>
        <v>529200.00000000442</v>
      </c>
      <c r="K223" s="738"/>
    </row>
    <row r="224" spans="1:11">
      <c r="A224" s="153">
        <v>28</v>
      </c>
      <c r="B224" s="734" t="s">
        <v>1570</v>
      </c>
      <c r="C224" s="238" t="s">
        <v>1571</v>
      </c>
      <c r="D224" s="14">
        <v>30093.8</v>
      </c>
      <c r="E224" s="14">
        <v>30662.9</v>
      </c>
      <c r="F224" s="247">
        <f>E224-D224</f>
        <v>569.10000000000218</v>
      </c>
      <c r="G224" s="247">
        <v>1333.3330000000001</v>
      </c>
      <c r="H224" s="244">
        <f>F224*G224</f>
        <v>758799.81030000292</v>
      </c>
      <c r="I224" s="244"/>
      <c r="J224" s="244">
        <f>SUM(H224:I224)</f>
        <v>758799.81030000292</v>
      </c>
      <c r="K224" s="738"/>
    </row>
    <row r="225" spans="1:11">
      <c r="A225" s="153">
        <v>29</v>
      </c>
      <c r="B225" s="734" t="s">
        <v>1572</v>
      </c>
      <c r="C225" s="238" t="s">
        <v>1573</v>
      </c>
      <c r="D225" s="14">
        <v>36409.9</v>
      </c>
      <c r="E225" s="14">
        <v>36900.300000000003</v>
      </c>
      <c r="F225" s="247">
        <f>E225-D225</f>
        <v>490.40000000000146</v>
      </c>
      <c r="G225" s="153">
        <v>2000</v>
      </c>
      <c r="H225" s="153">
        <f>F225*G225</f>
        <v>980800.00000000291</v>
      </c>
      <c r="I225" s="153"/>
      <c r="J225" s="153">
        <f>SUM(H225:I225)</f>
        <v>980800.00000000291</v>
      </c>
      <c r="K225" s="738"/>
    </row>
    <row r="226" spans="1:11">
      <c r="A226" s="153"/>
      <c r="B226" s="238"/>
      <c r="C226" s="238"/>
      <c r="D226" s="14"/>
      <c r="E226" s="14"/>
      <c r="F226" s="247"/>
      <c r="G226" s="153"/>
      <c r="H226" s="153"/>
      <c r="I226" s="153"/>
      <c r="J226" s="244">
        <f>SUM(J223:J225)</f>
        <v>2268799.8103000103</v>
      </c>
      <c r="K226" s="771">
        <f>(J220-J226)/J220</f>
        <v>5.6537624139901474E-3</v>
      </c>
    </row>
    <row r="227" spans="1:11">
      <c r="A227" s="95">
        <v>7</v>
      </c>
      <c r="B227" s="741" t="s">
        <v>1574</v>
      </c>
      <c r="C227" s="238"/>
      <c r="D227" s="27"/>
      <c r="E227" s="27"/>
      <c r="F227" s="247"/>
      <c r="G227" s="153"/>
      <c r="H227" s="153"/>
      <c r="I227" s="153"/>
      <c r="J227" s="153"/>
      <c r="K227" s="738"/>
    </row>
    <row r="228" spans="1:11">
      <c r="A228" s="153">
        <v>1</v>
      </c>
      <c r="B228" s="238" t="s">
        <v>1575</v>
      </c>
      <c r="C228" s="238" t="s">
        <v>1576</v>
      </c>
      <c r="D228" s="27">
        <v>82478.05</v>
      </c>
      <c r="E228" s="27">
        <v>83597.5</v>
      </c>
      <c r="F228" s="247">
        <f>E228-D228</f>
        <v>1119.4499999999971</v>
      </c>
      <c r="G228" s="153">
        <v>2000</v>
      </c>
      <c r="H228" s="153">
        <f>F228*G228</f>
        <v>2238899.9999999944</v>
      </c>
      <c r="I228" s="153"/>
      <c r="J228" s="153">
        <f>SUM(H228:I228)</f>
        <v>2238899.9999999944</v>
      </c>
      <c r="K228" s="738"/>
    </row>
    <row r="229" spans="1:11">
      <c r="A229" s="153"/>
      <c r="B229" s="238" t="s">
        <v>1577</v>
      </c>
      <c r="C229" s="238" t="s">
        <v>1578</v>
      </c>
      <c r="D229" s="776">
        <v>2209.13</v>
      </c>
      <c r="E229" s="776">
        <v>2235.39</v>
      </c>
      <c r="F229" s="247">
        <f>E229-D229</f>
        <v>26.259999999999764</v>
      </c>
      <c r="G229" s="153">
        <v>80000</v>
      </c>
      <c r="H229" s="153">
        <f>F229*G229</f>
        <v>2100799.9999999809</v>
      </c>
      <c r="I229" s="153"/>
      <c r="J229" s="153">
        <f>SUM(H229:I229)</f>
        <v>2100799.9999999809</v>
      </c>
      <c r="K229" s="738"/>
    </row>
    <row r="230" spans="1:11">
      <c r="A230" s="153"/>
      <c r="B230" s="734" t="s">
        <v>1363</v>
      </c>
      <c r="C230" s="238"/>
      <c r="D230" s="14"/>
      <c r="E230" s="14"/>
      <c r="F230" s="247"/>
      <c r="G230" s="153"/>
      <c r="H230" s="153"/>
      <c r="I230" s="153"/>
      <c r="J230" s="153">
        <f>SUM(J228:J229)</f>
        <v>4339699.9999999758</v>
      </c>
      <c r="K230" s="738"/>
    </row>
    <row r="231" spans="1:11">
      <c r="A231" s="153"/>
      <c r="B231" s="733" t="s">
        <v>1364</v>
      </c>
      <c r="C231" s="238"/>
      <c r="D231" s="14"/>
      <c r="E231" s="14"/>
      <c r="F231" s="247"/>
      <c r="G231" s="153"/>
      <c r="H231" s="153"/>
      <c r="I231" s="153"/>
      <c r="J231" s="153"/>
      <c r="K231" s="738"/>
    </row>
    <row r="232" spans="1:11">
      <c r="A232" s="153">
        <v>30</v>
      </c>
      <c r="B232" s="734" t="s">
        <v>1579</v>
      </c>
      <c r="C232" s="238" t="s">
        <v>1580</v>
      </c>
      <c r="D232" s="777">
        <v>32530.7</v>
      </c>
      <c r="E232" s="777">
        <v>33064.5</v>
      </c>
      <c r="F232" s="247">
        <f>E232-D232</f>
        <v>533.79999999999927</v>
      </c>
      <c r="G232" s="153">
        <v>2000</v>
      </c>
      <c r="H232" s="153">
        <f>F232*G232</f>
        <v>1067599.9999999986</v>
      </c>
      <c r="I232" s="153"/>
      <c r="J232" s="153">
        <f>H232+I232</f>
        <v>1067599.9999999986</v>
      </c>
      <c r="K232" s="738"/>
    </row>
    <row r="233" spans="1:11">
      <c r="A233" s="153">
        <v>31</v>
      </c>
      <c r="B233" s="734" t="s">
        <v>1190</v>
      </c>
      <c r="C233" s="238" t="s">
        <v>1581</v>
      </c>
      <c r="D233" s="777">
        <v>20356</v>
      </c>
      <c r="E233" s="777">
        <v>20884</v>
      </c>
      <c r="F233" s="247">
        <f>E233-D233</f>
        <v>528</v>
      </c>
      <c r="G233" s="153">
        <v>2000</v>
      </c>
      <c r="H233" s="153">
        <f>F233*G233</f>
        <v>1056000</v>
      </c>
      <c r="I233" s="153"/>
      <c r="J233" s="153">
        <f>SUM(H233:I233)</f>
        <v>1056000</v>
      </c>
      <c r="K233" s="738"/>
    </row>
    <row r="234" spans="1:11">
      <c r="A234" s="153">
        <v>32</v>
      </c>
      <c r="B234" s="734" t="s">
        <v>1191</v>
      </c>
      <c r="C234" s="238" t="s">
        <v>1582</v>
      </c>
      <c r="D234" s="777">
        <v>42164.6</v>
      </c>
      <c r="E234" s="777">
        <v>42741.2</v>
      </c>
      <c r="F234" s="247">
        <f>E234-D234</f>
        <v>576.59999999999854</v>
      </c>
      <c r="G234" s="153">
        <v>2000</v>
      </c>
      <c r="H234" s="153">
        <f>F234*G234</f>
        <v>1153199.9999999972</v>
      </c>
      <c r="I234" s="153"/>
      <c r="J234" s="153">
        <f>SUM(H234:I234)</f>
        <v>1153199.9999999972</v>
      </c>
      <c r="K234" s="738"/>
    </row>
    <row r="235" spans="1:11">
      <c r="A235" s="153">
        <v>33</v>
      </c>
      <c r="B235" s="439" t="s">
        <v>1202</v>
      </c>
      <c r="C235" s="734" t="s">
        <v>1583</v>
      </c>
      <c r="D235" s="161">
        <v>4146.28</v>
      </c>
      <c r="E235" s="161">
        <v>4290.12</v>
      </c>
      <c r="F235" s="247">
        <f>E235-D235</f>
        <v>143.84000000000015</v>
      </c>
      <c r="G235" s="161">
        <v>3000</v>
      </c>
      <c r="H235" s="153">
        <f>F235*G235</f>
        <v>431520.00000000047</v>
      </c>
      <c r="I235" s="153">
        <v>593519</v>
      </c>
      <c r="J235" s="153">
        <f>SUM(H235:I235)</f>
        <v>1025039.0000000005</v>
      </c>
      <c r="K235" s="738"/>
    </row>
    <row r="236" spans="1:11">
      <c r="A236" s="153"/>
      <c r="B236" s="238"/>
      <c r="C236" s="238"/>
      <c r="D236" s="14"/>
      <c r="E236" s="14"/>
      <c r="F236" s="247"/>
      <c r="G236" s="153"/>
      <c r="H236" s="153"/>
      <c r="I236" s="153"/>
      <c r="J236" s="244">
        <f>SUM(J232+J233+J234+J235)</f>
        <v>4301838.9999999963</v>
      </c>
      <c r="K236" s="771">
        <f>(J230-J236)/J228</f>
        <v>1.6910536424127744E-2</v>
      </c>
    </row>
    <row r="237" spans="1:11">
      <c r="A237" s="95">
        <v>8</v>
      </c>
      <c r="B237" s="741" t="s">
        <v>1584</v>
      </c>
      <c r="C237" s="733"/>
      <c r="D237" s="14"/>
      <c r="E237" s="14"/>
      <c r="F237" s="247"/>
      <c r="G237" s="153"/>
      <c r="H237" s="153"/>
      <c r="I237" s="153"/>
      <c r="J237" s="153"/>
      <c r="K237" s="738"/>
    </row>
    <row r="238" spans="1:11">
      <c r="A238" s="153">
        <v>1</v>
      </c>
      <c r="B238" s="238" t="s">
        <v>1479</v>
      </c>
      <c r="C238" s="238">
        <v>5037326</v>
      </c>
      <c r="D238" s="289">
        <v>13393.3</v>
      </c>
      <c r="E238" s="289">
        <v>18802.7</v>
      </c>
      <c r="F238" s="247">
        <f>E238-D238</f>
        <v>5409.4000000000015</v>
      </c>
      <c r="G238" s="153">
        <v>180</v>
      </c>
      <c r="H238" s="153">
        <f>F238*G238</f>
        <v>973692.00000000023</v>
      </c>
      <c r="I238" s="153">
        <v>308492</v>
      </c>
      <c r="J238" s="153">
        <f>SUM(H238:I238)</f>
        <v>1282184.0000000002</v>
      </c>
      <c r="K238" s="153"/>
    </row>
    <row r="239" spans="1:11">
      <c r="A239" s="153"/>
      <c r="B239" s="734" t="s">
        <v>1363</v>
      </c>
      <c r="C239" s="238"/>
      <c r="D239" s="14"/>
      <c r="E239" s="14"/>
      <c r="F239" s="247"/>
      <c r="G239" s="153"/>
      <c r="H239" s="153"/>
      <c r="I239" s="153"/>
      <c r="J239" s="153">
        <f>SUM(J238)</f>
        <v>1282184.0000000002</v>
      </c>
      <c r="K239" s="738"/>
    </row>
    <row r="240" spans="1:11">
      <c r="A240" s="153"/>
      <c r="B240" s="733" t="s">
        <v>1522</v>
      </c>
      <c r="C240" s="238"/>
      <c r="D240" s="14"/>
      <c r="E240" s="14"/>
      <c r="F240" s="247"/>
      <c r="G240" s="153"/>
      <c r="H240" s="153"/>
      <c r="I240" s="153"/>
      <c r="J240" s="153"/>
      <c r="K240" s="738"/>
    </row>
    <row r="241" spans="1:11">
      <c r="A241" s="153">
        <v>34</v>
      </c>
      <c r="B241" s="734" t="s">
        <v>1585</v>
      </c>
      <c r="C241" s="238" t="s">
        <v>1586</v>
      </c>
      <c r="D241" s="14">
        <v>191281.5</v>
      </c>
      <c r="E241" s="14">
        <v>217321</v>
      </c>
      <c r="F241" s="247">
        <f>E241-D241</f>
        <v>26039.5</v>
      </c>
      <c r="G241" s="153">
        <v>40</v>
      </c>
      <c r="H241" s="153">
        <f>F241*G241</f>
        <v>1041580</v>
      </c>
      <c r="I241" s="153"/>
      <c r="J241" s="153">
        <f>SUM(H241:I241)</f>
        <v>1041580</v>
      </c>
      <c r="K241" s="738"/>
    </row>
    <row r="242" spans="1:11">
      <c r="A242" s="153">
        <v>35</v>
      </c>
      <c r="B242" s="734" t="s">
        <v>1587</v>
      </c>
      <c r="C242" s="238">
        <v>5037183</v>
      </c>
      <c r="D242" s="14">
        <v>22439.3</v>
      </c>
      <c r="E242" s="14">
        <v>27965.4</v>
      </c>
      <c r="F242" s="247">
        <f>E242-D242</f>
        <v>5526.1000000000022</v>
      </c>
      <c r="G242" s="153">
        <v>40</v>
      </c>
      <c r="H242" s="153">
        <f>F242*G242</f>
        <v>221044.00000000009</v>
      </c>
      <c r="I242" s="244"/>
      <c r="J242" s="244">
        <f>SUM(H242:I242)</f>
        <v>221044.00000000009</v>
      </c>
      <c r="K242" s="738"/>
    </row>
    <row r="243" spans="1:11">
      <c r="A243" s="153"/>
      <c r="B243" s="238"/>
      <c r="C243" s="238"/>
      <c r="D243" s="14"/>
      <c r="E243" s="14"/>
      <c r="F243" s="247"/>
      <c r="G243" s="153"/>
      <c r="H243" s="153"/>
      <c r="I243" s="153"/>
      <c r="J243" s="244">
        <f>SUM(J241:J242)</f>
        <v>1262624</v>
      </c>
      <c r="K243" s="771">
        <f>(J238-J243)/J238</f>
        <v>1.5255220779545081E-2</v>
      </c>
    </row>
    <row r="244" spans="1:11">
      <c r="A244" s="153"/>
      <c r="B244" s="239" t="s">
        <v>5</v>
      </c>
      <c r="C244" s="238"/>
      <c r="D244" s="14"/>
      <c r="E244" s="14"/>
      <c r="F244" s="247"/>
      <c r="G244" s="153"/>
      <c r="H244" s="153"/>
      <c r="I244" s="153"/>
      <c r="J244" s="153"/>
      <c r="K244" s="771"/>
    </row>
    <row r="245" spans="1:11">
      <c r="A245" s="153">
        <v>1</v>
      </c>
      <c r="B245" s="238" t="s">
        <v>1200</v>
      </c>
      <c r="C245" s="238" t="str">
        <f t="shared" ref="C245:H245" si="11">C184</f>
        <v>MPE15902</v>
      </c>
      <c r="D245" s="153">
        <f t="shared" si="11"/>
        <v>122500.7</v>
      </c>
      <c r="E245" s="153">
        <f t="shared" si="11"/>
        <v>122593.2</v>
      </c>
      <c r="F245" s="153">
        <f t="shared" si="11"/>
        <v>92.5</v>
      </c>
      <c r="G245" s="153">
        <f t="shared" si="11"/>
        <v>2000</v>
      </c>
      <c r="H245" s="153">
        <f t="shared" si="11"/>
        <v>185000</v>
      </c>
      <c r="I245" s="153"/>
      <c r="J245" s="153">
        <f>H245+I245</f>
        <v>185000</v>
      </c>
      <c r="K245" s="771"/>
    </row>
    <row r="246" spans="1:11">
      <c r="A246" s="153">
        <v>2</v>
      </c>
      <c r="B246" s="238" t="s">
        <v>1486</v>
      </c>
      <c r="C246" s="258" t="str">
        <f t="shared" ref="C246:H246" si="12">C168</f>
        <v>MPE13164</v>
      </c>
      <c r="D246" s="244">
        <f t="shared" si="12"/>
        <v>88463.1</v>
      </c>
      <c r="E246" s="244">
        <f t="shared" si="12"/>
        <v>88798.399999999994</v>
      </c>
      <c r="F246" s="244">
        <f t="shared" si="12"/>
        <v>335.29999999998836</v>
      </c>
      <c r="G246" s="244">
        <f t="shared" si="12"/>
        <v>2000</v>
      </c>
      <c r="H246" s="244">
        <f t="shared" si="12"/>
        <v>670599.99999997672</v>
      </c>
      <c r="I246" s="244"/>
      <c r="J246" s="244">
        <f>J168</f>
        <v>670599.99999997672</v>
      </c>
      <c r="K246" s="738"/>
    </row>
    <row r="247" spans="1:11">
      <c r="A247" s="153">
        <v>3</v>
      </c>
      <c r="B247" s="238" t="s">
        <v>1171</v>
      </c>
      <c r="C247" s="258" t="str">
        <f t="shared" ref="C247:H247" si="13">C172</f>
        <v>MPE13163</v>
      </c>
      <c r="D247" s="244">
        <f t="shared" si="13"/>
        <v>152639.6</v>
      </c>
      <c r="E247" s="244">
        <f t="shared" si="13"/>
        <v>153455.29999999999</v>
      </c>
      <c r="F247" s="244">
        <f t="shared" si="13"/>
        <v>815.69999999998254</v>
      </c>
      <c r="G247" s="244">
        <f t="shared" si="13"/>
        <v>2000</v>
      </c>
      <c r="H247" s="244">
        <f t="shared" si="13"/>
        <v>1631399.9999999651</v>
      </c>
      <c r="I247" s="244"/>
      <c r="J247" s="244">
        <f>J172</f>
        <v>1761063.9999999651</v>
      </c>
      <c r="K247" s="738"/>
    </row>
    <row r="248" spans="1:11">
      <c r="A248" s="153"/>
      <c r="B248" s="755"/>
      <c r="C248" s="238"/>
      <c r="D248" s="14"/>
      <c r="E248" s="14"/>
      <c r="F248" s="247"/>
      <c r="G248" s="153"/>
      <c r="H248" s="153"/>
      <c r="I248" s="153"/>
      <c r="J248" s="153">
        <f>SUM(J245:J247)</f>
        <v>2616663.9999999418</v>
      </c>
      <c r="K248" s="738"/>
    </row>
    <row r="249" spans="1:11">
      <c r="A249" s="153"/>
      <c r="B249" s="239" t="s">
        <v>1492</v>
      </c>
      <c r="C249" s="238"/>
      <c r="D249" s="778"/>
      <c r="E249" s="778"/>
      <c r="F249" s="247"/>
      <c r="G249" s="153"/>
      <c r="H249" s="153"/>
      <c r="I249" s="153"/>
      <c r="J249" s="349">
        <f>J164+J181+J192+J202+J211+J221+J230-J248+J239</f>
        <v>31413189.999999985</v>
      </c>
      <c r="K249" s="738"/>
    </row>
    <row r="250" spans="1:11">
      <c r="A250" s="153"/>
      <c r="B250" s="239" t="s">
        <v>1493</v>
      </c>
      <c r="C250" s="239"/>
      <c r="D250" s="690"/>
      <c r="E250" s="690"/>
      <c r="F250" s="779"/>
      <c r="G250" s="95"/>
      <c r="H250" s="95"/>
      <c r="I250" s="349"/>
      <c r="J250" s="349">
        <f>J174+J189+J198+J207+J218+J226+J236-J248+J243</f>
        <v>31147532.195000075</v>
      </c>
      <c r="K250" s="780">
        <f>(J249-J250)/J249</f>
        <v>8.4568872183917142E-3</v>
      </c>
    </row>
    <row r="251" spans="1:11">
      <c r="A251" s="153"/>
      <c r="B251" s="239"/>
      <c r="C251" s="239"/>
      <c r="D251" s="690"/>
      <c r="E251" s="690"/>
      <c r="F251" s="779"/>
      <c r="G251" s="95"/>
      <c r="H251" s="95"/>
      <c r="I251" s="349"/>
      <c r="J251" s="349"/>
      <c r="K251" s="781"/>
    </row>
    <row r="252" spans="1:11" ht="18">
      <c r="A252" s="1041" t="s">
        <v>1588</v>
      </c>
      <c r="B252" s="1042"/>
      <c r="C252" s="1042"/>
      <c r="D252" s="1042"/>
      <c r="E252" s="1042"/>
      <c r="F252" s="1042"/>
      <c r="G252" s="1042"/>
      <c r="H252" s="1042"/>
      <c r="I252" s="1042"/>
      <c r="J252" s="1042"/>
      <c r="K252" s="1043"/>
    </row>
    <row r="253" spans="1:11">
      <c r="A253" s="1056" t="s">
        <v>1589</v>
      </c>
      <c r="B253" s="1057"/>
      <c r="C253" s="1058"/>
      <c r="D253" s="1059" t="str">
        <f>D158</f>
        <v>OCT.2024</v>
      </c>
      <c r="E253" s="1060"/>
      <c r="F253" s="153"/>
      <c r="G253" s="153"/>
      <c r="H253" s="153"/>
      <c r="I253" s="153"/>
      <c r="J253" s="153"/>
      <c r="K253" s="153"/>
    </row>
    <row r="254" spans="1:11" ht="25.5">
      <c r="A254" s="14" t="s">
        <v>345</v>
      </c>
      <c r="B254" s="725" t="s">
        <v>898</v>
      </c>
      <c r="C254" s="782" t="s">
        <v>1351</v>
      </c>
      <c r="D254" s="727"/>
      <c r="E254" s="727"/>
      <c r="F254" s="783" t="s">
        <v>1353</v>
      </c>
      <c r="G254" s="14" t="s">
        <v>135</v>
      </c>
      <c r="H254" s="727" t="s">
        <v>1590</v>
      </c>
      <c r="I254" s="784" t="s">
        <v>1591</v>
      </c>
      <c r="J254" s="727" t="s">
        <v>1495</v>
      </c>
      <c r="K254" s="727" t="s">
        <v>293</v>
      </c>
    </row>
    <row r="255" spans="1:11">
      <c r="A255" s="153"/>
      <c r="B255" s="725"/>
      <c r="C255" s="726"/>
      <c r="D255" s="331">
        <f>D160</f>
        <v>45412</v>
      </c>
      <c r="E255" s="331">
        <f>E160</f>
        <v>45443</v>
      </c>
      <c r="F255" s="783"/>
      <c r="G255" s="14"/>
      <c r="H255" s="153"/>
      <c r="I255" s="153"/>
      <c r="J255" s="731"/>
      <c r="K255" s="153" t="s">
        <v>1592</v>
      </c>
    </row>
    <row r="256" spans="1:11">
      <c r="A256" s="153">
        <v>1</v>
      </c>
      <c r="B256" s="741" t="s">
        <v>1593</v>
      </c>
      <c r="C256" s="238"/>
      <c r="D256" s="247"/>
      <c r="E256" s="247"/>
      <c r="F256" s="247"/>
      <c r="G256" s="153"/>
      <c r="H256" s="244"/>
      <c r="I256" s="244"/>
      <c r="J256" s="244"/>
      <c r="K256" s="153"/>
    </row>
    <row r="257" spans="1:11">
      <c r="A257" s="153">
        <v>1</v>
      </c>
      <c r="B257" s="734" t="s">
        <v>1594</v>
      </c>
      <c r="C257" s="238" t="s">
        <v>1595</v>
      </c>
      <c r="D257" s="247">
        <v>29561.7</v>
      </c>
      <c r="E257" s="247">
        <v>29563.200000000001</v>
      </c>
      <c r="F257" s="247">
        <f>E257-D257</f>
        <v>1.5</v>
      </c>
      <c r="G257" s="153">
        <v>4000</v>
      </c>
      <c r="H257" s="244">
        <f>(F257*G257)</f>
        <v>6000</v>
      </c>
      <c r="I257" s="244">
        <v>160000</v>
      </c>
      <c r="J257" s="244">
        <f>H257+I257</f>
        <v>166000</v>
      </c>
      <c r="K257" s="153"/>
    </row>
    <row r="258" spans="1:11">
      <c r="A258" s="153">
        <v>2</v>
      </c>
      <c r="B258" s="734" t="s">
        <v>1596</v>
      </c>
      <c r="C258" s="238" t="s">
        <v>1597</v>
      </c>
      <c r="D258" s="247">
        <v>125390.39999999999</v>
      </c>
      <c r="E258" s="247">
        <v>126216.3</v>
      </c>
      <c r="F258" s="247">
        <f>E258-D258</f>
        <v>825.90000000000873</v>
      </c>
      <c r="G258" s="153">
        <v>2000</v>
      </c>
      <c r="H258" s="244">
        <f>(F258*G258)</f>
        <v>1651800.0000000175</v>
      </c>
      <c r="I258" s="244"/>
      <c r="J258" s="244">
        <f>H258+I258</f>
        <v>1651800.0000000175</v>
      </c>
      <c r="K258" s="153"/>
    </row>
    <row r="259" spans="1:11">
      <c r="A259" s="153">
        <v>2</v>
      </c>
      <c r="B259" s="734" t="s">
        <v>1598</v>
      </c>
      <c r="C259" s="238" t="s">
        <v>1599</v>
      </c>
      <c r="D259" s="247">
        <v>36021.800000000003</v>
      </c>
      <c r="E259" s="247">
        <v>36021.800000000003</v>
      </c>
      <c r="F259" s="247">
        <f>E259-D259</f>
        <v>0</v>
      </c>
      <c r="G259" s="153">
        <v>2000</v>
      </c>
      <c r="H259" s="244">
        <f>(F259*G259)</f>
        <v>0</v>
      </c>
      <c r="I259" s="244">
        <v>920000</v>
      </c>
      <c r="J259" s="244">
        <f>H259+I259</f>
        <v>920000</v>
      </c>
      <c r="K259" s="153"/>
    </row>
    <row r="260" spans="1:11">
      <c r="A260" s="153"/>
      <c r="B260" s="734" t="s">
        <v>1600</v>
      </c>
      <c r="C260" s="238" t="s">
        <v>1595</v>
      </c>
      <c r="D260" s="247">
        <v>11574.4</v>
      </c>
      <c r="E260" s="247">
        <v>11574.4</v>
      </c>
      <c r="F260" s="247">
        <f>E260-D260</f>
        <v>0</v>
      </c>
      <c r="G260" s="153">
        <v>4000</v>
      </c>
      <c r="H260" s="244">
        <f>(F260*G260)</f>
        <v>0</v>
      </c>
      <c r="I260" s="244"/>
      <c r="J260" s="244">
        <f>H260+I260</f>
        <v>0</v>
      </c>
      <c r="K260" s="153"/>
    </row>
    <row r="261" spans="1:11">
      <c r="A261" s="153"/>
      <c r="B261" s="734" t="s">
        <v>1601</v>
      </c>
      <c r="C261" s="238" t="s">
        <v>1599</v>
      </c>
      <c r="D261" s="247">
        <v>19660.8</v>
      </c>
      <c r="E261" s="247">
        <v>19660.8</v>
      </c>
      <c r="F261" s="247">
        <f>E261-D261</f>
        <v>0</v>
      </c>
      <c r="G261" s="153">
        <v>2000</v>
      </c>
      <c r="H261" s="244">
        <f>(F261*G261)</f>
        <v>0</v>
      </c>
      <c r="I261" s="244"/>
      <c r="J261" s="244">
        <f>H261+I261</f>
        <v>0</v>
      </c>
      <c r="K261" s="153"/>
    </row>
    <row r="262" spans="1:11">
      <c r="A262" s="153"/>
      <c r="B262" s="734" t="s">
        <v>1363</v>
      </c>
      <c r="C262" s="238"/>
      <c r="D262" s="247"/>
      <c r="E262" s="247"/>
      <c r="F262" s="247"/>
      <c r="G262" s="153"/>
      <c r="H262" s="244"/>
      <c r="I262" s="244"/>
      <c r="J262" s="244">
        <f>J257+I259+J258-J260</f>
        <v>2737800.0000000177</v>
      </c>
      <c r="K262" s="153"/>
    </row>
    <row r="263" spans="1:11">
      <c r="A263" s="153"/>
      <c r="B263" s="737" t="s">
        <v>1522</v>
      </c>
      <c r="C263" s="238"/>
      <c r="D263" s="247"/>
      <c r="E263" s="247"/>
      <c r="F263" s="247"/>
      <c r="G263" s="153"/>
      <c r="H263" s="244"/>
      <c r="I263" s="244"/>
      <c r="J263" s="244"/>
      <c r="K263" s="153"/>
    </row>
    <row r="264" spans="1:11">
      <c r="A264" s="153">
        <v>1</v>
      </c>
      <c r="B264" s="734" t="s">
        <v>1602</v>
      </c>
      <c r="C264" s="238" t="s">
        <v>1603</v>
      </c>
      <c r="D264" s="247">
        <v>81690.8</v>
      </c>
      <c r="E264" s="247">
        <v>82275</v>
      </c>
      <c r="F264" s="247">
        <f>E264-D264</f>
        <v>584.19999999999709</v>
      </c>
      <c r="G264" s="153">
        <v>2000</v>
      </c>
      <c r="H264" s="244">
        <f>(F264*G264)</f>
        <v>1168399.9999999942</v>
      </c>
      <c r="I264" s="244"/>
      <c r="J264" s="244">
        <f>H264+I264</f>
        <v>1168399.9999999942</v>
      </c>
      <c r="K264" s="153"/>
    </row>
    <row r="265" spans="1:11">
      <c r="A265" s="153">
        <v>2</v>
      </c>
      <c r="B265" s="734" t="s">
        <v>1605</v>
      </c>
      <c r="C265" s="238" t="s">
        <v>1606</v>
      </c>
      <c r="D265" s="247">
        <v>13288.4</v>
      </c>
      <c r="E265" s="247">
        <v>15610.6</v>
      </c>
      <c r="F265" s="247">
        <f>E265-D265</f>
        <v>2322.2000000000007</v>
      </c>
      <c r="G265" s="153">
        <v>200</v>
      </c>
      <c r="H265" s="244">
        <f>(F265*G265)</f>
        <v>464440.00000000012</v>
      </c>
      <c r="I265" s="244"/>
      <c r="J265" s="244">
        <f>H265+I265</f>
        <v>464440.00000000012</v>
      </c>
      <c r="K265" s="153"/>
    </row>
    <row r="266" spans="1:11">
      <c r="A266" s="161">
        <v>3</v>
      </c>
      <c r="B266" s="734" t="s">
        <v>169</v>
      </c>
      <c r="C266" s="238" t="s">
        <v>1608</v>
      </c>
      <c r="D266" s="247">
        <v>15366.8</v>
      </c>
      <c r="E266" s="247">
        <v>15719.5</v>
      </c>
      <c r="F266" s="247">
        <f>E266-D266</f>
        <v>352.70000000000073</v>
      </c>
      <c r="G266" s="153">
        <v>2000</v>
      </c>
      <c r="H266" s="244">
        <f>(F266*G266)</f>
        <v>705400.0000000014</v>
      </c>
      <c r="I266" s="244"/>
      <c r="J266" s="244">
        <f>H266+I266</f>
        <v>705400.0000000014</v>
      </c>
      <c r="K266" s="153"/>
    </row>
    <row r="267" spans="1:11">
      <c r="A267" s="153">
        <v>4</v>
      </c>
      <c r="B267" s="734" t="s">
        <v>1610</v>
      </c>
      <c r="C267" s="238" t="s">
        <v>1611</v>
      </c>
      <c r="D267" s="247">
        <v>36509.599999999999</v>
      </c>
      <c r="E267" s="247">
        <v>36552.1</v>
      </c>
      <c r="F267" s="247">
        <f>E267-D267</f>
        <v>42.5</v>
      </c>
      <c r="G267" s="153">
        <v>2000</v>
      </c>
      <c r="H267" s="244">
        <f>(F267*G267)</f>
        <v>85000</v>
      </c>
      <c r="I267" s="244">
        <v>275200</v>
      </c>
      <c r="J267" s="244">
        <f>H267+I267</f>
        <v>360200</v>
      </c>
      <c r="K267" s="153"/>
    </row>
    <row r="268" spans="1:11">
      <c r="A268" s="153"/>
      <c r="B268" s="439"/>
      <c r="C268" s="238"/>
      <c r="D268" s="247"/>
      <c r="E268" s="247"/>
      <c r="F268" s="247"/>
      <c r="G268" s="153"/>
      <c r="H268" s="244"/>
      <c r="I268" s="244"/>
      <c r="J268" s="349">
        <f>SUM(J264:J267)</f>
        <v>2698439.9999999958</v>
      </c>
      <c r="K268" s="743">
        <f>(J262-J268)/J262</f>
        <v>1.4376506684206893E-2</v>
      </c>
    </row>
    <row r="269" spans="1:11">
      <c r="A269" s="95">
        <v>2</v>
      </c>
      <c r="B269" s="741" t="s">
        <v>1613</v>
      </c>
      <c r="C269" s="238"/>
      <c r="D269" s="247"/>
      <c r="E269" s="247"/>
      <c r="F269" s="247"/>
      <c r="G269" s="153"/>
      <c r="H269" s="244"/>
      <c r="I269" s="244"/>
      <c r="J269" s="244"/>
      <c r="K269" s="743"/>
    </row>
    <row r="270" spans="1:11">
      <c r="A270" s="153"/>
      <c r="B270" s="238"/>
      <c r="C270" s="238"/>
      <c r="D270" s="247"/>
      <c r="E270" s="247"/>
      <c r="F270" s="247"/>
      <c r="G270" s="153"/>
      <c r="H270" s="244"/>
      <c r="I270" s="244"/>
      <c r="J270" s="244"/>
      <c r="K270" s="743"/>
    </row>
    <row r="271" spans="1:11">
      <c r="A271" s="161">
        <v>1</v>
      </c>
      <c r="B271" s="238" t="s">
        <v>1614</v>
      </c>
      <c r="C271" s="153" t="s">
        <v>1615</v>
      </c>
      <c r="D271" s="247">
        <v>199372.79999999999</v>
      </c>
      <c r="E271" s="247">
        <v>201682.5</v>
      </c>
      <c r="F271" s="247">
        <f>E271-D271</f>
        <v>2309.7000000000116</v>
      </c>
      <c r="G271" s="153">
        <v>1000</v>
      </c>
      <c r="H271" s="244">
        <f>(F271*G271)</f>
        <v>2309700.0000000116</v>
      </c>
      <c r="I271" s="244"/>
      <c r="J271" s="244">
        <f>SUM(H271:I271)</f>
        <v>2309700.0000000116</v>
      </c>
      <c r="K271" s="743"/>
    </row>
    <row r="272" spans="1:11">
      <c r="A272" s="153"/>
      <c r="B272" s="238" t="s">
        <v>1616</v>
      </c>
      <c r="C272" s="153" t="s">
        <v>1617</v>
      </c>
      <c r="D272" s="247">
        <v>503711.5</v>
      </c>
      <c r="E272" s="247">
        <v>516948.5</v>
      </c>
      <c r="F272" s="247">
        <f>E272-D272</f>
        <v>13237</v>
      </c>
      <c r="G272" s="153">
        <v>120</v>
      </c>
      <c r="H272" s="244">
        <f>(F272*G272)</f>
        <v>1588440</v>
      </c>
      <c r="I272" s="244"/>
      <c r="J272" s="244">
        <f>H272+I272</f>
        <v>1588440</v>
      </c>
      <c r="K272" s="153"/>
    </row>
    <row r="273" spans="1:11">
      <c r="A273" s="153"/>
      <c r="B273" s="734" t="s">
        <v>1363</v>
      </c>
      <c r="C273" s="153"/>
      <c r="D273" s="247"/>
      <c r="E273" s="247"/>
      <c r="F273" s="247"/>
      <c r="G273" s="153"/>
      <c r="H273" s="244"/>
      <c r="I273" s="244"/>
      <c r="J273" s="244">
        <f>SUM(J271:J272)</f>
        <v>3898140.0000000116</v>
      </c>
      <c r="K273" s="153"/>
    </row>
    <row r="274" spans="1:11">
      <c r="A274" s="153"/>
      <c r="B274" s="238" t="s">
        <v>1618</v>
      </c>
      <c r="C274" s="153"/>
      <c r="D274" s="247"/>
      <c r="E274" s="247"/>
      <c r="F274" s="247"/>
      <c r="G274" s="153"/>
      <c r="H274" s="244"/>
      <c r="I274" s="244"/>
      <c r="J274" s="244"/>
      <c r="K274" s="153"/>
    </row>
    <row r="275" spans="1:11">
      <c r="A275" s="153">
        <v>5</v>
      </c>
      <c r="B275" s="748" t="s">
        <v>1619</v>
      </c>
      <c r="C275" s="153" t="s">
        <v>1620</v>
      </c>
      <c r="D275" s="247">
        <v>938649</v>
      </c>
      <c r="E275" s="247">
        <v>964989.5</v>
      </c>
      <c r="F275" s="247">
        <f>E275-D275</f>
        <v>26340.5</v>
      </c>
      <c r="G275" s="153">
        <v>60</v>
      </c>
      <c r="H275" s="244">
        <f>(F275*G275)</f>
        <v>1580430</v>
      </c>
      <c r="I275" s="244"/>
      <c r="J275" s="244">
        <f>H275+I275</f>
        <v>1580430</v>
      </c>
      <c r="K275" s="786"/>
    </row>
    <row r="276" spans="1:11">
      <c r="A276" s="153">
        <v>6</v>
      </c>
      <c r="B276" s="734" t="s">
        <v>1622</v>
      </c>
      <c r="C276" s="153" t="s">
        <v>1623</v>
      </c>
      <c r="D276" s="247">
        <v>414748.5</v>
      </c>
      <c r="E276" s="247">
        <v>432328.5</v>
      </c>
      <c r="F276" s="247">
        <f>E276-D276</f>
        <v>17580</v>
      </c>
      <c r="G276" s="153">
        <v>30</v>
      </c>
      <c r="H276" s="244">
        <f>(F276*G276)</f>
        <v>527400</v>
      </c>
      <c r="I276" s="244"/>
      <c r="J276" s="244">
        <f>H276+I276</f>
        <v>527400</v>
      </c>
      <c r="K276" s="153"/>
    </row>
    <row r="277" spans="1:11">
      <c r="A277" s="153">
        <v>7</v>
      </c>
      <c r="B277" s="238" t="s">
        <v>1625</v>
      </c>
      <c r="C277" s="153" t="s">
        <v>1626</v>
      </c>
      <c r="D277" s="247">
        <v>3958.9</v>
      </c>
      <c r="E277" s="247">
        <v>3991.5</v>
      </c>
      <c r="F277" s="247">
        <f>E277-D277</f>
        <v>32.599999999999909</v>
      </c>
      <c r="G277" s="153">
        <v>1333.33</v>
      </c>
      <c r="H277" s="244">
        <f>(F277*G277)</f>
        <v>43466.557999999874</v>
      </c>
      <c r="I277" s="244"/>
      <c r="J277" s="244">
        <f>H277+I277</f>
        <v>43466.557999999874</v>
      </c>
      <c r="K277" s="786"/>
    </row>
    <row r="278" spans="1:11">
      <c r="A278" s="153"/>
      <c r="B278" s="238" t="s">
        <v>989</v>
      </c>
      <c r="C278" s="153" t="s">
        <v>1628</v>
      </c>
      <c r="D278" s="247">
        <v>6248.32</v>
      </c>
      <c r="E278" s="247">
        <v>6535.67</v>
      </c>
      <c r="F278" s="247">
        <f>E278-D278</f>
        <v>287.35000000000036</v>
      </c>
      <c r="G278" s="153">
        <v>6000</v>
      </c>
      <c r="H278" s="244">
        <f>(F278*G278)</f>
        <v>1724100.0000000021</v>
      </c>
      <c r="I278" s="244"/>
      <c r="J278" s="244">
        <f>H278+I278</f>
        <v>1724100.0000000021</v>
      </c>
      <c r="K278" s="153"/>
    </row>
    <row r="279" spans="1:11">
      <c r="A279" s="153"/>
      <c r="B279" s="238"/>
      <c r="C279" s="238"/>
      <c r="D279" s="247"/>
      <c r="E279" s="247"/>
      <c r="F279" s="247"/>
      <c r="G279" s="153"/>
      <c r="H279" s="244"/>
      <c r="I279" s="244"/>
      <c r="J279" s="349">
        <f>SUM(J275:J278)</f>
        <v>3875396.5580000021</v>
      </c>
      <c r="K279" s="743">
        <f>(J273-J279)/J273</f>
        <v>5.8344343712666853E-3</v>
      </c>
    </row>
    <row r="280" spans="1:11">
      <c r="A280" s="95">
        <v>3</v>
      </c>
      <c r="B280" s="741" t="s">
        <v>1630</v>
      </c>
      <c r="C280" s="238"/>
      <c r="D280" s="247"/>
      <c r="E280" s="247"/>
      <c r="F280" s="247"/>
      <c r="G280" s="153"/>
      <c r="H280" s="244"/>
      <c r="I280" s="244"/>
      <c r="J280" s="244"/>
      <c r="K280" s="244"/>
    </row>
    <row r="281" spans="1:11">
      <c r="A281" s="153">
        <v>1</v>
      </c>
      <c r="B281" s="734" t="s">
        <v>1631</v>
      </c>
      <c r="C281" s="14" t="s">
        <v>1632</v>
      </c>
      <c r="D281" s="247">
        <v>174555</v>
      </c>
      <c r="E281" s="247">
        <v>179921</v>
      </c>
      <c r="F281" s="247">
        <f>E281-D281</f>
        <v>5366</v>
      </c>
      <c r="G281" s="153">
        <v>120</v>
      </c>
      <c r="H281" s="244">
        <f>(F281*G281)</f>
        <v>643920</v>
      </c>
      <c r="I281" s="244"/>
      <c r="J281" s="244">
        <f>H281+I281</f>
        <v>643920</v>
      </c>
      <c r="K281" s="153"/>
    </row>
    <row r="282" spans="1:11">
      <c r="A282" s="153">
        <v>2</v>
      </c>
      <c r="B282" s="734" t="s">
        <v>1633</v>
      </c>
      <c r="C282" s="238" t="s">
        <v>1634</v>
      </c>
      <c r="D282" s="247">
        <v>34761.5</v>
      </c>
      <c r="E282" s="247">
        <v>39007.800000000003</v>
      </c>
      <c r="F282" s="247">
        <f>E282-D282</f>
        <v>4246.3000000000029</v>
      </c>
      <c r="G282" s="153">
        <v>600</v>
      </c>
      <c r="H282" s="244">
        <f>(F282*G282)</f>
        <v>2547780.0000000019</v>
      </c>
      <c r="I282" s="244"/>
      <c r="J282" s="244">
        <f>H282+I282</f>
        <v>2547780.0000000019</v>
      </c>
      <c r="K282" s="153"/>
    </row>
    <row r="283" spans="1:11">
      <c r="A283" s="161">
        <v>3</v>
      </c>
      <c r="B283" s="734" t="s">
        <v>1635</v>
      </c>
      <c r="C283" s="734" t="s">
        <v>1636</v>
      </c>
      <c r="D283" s="247">
        <v>403470.5</v>
      </c>
      <c r="E283" s="247">
        <v>409378</v>
      </c>
      <c r="F283" s="247">
        <f>E283-D283</f>
        <v>5907.5</v>
      </c>
      <c r="G283" s="153">
        <v>120</v>
      </c>
      <c r="H283" s="244">
        <f>(F283*G283)</f>
        <v>708900</v>
      </c>
      <c r="I283" s="244"/>
      <c r="J283" s="749">
        <f>H283+I283</f>
        <v>708900</v>
      </c>
      <c r="K283" s="161"/>
    </row>
    <row r="284" spans="1:11">
      <c r="A284" s="153"/>
      <c r="B284" s="751" t="s">
        <v>1598</v>
      </c>
      <c r="C284" s="752" t="s">
        <v>1637</v>
      </c>
      <c r="D284" s="247">
        <v>168.42</v>
      </c>
      <c r="E284" s="247">
        <v>190.47</v>
      </c>
      <c r="F284" s="247">
        <f>E284-D284</f>
        <v>22.050000000000011</v>
      </c>
      <c r="G284" s="153">
        <v>20000</v>
      </c>
      <c r="H284" s="244">
        <f>(F284*G284)</f>
        <v>441000.00000000023</v>
      </c>
      <c r="I284" s="244">
        <v>2828000</v>
      </c>
      <c r="J284" s="749">
        <f>H284+I284</f>
        <v>3269000</v>
      </c>
      <c r="K284" s="153"/>
    </row>
    <row r="285" spans="1:11">
      <c r="A285" s="153"/>
      <c r="B285" s="734" t="s">
        <v>1364</v>
      </c>
      <c r="C285" s="238"/>
      <c r="D285" s="247"/>
      <c r="E285" s="247"/>
      <c r="F285" s="247"/>
      <c r="G285" s="153"/>
      <c r="H285" s="244"/>
      <c r="I285" s="244"/>
      <c r="J285" s="349">
        <f>(J282+J281+J284)-J283</f>
        <v>5751800.0000000019</v>
      </c>
      <c r="K285" s="244"/>
    </row>
    <row r="286" spans="1:11">
      <c r="A286" s="153">
        <v>9</v>
      </c>
      <c r="B286" s="734" t="s">
        <v>162</v>
      </c>
      <c r="C286" s="14" t="s">
        <v>1638</v>
      </c>
      <c r="D286" s="247">
        <v>1351.29</v>
      </c>
      <c r="E286" s="247">
        <v>1526.74</v>
      </c>
      <c r="F286" s="247">
        <f t="shared" ref="F286:F292" si="14">E286-D286</f>
        <v>175.45000000000005</v>
      </c>
      <c r="G286" s="153">
        <v>6000</v>
      </c>
      <c r="H286" s="244">
        <f t="shared" ref="H286:H292" si="15">(F286*G286)</f>
        <v>1052700.0000000002</v>
      </c>
      <c r="I286" s="244"/>
      <c r="J286" s="244">
        <f>H286+I286</f>
        <v>1052700.0000000002</v>
      </c>
      <c r="K286" s="153"/>
    </row>
    <row r="287" spans="1:11">
      <c r="A287" s="153">
        <v>10</v>
      </c>
      <c r="B287" s="734" t="s">
        <v>1639</v>
      </c>
      <c r="C287" s="238" t="s">
        <v>1640</v>
      </c>
      <c r="D287" s="247">
        <v>3503.5</v>
      </c>
      <c r="E287" s="247">
        <v>4276.8</v>
      </c>
      <c r="F287" s="247">
        <f t="shared" si="14"/>
        <v>773.30000000000018</v>
      </c>
      <c r="G287" s="153">
        <v>2000</v>
      </c>
      <c r="H287" s="244">
        <f t="shared" si="15"/>
        <v>1546600.0000000005</v>
      </c>
      <c r="I287" s="244"/>
      <c r="J287" s="244">
        <f>H287+I287</f>
        <v>1546600.0000000005</v>
      </c>
      <c r="K287" s="787"/>
    </row>
    <row r="288" spans="1:11">
      <c r="A288" s="153">
        <v>11</v>
      </c>
      <c r="B288" s="734" t="s">
        <v>1641</v>
      </c>
      <c r="C288" s="238" t="s">
        <v>1642</v>
      </c>
      <c r="D288" s="247">
        <v>102252</v>
      </c>
      <c r="E288" s="247">
        <v>102706.3</v>
      </c>
      <c r="F288" s="247">
        <f t="shared" si="14"/>
        <v>454.30000000000291</v>
      </c>
      <c r="G288" s="153">
        <v>2000</v>
      </c>
      <c r="H288" s="244">
        <f t="shared" si="15"/>
        <v>908600.00000000582</v>
      </c>
      <c r="I288" s="244"/>
      <c r="J288" s="244">
        <f>H288+I288</f>
        <v>908600.00000000582</v>
      </c>
      <c r="K288" s="153"/>
    </row>
    <row r="289" spans="1:11">
      <c r="A289" s="788">
        <v>12</v>
      </c>
      <c r="B289" s="789" t="s">
        <v>979</v>
      </c>
      <c r="C289" s="790" t="s">
        <v>1643</v>
      </c>
      <c r="D289" s="791">
        <v>7938</v>
      </c>
      <c r="E289" s="791">
        <v>9219.7000000000007</v>
      </c>
      <c r="F289" s="791">
        <f t="shared" si="14"/>
        <v>1281.7000000000007</v>
      </c>
      <c r="G289" s="788">
        <v>200</v>
      </c>
      <c r="H289" s="792">
        <f t="shared" si="15"/>
        <v>256340.00000000015</v>
      </c>
      <c r="I289" s="792"/>
      <c r="J289" s="792">
        <f>H289+I289</f>
        <v>256340.00000000015</v>
      </c>
      <c r="K289" s="788"/>
    </row>
    <row r="290" spans="1:11">
      <c r="A290" s="153">
        <v>13</v>
      </c>
      <c r="B290" s="734" t="s">
        <v>1644</v>
      </c>
      <c r="C290" s="238" t="s">
        <v>1645</v>
      </c>
      <c r="D290" s="247">
        <v>45034.8</v>
      </c>
      <c r="E290" s="247">
        <v>45121.5</v>
      </c>
      <c r="F290" s="247">
        <f t="shared" si="14"/>
        <v>86.69999999999709</v>
      </c>
      <c r="G290" s="153">
        <v>2000</v>
      </c>
      <c r="H290" s="244">
        <f t="shared" si="15"/>
        <v>173399.99999999418</v>
      </c>
      <c r="I290" s="244"/>
      <c r="J290" s="244">
        <f>H290+I290</f>
        <v>173399.99999999418</v>
      </c>
      <c r="K290" s="153"/>
    </row>
    <row r="291" spans="1:11">
      <c r="A291" s="153">
        <v>14</v>
      </c>
      <c r="B291" s="734" t="s">
        <v>1323</v>
      </c>
      <c r="C291" s="238" t="s">
        <v>1646</v>
      </c>
      <c r="D291" s="247">
        <v>110149.9</v>
      </c>
      <c r="E291" s="247">
        <v>110824.6</v>
      </c>
      <c r="F291" s="247">
        <f t="shared" si="14"/>
        <v>674.70000000001164</v>
      </c>
      <c r="G291" s="153">
        <v>2000</v>
      </c>
      <c r="H291" s="244">
        <f t="shared" si="15"/>
        <v>1349400.0000000233</v>
      </c>
      <c r="I291" s="244"/>
      <c r="J291" s="244">
        <f>SUM(H291:I291)</f>
        <v>1349400.0000000233</v>
      </c>
      <c r="K291" s="743"/>
    </row>
    <row r="292" spans="1:11">
      <c r="A292" s="153">
        <v>15</v>
      </c>
      <c r="B292" s="734" t="s">
        <v>1647</v>
      </c>
      <c r="C292" s="238" t="s">
        <v>1648</v>
      </c>
      <c r="D292" s="247">
        <v>26054.9</v>
      </c>
      <c r="E292" s="247">
        <v>26234.799999999999</v>
      </c>
      <c r="F292" s="247">
        <f t="shared" si="14"/>
        <v>179.89999999999782</v>
      </c>
      <c r="G292" s="153">
        <v>2000</v>
      </c>
      <c r="H292" s="244">
        <f t="shared" si="15"/>
        <v>359799.99999999563</v>
      </c>
      <c r="I292" s="244">
        <v>94800</v>
      </c>
      <c r="J292" s="244">
        <f>H292+I292</f>
        <v>454599.99999999563</v>
      </c>
      <c r="K292" s="153"/>
    </row>
    <row r="293" spans="1:11">
      <c r="A293" s="153"/>
      <c r="B293" s="238"/>
      <c r="C293" s="238"/>
      <c r="D293" s="247"/>
      <c r="E293" s="247"/>
      <c r="F293" s="247"/>
      <c r="G293" s="153"/>
      <c r="H293" s="244"/>
      <c r="I293" s="244"/>
      <c r="J293" s="349">
        <f>SUM(J286:J292)</f>
        <v>5741640.0000000196</v>
      </c>
      <c r="K293" s="743">
        <f>(J285-J293)/J285</f>
        <v>1.7664035606214231E-3</v>
      </c>
    </row>
    <row r="294" spans="1:11">
      <c r="A294" s="95">
        <v>4</v>
      </c>
      <c r="B294" s="741" t="s">
        <v>1649</v>
      </c>
      <c r="C294" s="238"/>
      <c r="D294" s="247"/>
      <c r="E294" s="247"/>
      <c r="F294" s="247"/>
      <c r="G294" s="153"/>
      <c r="H294" s="244"/>
      <c r="I294" s="244"/>
      <c r="J294" s="244"/>
      <c r="K294" s="153"/>
    </row>
    <row r="295" spans="1:11">
      <c r="A295" s="153">
        <v>1</v>
      </c>
      <c r="B295" s="734" t="s">
        <v>1631</v>
      </c>
      <c r="C295" s="238" t="s">
        <v>1650</v>
      </c>
      <c r="D295" s="247">
        <v>273455.2</v>
      </c>
      <c r="E295" s="247">
        <v>273455.2</v>
      </c>
      <c r="F295" s="247">
        <f>E295-D295</f>
        <v>0</v>
      </c>
      <c r="G295" s="153">
        <v>1000</v>
      </c>
      <c r="H295" s="244">
        <f>(F295*G295)</f>
        <v>0</v>
      </c>
      <c r="I295" s="244">
        <v>4694000</v>
      </c>
      <c r="J295" s="244">
        <f>H295+I295</f>
        <v>4694000</v>
      </c>
      <c r="K295" s="153"/>
    </row>
    <row r="296" spans="1:11">
      <c r="A296" s="153"/>
      <c r="B296" s="734" t="s">
        <v>1363</v>
      </c>
      <c r="C296" s="238"/>
      <c r="D296" s="793"/>
      <c r="E296" s="793"/>
      <c r="F296" s="247"/>
      <c r="G296" s="153"/>
      <c r="H296" s="244"/>
      <c r="I296" s="244"/>
      <c r="J296" s="244">
        <f>SUM(J295)</f>
        <v>4694000</v>
      </c>
      <c r="K296" s="153"/>
    </row>
    <row r="297" spans="1:11">
      <c r="A297" s="153"/>
      <c r="B297" s="737" t="s">
        <v>1364</v>
      </c>
      <c r="C297" s="238"/>
      <c r="D297" s="247"/>
      <c r="E297" s="247"/>
      <c r="F297" s="247"/>
      <c r="G297" s="153"/>
      <c r="H297" s="244"/>
      <c r="I297" s="244"/>
      <c r="J297" s="244"/>
      <c r="K297" s="153"/>
    </row>
    <row r="298" spans="1:11">
      <c r="A298" s="153">
        <v>16</v>
      </c>
      <c r="B298" s="734" t="s">
        <v>1651</v>
      </c>
      <c r="C298" s="238" t="s">
        <v>1652</v>
      </c>
      <c r="D298" s="247">
        <v>11564.35</v>
      </c>
      <c r="E298" s="247">
        <v>11685.71</v>
      </c>
      <c r="F298" s="247">
        <f>E298-D298</f>
        <v>121.35999999999876</v>
      </c>
      <c r="G298" s="153">
        <v>8000</v>
      </c>
      <c r="H298" s="244">
        <f>(F298*G298)</f>
        <v>970879.9999999901</v>
      </c>
      <c r="I298" s="244"/>
      <c r="J298" s="244">
        <f>H298+I298</f>
        <v>970879.9999999901</v>
      </c>
      <c r="K298" s="743" t="s">
        <v>15</v>
      </c>
    </row>
    <row r="299" spans="1:11">
      <c r="A299" s="153">
        <v>17</v>
      </c>
      <c r="B299" s="734" t="s">
        <v>1653</v>
      </c>
      <c r="C299" s="238" t="s">
        <v>1654</v>
      </c>
      <c r="D299" s="247">
        <v>9078.42</v>
      </c>
      <c r="E299" s="247">
        <v>9142.7900000000009</v>
      </c>
      <c r="F299" s="247">
        <f>E299-D299</f>
        <v>64.3700000000008</v>
      </c>
      <c r="G299" s="153">
        <v>12000</v>
      </c>
      <c r="H299" s="244">
        <f>(F299*G299)</f>
        <v>772440.00000000955</v>
      </c>
      <c r="I299" s="244"/>
      <c r="J299" s="244">
        <f>H299+I299</f>
        <v>772440.00000000955</v>
      </c>
      <c r="K299" s="743"/>
    </row>
    <row r="300" spans="1:11">
      <c r="A300" s="153">
        <v>18</v>
      </c>
      <c r="B300" s="734" t="s">
        <v>1655</v>
      </c>
      <c r="C300" s="238" t="s">
        <v>1656</v>
      </c>
      <c r="D300" s="247">
        <v>1416515</v>
      </c>
      <c r="E300" s="247">
        <v>1452839</v>
      </c>
      <c r="F300" s="247">
        <f>E300-D300</f>
        <v>36324</v>
      </c>
      <c r="G300" s="153">
        <v>60</v>
      </c>
      <c r="H300" s="244">
        <f>(F300*G300)</f>
        <v>2179440</v>
      </c>
      <c r="I300" s="244"/>
      <c r="J300" s="244">
        <f>H300+I300</f>
        <v>2179440</v>
      </c>
      <c r="K300" s="743"/>
    </row>
    <row r="301" spans="1:11">
      <c r="A301" s="153">
        <v>19</v>
      </c>
      <c r="B301" s="734" t="s">
        <v>1657</v>
      </c>
      <c r="C301" s="238" t="s">
        <v>1658</v>
      </c>
      <c r="D301" s="247">
        <v>52179.8</v>
      </c>
      <c r="E301" s="247">
        <v>52555.9</v>
      </c>
      <c r="F301" s="247">
        <f>E301-D301</f>
        <v>376.09999999999854</v>
      </c>
      <c r="G301" s="153">
        <v>2000</v>
      </c>
      <c r="H301" s="244">
        <f>(F301*G301)</f>
        <v>752199.99999999709</v>
      </c>
      <c r="I301" s="244"/>
      <c r="J301" s="244">
        <f>H301+I301</f>
        <v>752199.99999999709</v>
      </c>
      <c r="K301" s="743"/>
    </row>
    <row r="302" spans="1:11">
      <c r="A302" s="153"/>
      <c r="B302" s="238"/>
      <c r="C302" s="238"/>
      <c r="D302" s="247"/>
      <c r="E302" s="247"/>
      <c r="F302" s="247"/>
      <c r="G302" s="153"/>
      <c r="H302" s="244"/>
      <c r="I302" s="244"/>
      <c r="J302" s="349">
        <f>SUM(J298:J301)</f>
        <v>4674959.9999999963</v>
      </c>
      <c r="K302" s="743">
        <f>(J296-J302)/J296</f>
        <v>4.0562420110787653E-3</v>
      </c>
    </row>
    <row r="303" spans="1:11">
      <c r="A303" s="95">
        <v>5</v>
      </c>
      <c r="B303" s="741" t="s">
        <v>1659</v>
      </c>
      <c r="C303" s="238"/>
      <c r="D303" s="247"/>
      <c r="E303" s="247"/>
      <c r="F303" s="247"/>
      <c r="G303" s="153"/>
      <c r="H303" s="244"/>
      <c r="I303" s="244"/>
      <c r="J303" s="244"/>
      <c r="K303" s="153"/>
    </row>
    <row r="304" spans="1:11">
      <c r="A304" s="161">
        <v>1</v>
      </c>
      <c r="B304" s="734" t="s">
        <v>1660</v>
      </c>
      <c r="C304" s="734" t="s">
        <v>1661</v>
      </c>
      <c r="D304" s="795">
        <v>1904.21</v>
      </c>
      <c r="E304" s="795">
        <v>2062.21</v>
      </c>
      <c r="F304" s="795">
        <f>E304-D304</f>
        <v>158</v>
      </c>
      <c r="G304" s="161">
        <v>12000</v>
      </c>
      <c r="H304" s="749">
        <f>(F304*G304)</f>
        <v>1896000</v>
      </c>
      <c r="I304" s="749"/>
      <c r="J304" s="749">
        <f>H304+I304</f>
        <v>1896000</v>
      </c>
      <c r="K304" s="161"/>
    </row>
    <row r="305" spans="1:11">
      <c r="A305" s="153"/>
      <c r="B305" s="734" t="s">
        <v>1363</v>
      </c>
      <c r="C305" s="238"/>
      <c r="D305" s="247"/>
      <c r="E305" s="247"/>
      <c r="F305" s="247"/>
      <c r="G305" s="153"/>
      <c r="H305" s="244"/>
      <c r="I305" s="244"/>
      <c r="J305" s="244">
        <f>SUM(J304:J304)</f>
        <v>1896000</v>
      </c>
      <c r="K305" s="153"/>
    </row>
    <row r="306" spans="1:11">
      <c r="A306" s="153"/>
      <c r="B306" s="733" t="s">
        <v>1364</v>
      </c>
      <c r="C306" s="238"/>
      <c r="D306" s="247"/>
      <c r="E306" s="247"/>
      <c r="F306" s="247"/>
      <c r="G306" s="153"/>
      <c r="H306" s="244"/>
      <c r="I306" s="244"/>
      <c r="J306" s="244"/>
      <c r="K306" s="743"/>
    </row>
    <row r="307" spans="1:11">
      <c r="A307" s="153">
        <v>20</v>
      </c>
      <c r="B307" s="238" t="s">
        <v>1662</v>
      </c>
      <c r="C307" s="238" t="s">
        <v>1663</v>
      </c>
      <c r="D307" s="247">
        <v>2412.4</v>
      </c>
      <c r="E307" s="247">
        <v>2911.9</v>
      </c>
      <c r="F307" s="247">
        <f t="shared" ref="F307:F312" si="16">E307-D307</f>
        <v>499.5</v>
      </c>
      <c r="G307" s="153">
        <v>100</v>
      </c>
      <c r="H307" s="244">
        <f t="shared" ref="H307:H312" si="17">(F307*G307)</f>
        <v>49950</v>
      </c>
      <c r="I307" s="244"/>
      <c r="J307" s="244">
        <f t="shared" ref="J307:J312" si="18">H307+I307</f>
        <v>49950</v>
      </c>
      <c r="K307" s="743"/>
    </row>
    <row r="308" spans="1:11">
      <c r="A308" s="153">
        <v>21</v>
      </c>
      <c r="B308" s="797" t="s">
        <v>1665</v>
      </c>
      <c r="C308" s="797" t="s">
        <v>1666</v>
      </c>
      <c r="D308" s="798">
        <v>31282.799999999999</v>
      </c>
      <c r="E308" s="798">
        <v>31282.799999999999</v>
      </c>
      <c r="F308" s="799">
        <f t="shared" si="16"/>
        <v>0</v>
      </c>
      <c r="G308" s="800">
        <v>2000</v>
      </c>
      <c r="H308" s="800">
        <f t="shared" si="17"/>
        <v>0</v>
      </c>
      <c r="I308" s="800">
        <v>499439.94</v>
      </c>
      <c r="J308" s="800">
        <f t="shared" si="18"/>
        <v>499439.94</v>
      </c>
      <c r="K308" s="743"/>
    </row>
    <row r="309" spans="1:11">
      <c r="A309" s="153">
        <v>22</v>
      </c>
      <c r="B309" s="238" t="s">
        <v>1668</v>
      </c>
      <c r="C309" s="238" t="s">
        <v>1669</v>
      </c>
      <c r="D309" s="247">
        <v>25218.2</v>
      </c>
      <c r="E309" s="247">
        <v>25881.599999999999</v>
      </c>
      <c r="F309" s="247">
        <f t="shared" si="16"/>
        <v>663.39999999999782</v>
      </c>
      <c r="G309" s="153">
        <v>1333.33</v>
      </c>
      <c r="H309" s="244">
        <f t="shared" si="17"/>
        <v>884531.12199999706</v>
      </c>
      <c r="I309" s="244"/>
      <c r="J309" s="244">
        <f t="shared" si="18"/>
        <v>884531.12199999706</v>
      </c>
      <c r="K309" s="743"/>
    </row>
    <row r="310" spans="1:11">
      <c r="A310" s="153">
        <v>23</v>
      </c>
      <c r="B310" s="734" t="s">
        <v>1671</v>
      </c>
      <c r="C310" s="238">
        <v>3300078</v>
      </c>
      <c r="D310" s="795">
        <v>768415</v>
      </c>
      <c r="E310" s="795">
        <v>779509.5</v>
      </c>
      <c r="F310" s="247">
        <f t="shared" si="16"/>
        <v>11094.5</v>
      </c>
      <c r="G310" s="247">
        <v>6.6660000000000004</v>
      </c>
      <c r="H310" s="244">
        <f t="shared" si="17"/>
        <v>73955.937000000005</v>
      </c>
      <c r="I310" s="244">
        <v>12354</v>
      </c>
      <c r="J310" s="244">
        <f t="shared" si="18"/>
        <v>86309.937000000005</v>
      </c>
      <c r="K310" s="743"/>
    </row>
    <row r="311" spans="1:11">
      <c r="A311" s="153">
        <v>24</v>
      </c>
      <c r="B311" s="238" t="s">
        <v>1132</v>
      </c>
      <c r="C311" s="238" t="s">
        <v>1673</v>
      </c>
      <c r="D311" s="795">
        <v>14812.6</v>
      </c>
      <c r="E311" s="795">
        <v>14812.6</v>
      </c>
      <c r="F311" s="247">
        <f t="shared" si="16"/>
        <v>0</v>
      </c>
      <c r="G311" s="153">
        <v>100</v>
      </c>
      <c r="H311" s="244">
        <f t="shared" si="17"/>
        <v>0</v>
      </c>
      <c r="I311" s="244"/>
      <c r="J311" s="244">
        <f t="shared" si="18"/>
        <v>0</v>
      </c>
      <c r="K311" s="247"/>
    </row>
    <row r="312" spans="1:11">
      <c r="A312" s="153"/>
      <c r="B312" s="238" t="s">
        <v>1675</v>
      </c>
      <c r="C312" s="238" t="s">
        <v>1676</v>
      </c>
      <c r="D312" s="795">
        <v>11543.2</v>
      </c>
      <c r="E312" s="795">
        <v>12377.1</v>
      </c>
      <c r="F312" s="247">
        <f t="shared" si="16"/>
        <v>833.89999999999964</v>
      </c>
      <c r="G312" s="153">
        <v>200</v>
      </c>
      <c r="H312" s="244">
        <f t="shared" si="17"/>
        <v>166779.99999999994</v>
      </c>
      <c r="I312" s="244"/>
      <c r="J312" s="244">
        <f t="shared" si="18"/>
        <v>166779.99999999994</v>
      </c>
      <c r="K312" s="247"/>
    </row>
    <row r="313" spans="1:11">
      <c r="A313" s="95"/>
      <c r="B313" s="741"/>
      <c r="C313" s="238"/>
      <c r="D313" s="153"/>
      <c r="E313" s="247"/>
      <c r="F313" s="247"/>
      <c r="G313" s="153"/>
      <c r="H313" s="244"/>
      <c r="I313" s="244"/>
      <c r="J313" s="244">
        <f>SUM(J307:J312)</f>
        <v>1687010.998999997</v>
      </c>
      <c r="K313" s="743">
        <f>(J305-J313)/J305</f>
        <v>0.11022626635021253</v>
      </c>
    </row>
    <row r="314" spans="1:11">
      <c r="A314" s="95">
        <v>6</v>
      </c>
      <c r="B314" s="741" t="s">
        <v>1678</v>
      </c>
      <c r="C314" s="238"/>
      <c r="D314" s="153"/>
      <c r="E314" s="153"/>
      <c r="F314" s="247"/>
      <c r="G314" s="153"/>
      <c r="H314" s="244"/>
      <c r="I314" s="244"/>
      <c r="J314" s="244"/>
      <c r="K314" s="743"/>
    </row>
    <row r="315" spans="1:11">
      <c r="A315" s="153">
        <v>1</v>
      </c>
      <c r="B315" s="734" t="s">
        <v>1679</v>
      </c>
      <c r="C315" s="238" t="s">
        <v>1680</v>
      </c>
      <c r="D315" s="247">
        <v>120769.9</v>
      </c>
      <c r="E315" s="801">
        <v>121279.9</v>
      </c>
      <c r="F315" s="247">
        <f>E315-D315</f>
        <v>510</v>
      </c>
      <c r="G315" s="153">
        <v>2000</v>
      </c>
      <c r="H315" s="244">
        <f>(F315*G315)</f>
        <v>1020000</v>
      </c>
      <c r="I315" s="244"/>
      <c r="J315" s="244">
        <f>H315+I315</f>
        <v>1020000</v>
      </c>
      <c r="K315" s="153"/>
    </row>
    <row r="316" spans="1:11">
      <c r="A316" s="153">
        <v>2</v>
      </c>
      <c r="B316" s="748" t="s">
        <v>1681</v>
      </c>
      <c r="C316" s="238">
        <v>3300071</v>
      </c>
      <c r="D316" s="153">
        <v>939013.3</v>
      </c>
      <c r="E316" s="801">
        <v>939442.5</v>
      </c>
      <c r="F316" s="247">
        <f>E316-D316</f>
        <v>429.19999999995343</v>
      </c>
      <c r="G316" s="153">
        <v>80</v>
      </c>
      <c r="H316" s="244">
        <f>(F316*G316)</f>
        <v>34335.999999996275</v>
      </c>
      <c r="I316" s="244">
        <v>1536000</v>
      </c>
      <c r="J316" s="244">
        <f>H316+I316</f>
        <v>1570335.9999999963</v>
      </c>
      <c r="K316" s="743"/>
    </row>
    <row r="317" spans="1:11">
      <c r="A317" s="153">
        <v>3</v>
      </c>
      <c r="B317" s="734" t="s">
        <v>1682</v>
      </c>
      <c r="C317" s="238" t="s">
        <v>1683</v>
      </c>
      <c r="D317" s="247">
        <v>173045.6</v>
      </c>
      <c r="E317" s="801">
        <v>173572.4</v>
      </c>
      <c r="F317" s="247">
        <f>E317-D317</f>
        <v>526.79999999998836</v>
      </c>
      <c r="G317" s="153">
        <v>2000</v>
      </c>
      <c r="H317" s="244">
        <f>(F317*G317)</f>
        <v>1053599.9999999767</v>
      </c>
      <c r="I317" s="244"/>
      <c r="J317" s="244">
        <f>H317+I317</f>
        <v>1053599.9999999767</v>
      </c>
      <c r="K317" s="743"/>
    </row>
    <row r="318" spans="1:11">
      <c r="A318" s="153"/>
      <c r="B318" s="734" t="s">
        <v>1679</v>
      </c>
      <c r="C318" s="238" t="s">
        <v>1680</v>
      </c>
      <c r="D318" s="247">
        <v>123.9</v>
      </c>
      <c r="E318" s="247">
        <v>123.9</v>
      </c>
      <c r="F318" s="247">
        <f>E318-D318</f>
        <v>0</v>
      </c>
      <c r="G318" s="153">
        <v>2000</v>
      </c>
      <c r="H318" s="244">
        <f>(F318*G318)</f>
        <v>0</v>
      </c>
      <c r="I318" s="244"/>
      <c r="J318" s="244">
        <f>H318+I318</f>
        <v>0</v>
      </c>
      <c r="K318" s="743"/>
    </row>
    <row r="319" spans="1:11">
      <c r="A319" s="153"/>
      <c r="B319" s="734"/>
      <c r="C319" s="238"/>
      <c r="D319" s="247"/>
      <c r="E319" s="247"/>
      <c r="F319" s="247"/>
      <c r="G319" s="153"/>
      <c r="H319" s="244"/>
      <c r="I319" s="244"/>
      <c r="J319" s="244">
        <f>SUM(J315:J317)</f>
        <v>3643935.999999973</v>
      </c>
      <c r="K319" s="153"/>
    </row>
    <row r="320" spans="1:11">
      <c r="A320" s="153">
        <v>1</v>
      </c>
      <c r="B320" s="802" t="s">
        <v>1684</v>
      </c>
      <c r="C320" s="803" t="s">
        <v>1685</v>
      </c>
      <c r="D320" s="804">
        <v>61358.2</v>
      </c>
      <c r="E320" s="804">
        <v>61358.2</v>
      </c>
      <c r="F320" s="804">
        <f>E320-D320</f>
        <v>0</v>
      </c>
      <c r="G320" s="805">
        <v>2000</v>
      </c>
      <c r="H320" s="806">
        <f>(F320*G320)</f>
        <v>0</v>
      </c>
      <c r="I320" s="806"/>
      <c r="J320" s="806">
        <f>H320+I320</f>
        <v>0</v>
      </c>
      <c r="K320" s="743"/>
    </row>
    <row r="321" spans="1:11">
      <c r="A321" s="153"/>
      <c r="B321" s="802" t="s">
        <v>1686</v>
      </c>
      <c r="C321" s="803" t="s">
        <v>1685</v>
      </c>
      <c r="D321" s="804">
        <v>7129.3</v>
      </c>
      <c r="E321" s="804">
        <v>7149.6</v>
      </c>
      <c r="F321" s="804">
        <f>E321-D321</f>
        <v>20.300000000000182</v>
      </c>
      <c r="G321" s="805">
        <v>2000</v>
      </c>
      <c r="H321" s="806">
        <f>(F321*G321)</f>
        <v>40600.000000000364</v>
      </c>
      <c r="I321" s="806"/>
      <c r="J321" s="806">
        <f>H321+I321</f>
        <v>40600.000000000364</v>
      </c>
      <c r="K321" s="743"/>
    </row>
    <row r="322" spans="1:11">
      <c r="A322" s="153"/>
      <c r="B322" s="734" t="s">
        <v>1363</v>
      </c>
      <c r="C322" s="238"/>
      <c r="D322" s="247"/>
      <c r="E322" s="247"/>
      <c r="F322" s="247"/>
      <c r="G322" s="153"/>
      <c r="H322" s="244"/>
      <c r="I322" s="244"/>
      <c r="J322" s="244">
        <f>J316+J317</f>
        <v>2623935.999999973</v>
      </c>
      <c r="K322" s="743"/>
    </row>
    <row r="323" spans="1:11">
      <c r="A323" s="153"/>
      <c r="B323" s="737" t="s">
        <v>1364</v>
      </c>
      <c r="C323" s="238"/>
      <c r="D323" s="247"/>
      <c r="E323" s="247"/>
      <c r="F323" s="247"/>
      <c r="G323" s="153"/>
      <c r="H323" s="244"/>
      <c r="I323" s="244"/>
      <c r="J323" s="244"/>
      <c r="K323" s="743"/>
    </row>
    <row r="324" spans="1:11">
      <c r="A324" s="153">
        <v>25</v>
      </c>
      <c r="B324" s="748" t="s">
        <v>1065</v>
      </c>
      <c r="C324" s="238" t="s">
        <v>1687</v>
      </c>
      <c r="D324" s="247">
        <v>24543.200000000001</v>
      </c>
      <c r="E324" s="247">
        <v>31035.4</v>
      </c>
      <c r="F324" s="247">
        <f>E324-D324</f>
        <v>6492.2000000000007</v>
      </c>
      <c r="G324" s="153">
        <v>200</v>
      </c>
      <c r="H324" s="244">
        <f>(F324*G324)</f>
        <v>1298440.0000000002</v>
      </c>
      <c r="I324" s="244"/>
      <c r="J324" s="244">
        <f>H324+I324</f>
        <v>1298440.0000000002</v>
      </c>
      <c r="K324" s="743"/>
    </row>
    <row r="325" spans="1:11">
      <c r="A325" s="153">
        <v>26</v>
      </c>
      <c r="B325" s="748" t="s">
        <v>1688</v>
      </c>
      <c r="C325" s="238" t="s">
        <v>1689</v>
      </c>
      <c r="D325" s="247">
        <v>42952.4</v>
      </c>
      <c r="E325" s="247">
        <v>43054.8</v>
      </c>
      <c r="F325" s="247">
        <f>E325-D325</f>
        <v>102.40000000000146</v>
      </c>
      <c r="G325" s="153">
        <v>2000</v>
      </c>
      <c r="H325" s="244">
        <f>(F325*G325)</f>
        <v>204800.00000000291</v>
      </c>
      <c r="I325" s="244"/>
      <c r="J325" s="244">
        <f>H325+I325</f>
        <v>204800.00000000291</v>
      </c>
      <c r="K325" s="153"/>
    </row>
    <row r="326" spans="1:11">
      <c r="A326" s="153">
        <v>27</v>
      </c>
      <c r="B326" s="748" t="s">
        <v>1162</v>
      </c>
      <c r="C326" s="238" t="s">
        <v>1690</v>
      </c>
      <c r="D326" s="247">
        <v>2598.8000000000002</v>
      </c>
      <c r="E326" s="247">
        <v>2632.2</v>
      </c>
      <c r="F326" s="247">
        <f>E326-D326</f>
        <v>33.399999999999636</v>
      </c>
      <c r="G326" s="153">
        <v>2000</v>
      </c>
      <c r="H326" s="244">
        <f>(F326*G326)</f>
        <v>66799.999999999272</v>
      </c>
      <c r="I326" s="244"/>
      <c r="J326" s="244">
        <f>H326+I326</f>
        <v>66799.999999999272</v>
      </c>
      <c r="K326" s="743"/>
    </row>
    <row r="327" spans="1:11">
      <c r="A327" s="153">
        <v>28</v>
      </c>
      <c r="B327" s="734" t="s">
        <v>1691</v>
      </c>
      <c r="C327" s="238" t="s">
        <v>1692</v>
      </c>
      <c r="D327" s="247">
        <v>6264.8</v>
      </c>
      <c r="E327" s="247">
        <v>7931.2</v>
      </c>
      <c r="F327" s="247">
        <f>E327-D327</f>
        <v>1666.3999999999996</v>
      </c>
      <c r="G327" s="153">
        <v>200</v>
      </c>
      <c r="H327" s="244">
        <f>(F327*G327)</f>
        <v>333279.99999999994</v>
      </c>
      <c r="I327" s="244"/>
      <c r="J327" s="244">
        <f>H327+I327</f>
        <v>333279.99999999994</v>
      </c>
      <c r="K327" s="807"/>
    </row>
    <row r="328" spans="1:11">
      <c r="A328" s="153">
        <v>29</v>
      </c>
      <c r="B328" s="734" t="s">
        <v>1693</v>
      </c>
      <c r="C328" s="238" t="s">
        <v>1694</v>
      </c>
      <c r="D328" s="247">
        <v>48142.400000000001</v>
      </c>
      <c r="E328" s="247">
        <v>48492</v>
      </c>
      <c r="F328" s="247">
        <f>E328-D328</f>
        <v>349.59999999999854</v>
      </c>
      <c r="G328" s="153">
        <v>2000</v>
      </c>
      <c r="H328" s="244">
        <f>(F328*G328)</f>
        <v>699199.99999999709</v>
      </c>
      <c r="I328" s="244"/>
      <c r="J328" s="244">
        <f>H328+I328</f>
        <v>699199.99999999709</v>
      </c>
      <c r="K328" s="743"/>
    </row>
    <row r="329" spans="1:11">
      <c r="A329" s="153"/>
      <c r="B329" s="238"/>
      <c r="C329" s="238"/>
      <c r="D329" s="247"/>
      <c r="E329" s="247"/>
      <c r="F329" s="247"/>
      <c r="G329" s="153"/>
      <c r="H329" s="244"/>
      <c r="I329" s="244"/>
      <c r="J329" s="244">
        <f>SUM(J324:J328)</f>
        <v>2602519.9999999995</v>
      </c>
      <c r="K329" s="743">
        <f>(J322-J329)/J322</f>
        <v>8.1617844337566452E-3</v>
      </c>
    </row>
    <row r="330" spans="1:11">
      <c r="A330" s="95">
        <v>7</v>
      </c>
      <c r="B330" s="741" t="s">
        <v>1695</v>
      </c>
      <c r="C330" s="238"/>
      <c r="D330" s="247"/>
      <c r="E330" s="247"/>
      <c r="F330" s="247"/>
      <c r="G330" s="153"/>
      <c r="H330" s="244"/>
      <c r="I330" s="244"/>
      <c r="J330" s="244"/>
      <c r="K330" s="743"/>
    </row>
    <row r="331" spans="1:11">
      <c r="A331" s="153">
        <v>1</v>
      </c>
      <c r="B331" s="238" t="s">
        <v>1696</v>
      </c>
      <c r="C331" s="238" t="s">
        <v>1697</v>
      </c>
      <c r="D331" s="247">
        <v>310961.59999999998</v>
      </c>
      <c r="E331" s="247">
        <v>313226.3</v>
      </c>
      <c r="F331" s="247">
        <f>E331-D331</f>
        <v>2264.7000000000116</v>
      </c>
      <c r="G331" s="153">
        <v>2000</v>
      </c>
      <c r="H331" s="244">
        <f>(F331*G331)</f>
        <v>4529400.0000000233</v>
      </c>
      <c r="I331" s="244"/>
      <c r="J331" s="244">
        <f>H331+I331</f>
        <v>4529400.0000000233</v>
      </c>
      <c r="K331" s="743"/>
    </row>
    <row r="332" spans="1:11">
      <c r="A332" s="153"/>
      <c r="B332" s="734" t="s">
        <v>1363</v>
      </c>
      <c r="C332" s="238"/>
      <c r="D332" s="247"/>
      <c r="E332" s="247"/>
      <c r="F332" s="247"/>
      <c r="G332" s="153"/>
      <c r="H332" s="244"/>
      <c r="I332" s="244"/>
      <c r="J332" s="244">
        <f>SUM(J331)</f>
        <v>4529400.0000000233</v>
      </c>
      <c r="K332" s="743"/>
    </row>
    <row r="333" spans="1:11">
      <c r="A333" s="153"/>
      <c r="B333" s="737" t="s">
        <v>1364</v>
      </c>
      <c r="C333" s="238"/>
      <c r="D333" s="247"/>
      <c r="E333" s="247"/>
      <c r="F333" s="247"/>
      <c r="G333" s="153"/>
      <c r="H333" s="244"/>
      <c r="I333" s="244"/>
      <c r="J333" s="244"/>
      <c r="K333" s="743"/>
    </row>
    <row r="334" spans="1:11">
      <c r="A334" s="153">
        <v>30</v>
      </c>
      <c r="B334" s="748" t="s">
        <v>1698</v>
      </c>
      <c r="C334" s="238" t="s">
        <v>1699</v>
      </c>
      <c r="D334" s="153">
        <v>104883.4</v>
      </c>
      <c r="E334" s="153">
        <v>106141.5</v>
      </c>
      <c r="F334" s="153">
        <f>E334-D334</f>
        <v>1258.1000000000058</v>
      </c>
      <c r="G334" s="153">
        <v>2000</v>
      </c>
      <c r="H334" s="244">
        <f>(F334*G334)</f>
        <v>2516200.0000000116</v>
      </c>
      <c r="I334" s="244"/>
      <c r="J334" s="244">
        <f>H334+I334</f>
        <v>2516200.0000000116</v>
      </c>
      <c r="K334" s="808"/>
    </row>
    <row r="335" spans="1:11">
      <c r="A335" s="153">
        <v>31</v>
      </c>
      <c r="B335" s="238" t="s">
        <v>1700</v>
      </c>
      <c r="C335" s="238" t="s">
        <v>1701</v>
      </c>
      <c r="D335" s="247">
        <v>12914.1</v>
      </c>
      <c r="E335" s="247">
        <v>13323.2</v>
      </c>
      <c r="F335" s="247">
        <f>E335-D335</f>
        <v>409.10000000000036</v>
      </c>
      <c r="G335" s="261">
        <v>1333.3330000000001</v>
      </c>
      <c r="H335" s="244">
        <f>(F335*G335)</f>
        <v>545466.53030000057</v>
      </c>
      <c r="I335" s="244"/>
      <c r="J335" s="244">
        <f>H335+I335</f>
        <v>545466.53030000057</v>
      </c>
      <c r="K335" s="743"/>
    </row>
    <row r="336" spans="1:11">
      <c r="A336" s="153">
        <v>32</v>
      </c>
      <c r="B336" s="238" t="s">
        <v>1702</v>
      </c>
      <c r="C336" s="238" t="s">
        <v>1703</v>
      </c>
      <c r="D336" s="247">
        <v>20611.900000000001</v>
      </c>
      <c r="E336" s="247">
        <v>21055.200000000001</v>
      </c>
      <c r="F336" s="247">
        <f>E336-D336</f>
        <v>443.29999999999927</v>
      </c>
      <c r="G336" s="153">
        <v>2000</v>
      </c>
      <c r="H336" s="244">
        <f>(F336*G336)</f>
        <v>886599.9999999986</v>
      </c>
      <c r="I336" s="244"/>
      <c r="J336" s="244">
        <f>H336+I336</f>
        <v>886599.9999999986</v>
      </c>
      <c r="K336" s="743"/>
    </row>
    <row r="337" spans="1:11">
      <c r="A337" s="153">
        <v>33</v>
      </c>
      <c r="B337" s="238" t="s">
        <v>1067</v>
      </c>
      <c r="C337" s="238" t="s">
        <v>1704</v>
      </c>
      <c r="D337" s="247">
        <v>45183.4</v>
      </c>
      <c r="E337" s="247">
        <v>45753.4</v>
      </c>
      <c r="F337" s="247">
        <f>E337-D337</f>
        <v>570</v>
      </c>
      <c r="G337" s="153">
        <v>1000</v>
      </c>
      <c r="H337" s="244">
        <f>(F337*G337)</f>
        <v>570000</v>
      </c>
      <c r="I337" s="244"/>
      <c r="J337" s="244">
        <f>H337+I337</f>
        <v>570000</v>
      </c>
      <c r="K337" s="743"/>
    </row>
    <row r="338" spans="1:11">
      <c r="A338" s="153"/>
      <c r="B338" s="238"/>
      <c r="C338" s="238"/>
      <c r="D338" s="247"/>
      <c r="E338" s="247"/>
      <c r="F338" s="247"/>
      <c r="G338" s="153"/>
      <c r="H338" s="244"/>
      <c r="I338" s="244"/>
      <c r="J338" s="244">
        <f>SUM(J334:J337)</f>
        <v>4518266.5303000109</v>
      </c>
      <c r="K338" s="743">
        <f>(J332-J338)/J332</f>
        <v>2.4580451494706362E-3</v>
      </c>
    </row>
    <row r="339" spans="1:11">
      <c r="A339" s="153">
        <v>8</v>
      </c>
      <c r="B339" s="239" t="s">
        <v>1705</v>
      </c>
      <c r="C339" s="238"/>
      <c r="D339" s="247"/>
      <c r="E339" s="247"/>
      <c r="F339" s="247"/>
      <c r="G339" s="153"/>
      <c r="H339" s="244"/>
      <c r="I339" s="244"/>
      <c r="J339" s="244"/>
      <c r="K339" s="153"/>
    </row>
    <row r="340" spans="1:11">
      <c r="A340" s="153"/>
      <c r="B340" s="734" t="s">
        <v>1706</v>
      </c>
      <c r="C340" s="238"/>
      <c r="D340" s="247"/>
      <c r="E340" s="247"/>
      <c r="F340" s="247"/>
      <c r="G340" s="153"/>
      <c r="H340" s="244"/>
      <c r="I340" s="244"/>
      <c r="J340" s="244"/>
      <c r="K340" s="153"/>
    </row>
    <row r="341" spans="1:11">
      <c r="A341" s="153">
        <v>1</v>
      </c>
      <c r="B341" s="748" t="s">
        <v>1707</v>
      </c>
      <c r="C341" s="748" t="s">
        <v>1708</v>
      </c>
      <c r="D341" s="809">
        <v>398210.9</v>
      </c>
      <c r="E341" s="809">
        <v>398210.9</v>
      </c>
      <c r="F341" s="809">
        <f>E341-D341</f>
        <v>0</v>
      </c>
      <c r="G341" s="747">
        <v>2000</v>
      </c>
      <c r="H341" s="769">
        <f>(F341*G341)</f>
        <v>0</v>
      </c>
      <c r="I341" s="769">
        <v>4003000</v>
      </c>
      <c r="J341" s="769">
        <f>H341+I341</f>
        <v>4003000</v>
      </c>
      <c r="K341" s="727"/>
    </row>
    <row r="342" spans="1:11">
      <c r="A342" s="153">
        <v>2</v>
      </c>
      <c r="B342" s="734" t="s">
        <v>1709</v>
      </c>
      <c r="C342" s="752" t="s">
        <v>1710</v>
      </c>
      <c r="D342" s="247">
        <v>3423.1</v>
      </c>
      <c r="E342" s="247">
        <v>3423.1</v>
      </c>
      <c r="F342" s="247">
        <f>E342-D342</f>
        <v>0</v>
      </c>
      <c r="G342" s="153">
        <v>800</v>
      </c>
      <c r="H342" s="244">
        <f>(F342*G342)</f>
        <v>0</v>
      </c>
      <c r="I342" s="244">
        <v>5420000</v>
      </c>
      <c r="J342" s="244">
        <f>H342+I342</f>
        <v>5420000</v>
      </c>
      <c r="K342" s="727"/>
    </row>
    <row r="343" spans="1:11">
      <c r="A343" s="153">
        <v>1</v>
      </c>
      <c r="B343" s="734" t="s">
        <v>1711</v>
      </c>
      <c r="C343" s="752" t="s">
        <v>1712</v>
      </c>
      <c r="D343" s="247">
        <v>4663</v>
      </c>
      <c r="E343" s="247">
        <v>4663</v>
      </c>
      <c r="F343" s="247">
        <f>E343-D343</f>
        <v>0</v>
      </c>
      <c r="G343" s="153">
        <v>800</v>
      </c>
      <c r="H343" s="244">
        <f>(F343*G343)</f>
        <v>0</v>
      </c>
      <c r="I343" s="769">
        <v>3620320</v>
      </c>
      <c r="J343" s="244">
        <f>H343+I343</f>
        <v>3620320</v>
      </c>
      <c r="K343" s="727"/>
    </row>
    <row r="344" spans="1:11">
      <c r="A344" s="153"/>
      <c r="B344" s="734" t="s">
        <v>1363</v>
      </c>
      <c r="C344" s="238"/>
      <c r="D344" s="247"/>
      <c r="E344" s="247"/>
      <c r="F344" s="247"/>
      <c r="G344" s="153"/>
      <c r="H344" s="244"/>
      <c r="I344" s="244"/>
      <c r="J344" s="244">
        <f>SUM(J341:J343)</f>
        <v>13043320</v>
      </c>
      <c r="K344" s="153"/>
    </row>
    <row r="345" spans="1:11">
      <c r="A345" s="153"/>
      <c r="B345" s="734" t="s">
        <v>1713</v>
      </c>
      <c r="C345" s="238"/>
      <c r="D345" s="247"/>
      <c r="E345" s="247"/>
      <c r="F345" s="247"/>
      <c r="G345" s="153"/>
      <c r="H345" s="244"/>
      <c r="I345" s="244"/>
      <c r="J345" s="20"/>
      <c r="K345" s="244"/>
    </row>
    <row r="346" spans="1:11">
      <c r="A346" s="153">
        <v>3</v>
      </c>
      <c r="B346" s="734" t="s">
        <v>1714</v>
      </c>
      <c r="C346" s="748" t="s">
        <v>1715</v>
      </c>
      <c r="D346" s="809">
        <v>372478.3</v>
      </c>
      <c r="E346" s="809">
        <v>373352.2</v>
      </c>
      <c r="F346" s="809">
        <f>E346-D346</f>
        <v>873.90000000002328</v>
      </c>
      <c r="G346" s="747">
        <v>2000</v>
      </c>
      <c r="H346" s="769">
        <f>(F346*G346)</f>
        <v>1747800.0000000466</v>
      </c>
      <c r="I346" s="244"/>
      <c r="J346" s="244">
        <f>H346+I346</f>
        <v>1747800.0000000466</v>
      </c>
      <c r="K346" s="810"/>
    </row>
    <row r="347" spans="1:11">
      <c r="A347" s="153">
        <v>4</v>
      </c>
      <c r="B347" s="734" t="s">
        <v>1716</v>
      </c>
      <c r="C347" s="748">
        <v>3743638</v>
      </c>
      <c r="D347" s="809">
        <v>370015</v>
      </c>
      <c r="E347" s="809">
        <v>383589.1</v>
      </c>
      <c r="F347" s="809">
        <f>E347-D347</f>
        <v>13574.099999999977</v>
      </c>
      <c r="G347" s="747">
        <v>40</v>
      </c>
      <c r="H347" s="769">
        <f>(F347*G347)</f>
        <v>542963.99999999907</v>
      </c>
      <c r="I347" s="244"/>
      <c r="J347" s="244">
        <f>H347+I347</f>
        <v>542963.99999999907</v>
      </c>
      <c r="K347" s="727" t="s">
        <v>1546</v>
      </c>
    </row>
    <row r="348" spans="1:11">
      <c r="A348" s="153">
        <v>5</v>
      </c>
      <c r="B348" s="734" t="s">
        <v>1717</v>
      </c>
      <c r="C348" s="238" t="s">
        <v>1718</v>
      </c>
      <c r="D348" s="247">
        <v>187852.4</v>
      </c>
      <c r="E348" s="247">
        <v>191662.5</v>
      </c>
      <c r="F348" s="247">
        <f>E348-D348</f>
        <v>3810.1000000000058</v>
      </c>
      <c r="G348" s="153">
        <v>1000</v>
      </c>
      <c r="H348" s="244">
        <f>(F348*G348)</f>
        <v>3810100.0000000056</v>
      </c>
      <c r="I348" s="244"/>
      <c r="J348" s="244">
        <f>H348+I348</f>
        <v>3810100.0000000056</v>
      </c>
      <c r="K348" s="153"/>
    </row>
    <row r="349" spans="1:11">
      <c r="A349" s="153"/>
      <c r="B349" s="734" t="s">
        <v>1719</v>
      </c>
      <c r="C349" s="238"/>
      <c r="D349" s="247"/>
      <c r="E349" s="247"/>
      <c r="F349" s="247"/>
      <c r="G349" s="153"/>
      <c r="H349" s="244"/>
      <c r="I349" s="244"/>
      <c r="J349" s="244">
        <f>SUM(J346:J348)</f>
        <v>6100864.0000000512</v>
      </c>
      <c r="K349" s="247"/>
    </row>
    <row r="350" spans="1:11">
      <c r="A350" s="153"/>
      <c r="B350" s="734" t="s">
        <v>1363</v>
      </c>
      <c r="C350" s="238"/>
      <c r="D350" s="247"/>
      <c r="E350" s="247"/>
      <c r="F350" s="247"/>
      <c r="G350" s="153"/>
      <c r="H350" s="244"/>
      <c r="I350" s="244"/>
      <c r="J350" s="244">
        <f>J344-J349</f>
        <v>6942455.9999999488</v>
      </c>
      <c r="K350" s="247"/>
    </row>
    <row r="351" spans="1:11">
      <c r="A351" s="153"/>
      <c r="B351" s="737" t="s">
        <v>1522</v>
      </c>
      <c r="C351" s="238"/>
      <c r="D351" s="247"/>
      <c r="E351" s="247"/>
      <c r="F351" s="247"/>
      <c r="G351" s="153"/>
      <c r="H351" s="244"/>
      <c r="I351" s="153"/>
      <c r="J351" s="244"/>
      <c r="K351" s="743"/>
    </row>
    <row r="352" spans="1:11">
      <c r="A352" s="153">
        <v>34</v>
      </c>
      <c r="B352" s="748" t="s">
        <v>1310</v>
      </c>
      <c r="C352" s="748" t="s">
        <v>1720</v>
      </c>
      <c r="D352" s="809">
        <v>132848.6</v>
      </c>
      <c r="E352" s="809">
        <v>133481.60000000001</v>
      </c>
      <c r="F352" s="809">
        <f>E352-D352</f>
        <v>633</v>
      </c>
      <c r="G352" s="747">
        <v>2000</v>
      </c>
      <c r="H352" s="769">
        <f t="shared" ref="H352:H359" si="19">(F352*G352)</f>
        <v>1266000</v>
      </c>
      <c r="I352" s="769"/>
      <c r="J352" s="769">
        <f t="shared" ref="J352:J359" si="20">H352+I352</f>
        <v>1266000</v>
      </c>
      <c r="K352" s="727"/>
    </row>
    <row r="353" spans="1:11">
      <c r="A353" s="153">
        <v>35</v>
      </c>
      <c r="B353" s="734" t="s">
        <v>1721</v>
      </c>
      <c r="C353" s="238">
        <v>3300079</v>
      </c>
      <c r="D353" s="247">
        <v>985009.6</v>
      </c>
      <c r="E353" s="247">
        <v>5159.5</v>
      </c>
      <c r="F353" s="247">
        <v>20149.900000000001</v>
      </c>
      <c r="G353" s="153">
        <v>20</v>
      </c>
      <c r="H353" s="244">
        <f t="shared" si="19"/>
        <v>402998</v>
      </c>
      <c r="I353" s="244"/>
      <c r="J353" s="244">
        <f t="shared" si="20"/>
        <v>402998</v>
      </c>
      <c r="K353" s="727"/>
    </row>
    <row r="354" spans="1:11">
      <c r="A354" s="153">
        <v>36</v>
      </c>
      <c r="B354" s="734" t="s">
        <v>1722</v>
      </c>
      <c r="C354" s="238" t="s">
        <v>1723</v>
      </c>
      <c r="D354" s="247">
        <v>10569.73</v>
      </c>
      <c r="E354" s="247">
        <v>10895.14</v>
      </c>
      <c r="F354" s="247">
        <f t="shared" ref="F354:F359" si="21">E354-D354</f>
        <v>325.40999999999985</v>
      </c>
      <c r="G354" s="153">
        <v>6000</v>
      </c>
      <c r="H354" s="244">
        <f t="shared" si="19"/>
        <v>1952459.9999999991</v>
      </c>
      <c r="I354" s="244"/>
      <c r="J354" s="244">
        <f t="shared" si="20"/>
        <v>1952459.9999999991</v>
      </c>
      <c r="K354" s="727"/>
    </row>
    <row r="355" spans="1:11">
      <c r="A355" s="153"/>
      <c r="B355" s="734" t="s">
        <v>1724</v>
      </c>
      <c r="C355" s="238" t="s">
        <v>1725</v>
      </c>
      <c r="D355" s="247">
        <v>359.52</v>
      </c>
      <c r="E355" s="247">
        <v>364.64</v>
      </c>
      <c r="F355" s="247">
        <f t="shared" si="21"/>
        <v>5.1200000000000045</v>
      </c>
      <c r="G355" s="153">
        <v>6000</v>
      </c>
      <c r="H355" s="244">
        <f t="shared" si="19"/>
        <v>30720.000000000029</v>
      </c>
      <c r="I355" s="244">
        <v>981660</v>
      </c>
      <c r="J355" s="244">
        <f t="shared" si="20"/>
        <v>1012380</v>
      </c>
      <c r="K355" s="727"/>
    </row>
    <row r="356" spans="1:11">
      <c r="A356" s="153">
        <v>38</v>
      </c>
      <c r="B356" s="734" t="s">
        <v>1726</v>
      </c>
      <c r="C356" s="238" t="s">
        <v>1727</v>
      </c>
      <c r="D356" s="247">
        <v>70142.8</v>
      </c>
      <c r="E356" s="247">
        <v>70529.3</v>
      </c>
      <c r="F356" s="247">
        <f t="shared" si="21"/>
        <v>386.5</v>
      </c>
      <c r="G356" s="153">
        <v>2000</v>
      </c>
      <c r="H356" s="244">
        <f t="shared" si="19"/>
        <v>773000</v>
      </c>
      <c r="I356" s="244"/>
      <c r="J356" s="244">
        <f t="shared" si="20"/>
        <v>773000</v>
      </c>
      <c r="K356" s="727"/>
    </row>
    <row r="357" spans="1:11">
      <c r="A357" s="153">
        <v>39</v>
      </c>
      <c r="B357" s="734" t="s">
        <v>1728</v>
      </c>
      <c r="C357" s="238" t="s">
        <v>1729</v>
      </c>
      <c r="D357" s="247">
        <v>2983.7</v>
      </c>
      <c r="E357" s="247">
        <v>3033.91</v>
      </c>
      <c r="F357" s="247">
        <f t="shared" si="21"/>
        <v>50.210000000000036</v>
      </c>
      <c r="G357" s="153">
        <v>6000</v>
      </c>
      <c r="H357" s="244">
        <f t="shared" si="19"/>
        <v>301260.00000000023</v>
      </c>
      <c r="I357" s="244">
        <v>700681</v>
      </c>
      <c r="J357" s="244">
        <f t="shared" si="20"/>
        <v>1001941.0000000002</v>
      </c>
      <c r="K357" s="727"/>
    </row>
    <row r="358" spans="1:11">
      <c r="A358" s="153">
        <v>40</v>
      </c>
      <c r="B358" s="734" t="s">
        <v>1730</v>
      </c>
      <c r="C358" s="238" t="s">
        <v>2649</v>
      </c>
      <c r="D358" s="247">
        <v>836.68</v>
      </c>
      <c r="E358" s="247">
        <v>836.68</v>
      </c>
      <c r="F358" s="247">
        <f t="shared" si="21"/>
        <v>0</v>
      </c>
      <c r="G358" s="153">
        <v>4000</v>
      </c>
      <c r="H358" s="244">
        <f t="shared" si="19"/>
        <v>0</v>
      </c>
      <c r="I358" s="244">
        <v>262761</v>
      </c>
      <c r="J358" s="244">
        <f t="shared" si="20"/>
        <v>262761</v>
      </c>
      <c r="K358" s="727"/>
    </row>
    <row r="359" spans="1:11">
      <c r="A359" s="153">
        <v>41</v>
      </c>
      <c r="B359" s="734" t="s">
        <v>1077</v>
      </c>
      <c r="C359" s="238" t="s">
        <v>1732</v>
      </c>
      <c r="D359" s="247">
        <v>666.61</v>
      </c>
      <c r="E359" s="247">
        <v>728.27</v>
      </c>
      <c r="F359" s="247">
        <f t="shared" si="21"/>
        <v>61.659999999999968</v>
      </c>
      <c r="G359" s="153">
        <v>4000</v>
      </c>
      <c r="H359" s="244">
        <f t="shared" si="19"/>
        <v>246639.99999999988</v>
      </c>
      <c r="I359" s="244"/>
      <c r="J359" s="244">
        <f t="shared" si="20"/>
        <v>246639.99999999988</v>
      </c>
      <c r="K359" s="727"/>
    </row>
    <row r="360" spans="1:11">
      <c r="A360" s="153"/>
      <c r="B360" s="238"/>
      <c r="C360" s="238"/>
      <c r="D360" s="247"/>
      <c r="E360" s="247"/>
      <c r="F360" s="247"/>
      <c r="G360" s="153"/>
      <c r="H360" s="244"/>
      <c r="I360" s="244"/>
      <c r="J360" s="244">
        <f>SUM(J352:J359)</f>
        <v>6918179.9999999991</v>
      </c>
      <c r="K360" s="743">
        <f>(J350-J360)/J350</f>
        <v>3.4967452440389812E-3</v>
      </c>
    </row>
    <row r="361" spans="1:11">
      <c r="A361" s="95">
        <v>9</v>
      </c>
      <c r="B361" s="732" t="s">
        <v>1733</v>
      </c>
      <c r="C361" s="238"/>
      <c r="D361" s="247"/>
      <c r="E361" s="247"/>
      <c r="F361" s="247"/>
      <c r="G361" s="153"/>
      <c r="H361" s="244"/>
      <c r="I361" s="244"/>
      <c r="J361" s="244"/>
      <c r="K361" s="153"/>
    </row>
    <row r="362" spans="1:11">
      <c r="A362" s="153">
        <v>1</v>
      </c>
      <c r="B362" s="734" t="s">
        <v>1714</v>
      </c>
      <c r="C362" s="238" t="s">
        <v>1734</v>
      </c>
      <c r="D362" s="247">
        <v>166345.70000000001</v>
      </c>
      <c r="E362" s="247">
        <v>167351.5</v>
      </c>
      <c r="F362" s="247">
        <f>E362-D362</f>
        <v>1005.7999999999884</v>
      </c>
      <c r="G362" s="153">
        <v>2000</v>
      </c>
      <c r="H362" s="244">
        <f>(F362*G362)</f>
        <v>2011599.9999999767</v>
      </c>
      <c r="I362" s="244"/>
      <c r="J362" s="244">
        <f>H362+I362</f>
        <v>2011599.9999999767</v>
      </c>
      <c r="K362" s="727"/>
    </row>
    <row r="363" spans="1:11">
      <c r="A363" s="153"/>
      <c r="B363" s="734" t="s">
        <v>1714</v>
      </c>
      <c r="C363" s="238" t="s">
        <v>1735</v>
      </c>
      <c r="D363" s="247">
        <v>986.92</v>
      </c>
      <c r="E363" s="247">
        <v>1057.92</v>
      </c>
      <c r="F363" s="247">
        <f>E363-D363</f>
        <v>71.000000000000114</v>
      </c>
      <c r="G363" s="153">
        <v>8000</v>
      </c>
      <c r="H363" s="244">
        <f>(F363*G363)</f>
        <v>568000.00000000093</v>
      </c>
      <c r="I363" s="244"/>
      <c r="J363" s="244">
        <f>H363+I363</f>
        <v>568000.00000000093</v>
      </c>
      <c r="K363" s="727"/>
    </row>
    <row r="364" spans="1:11">
      <c r="A364" s="153"/>
      <c r="B364" s="734" t="s">
        <v>1736</v>
      </c>
      <c r="C364" s="238"/>
      <c r="D364" s="247"/>
      <c r="E364" s="247"/>
      <c r="F364" s="247"/>
      <c r="G364" s="153"/>
      <c r="H364" s="244"/>
      <c r="I364" s="244"/>
      <c r="J364" s="244">
        <v>2550000</v>
      </c>
      <c r="K364" s="727"/>
    </row>
    <row r="365" spans="1:11">
      <c r="A365" s="153"/>
      <c r="B365" s="734" t="s">
        <v>1363</v>
      </c>
      <c r="C365" s="238"/>
      <c r="D365" s="247"/>
      <c r="E365" s="247"/>
      <c r="F365" s="247"/>
      <c r="G365" s="153"/>
      <c r="H365" s="244"/>
      <c r="I365" s="244"/>
      <c r="J365" s="244">
        <f>SUM(J362:J364)</f>
        <v>5129599.9999999776</v>
      </c>
      <c r="K365" s="153"/>
    </row>
    <row r="366" spans="1:11">
      <c r="A366" s="153"/>
      <c r="B366" s="737" t="s">
        <v>1522</v>
      </c>
      <c r="C366" s="238"/>
      <c r="D366" s="247"/>
      <c r="E366" s="247"/>
      <c r="F366" s="247"/>
      <c r="G366" s="153"/>
      <c r="H366" s="244"/>
      <c r="I366" s="244"/>
      <c r="J366" s="244"/>
      <c r="K366" s="153"/>
    </row>
    <row r="367" spans="1:11">
      <c r="A367" s="153">
        <v>42</v>
      </c>
      <c r="B367" s="734" t="s">
        <v>1737</v>
      </c>
      <c r="C367" s="238" t="s">
        <v>1738</v>
      </c>
      <c r="D367" s="247">
        <v>5484.33</v>
      </c>
      <c r="E367" s="247">
        <v>5558.75</v>
      </c>
      <c r="F367" s="247">
        <f t="shared" ref="F367:F372" si="22">E367-D367</f>
        <v>74.420000000000073</v>
      </c>
      <c r="G367" s="153">
        <v>20000</v>
      </c>
      <c r="H367" s="244">
        <f t="shared" ref="H367:H372" si="23">(F367*G367)</f>
        <v>1488400.0000000014</v>
      </c>
      <c r="I367" s="244"/>
      <c r="J367" s="244">
        <f t="shared" ref="J367:J372" si="24">H367+I367</f>
        <v>1488400.0000000014</v>
      </c>
      <c r="K367" s="727"/>
    </row>
    <row r="368" spans="1:11">
      <c r="A368" s="153">
        <v>43</v>
      </c>
      <c r="B368" s="734" t="s">
        <v>1739</v>
      </c>
      <c r="C368" s="238" t="s">
        <v>2115</v>
      </c>
      <c r="D368" s="247">
        <v>11644.8</v>
      </c>
      <c r="E368" s="247">
        <v>11698.5</v>
      </c>
      <c r="F368" s="247">
        <f t="shared" si="22"/>
        <v>53.700000000000728</v>
      </c>
      <c r="G368" s="153">
        <v>2000</v>
      </c>
      <c r="H368" s="244">
        <f t="shared" si="23"/>
        <v>107400.00000000146</v>
      </c>
      <c r="I368" s="244"/>
      <c r="J368" s="244">
        <f t="shared" si="24"/>
        <v>107400.00000000146</v>
      </c>
      <c r="K368" s="153"/>
    </row>
    <row r="369" spans="1:11">
      <c r="A369" s="153">
        <v>44</v>
      </c>
      <c r="B369" s="734" t="s">
        <v>1741</v>
      </c>
      <c r="C369" s="238" t="s">
        <v>1742</v>
      </c>
      <c r="D369" s="247">
        <v>66502.7</v>
      </c>
      <c r="E369" s="247">
        <v>66814.5</v>
      </c>
      <c r="F369" s="247">
        <f t="shared" si="22"/>
        <v>311.80000000000291</v>
      </c>
      <c r="G369" s="153">
        <v>2000</v>
      </c>
      <c r="H369" s="244">
        <f t="shared" si="23"/>
        <v>623600.00000000582</v>
      </c>
      <c r="I369" s="244"/>
      <c r="J369" s="244">
        <f t="shared" si="24"/>
        <v>623600.00000000582</v>
      </c>
      <c r="K369" s="153"/>
    </row>
    <row r="370" spans="1:11">
      <c r="A370" s="153">
        <v>45</v>
      </c>
      <c r="B370" s="734" t="s">
        <v>1743</v>
      </c>
      <c r="C370" s="238" t="s">
        <v>1744</v>
      </c>
      <c r="D370" s="247">
        <v>6176.18</v>
      </c>
      <c r="E370" s="247">
        <v>6238.86</v>
      </c>
      <c r="F370" s="247">
        <f t="shared" si="22"/>
        <v>62.679999999999382</v>
      </c>
      <c r="G370" s="153">
        <v>20000</v>
      </c>
      <c r="H370" s="244">
        <f t="shared" si="23"/>
        <v>1253599.9999999877</v>
      </c>
      <c r="I370" s="244"/>
      <c r="J370" s="244">
        <f t="shared" si="24"/>
        <v>1253599.9999999877</v>
      </c>
      <c r="K370" s="153"/>
    </row>
    <row r="371" spans="1:11">
      <c r="A371" s="153"/>
      <c r="B371" s="238" t="s">
        <v>1745</v>
      </c>
      <c r="C371" s="14" t="s">
        <v>1746</v>
      </c>
      <c r="D371" s="153">
        <v>832.54</v>
      </c>
      <c r="E371" s="153">
        <v>896.29</v>
      </c>
      <c r="F371" s="153">
        <f t="shared" si="22"/>
        <v>63.75</v>
      </c>
      <c r="G371" s="153">
        <v>6000</v>
      </c>
      <c r="H371" s="153">
        <f t="shared" si="23"/>
        <v>382500</v>
      </c>
      <c r="I371" s="244">
        <v>34860</v>
      </c>
      <c r="J371" s="244">
        <f t="shared" si="24"/>
        <v>417360</v>
      </c>
      <c r="K371" s="153"/>
    </row>
    <row r="372" spans="1:11">
      <c r="A372" s="153"/>
      <c r="B372" s="725" t="s">
        <v>1747</v>
      </c>
      <c r="C372" s="238" t="s">
        <v>1748</v>
      </c>
      <c r="D372" s="247">
        <v>28191.3</v>
      </c>
      <c r="E372" s="247">
        <v>33983.1</v>
      </c>
      <c r="F372" s="247">
        <f t="shared" si="22"/>
        <v>5791.7999999999993</v>
      </c>
      <c r="G372" s="153">
        <v>200</v>
      </c>
      <c r="H372" s="244">
        <f t="shared" si="23"/>
        <v>1158359.9999999998</v>
      </c>
      <c r="I372" s="20"/>
      <c r="J372" s="244">
        <f t="shared" si="24"/>
        <v>1158359.9999999998</v>
      </c>
      <c r="K372" s="153"/>
    </row>
    <row r="373" spans="1:11">
      <c r="A373" s="153"/>
      <c r="B373" s="734"/>
      <c r="C373" s="811"/>
      <c r="D373" s="202"/>
      <c r="E373" s="247"/>
      <c r="F373" s="247"/>
      <c r="G373" s="244"/>
      <c r="H373" s="244"/>
      <c r="I373" s="244"/>
      <c r="J373" s="244">
        <f>SUM(J367:J372)</f>
        <v>5048719.9999999963</v>
      </c>
      <c r="K373" s="743">
        <f>(J365-J373)/J365</f>
        <v>1.5767311291325196E-2</v>
      </c>
    </row>
    <row r="374" spans="1:11">
      <c r="A374" s="95">
        <v>10</v>
      </c>
      <c r="B374" s="732" t="s">
        <v>1749</v>
      </c>
      <c r="C374" s="238"/>
      <c r="D374" s="247"/>
      <c r="E374" s="247"/>
      <c r="F374" s="247"/>
      <c r="G374" s="153"/>
      <c r="H374" s="244"/>
      <c r="I374" s="244"/>
      <c r="J374" s="244"/>
      <c r="K374" s="153"/>
    </row>
    <row r="375" spans="1:11">
      <c r="A375" s="153">
        <v>1</v>
      </c>
      <c r="B375" s="734" t="s">
        <v>1750</v>
      </c>
      <c r="C375" s="238" t="s">
        <v>1751</v>
      </c>
      <c r="D375" s="247">
        <v>28151.7</v>
      </c>
      <c r="E375" s="247">
        <v>28935.7</v>
      </c>
      <c r="F375" s="247">
        <f>E375-D375</f>
        <v>784</v>
      </c>
      <c r="G375" s="153">
        <v>8000</v>
      </c>
      <c r="H375" s="244">
        <f>(F375*G375)</f>
        <v>6272000</v>
      </c>
      <c r="I375" s="244">
        <v>20000</v>
      </c>
      <c r="J375" s="244">
        <f>H375+I375</f>
        <v>6292000</v>
      </c>
      <c r="K375" s="153"/>
    </row>
    <row r="376" spans="1:11">
      <c r="A376" s="153">
        <v>2</v>
      </c>
      <c r="B376" s="734" t="s">
        <v>1752</v>
      </c>
      <c r="C376" s="238" t="s">
        <v>1734</v>
      </c>
      <c r="D376" s="247"/>
      <c r="E376" s="247"/>
      <c r="F376" s="247">
        <f>F362</f>
        <v>1005.7999999999884</v>
      </c>
      <c r="G376" s="244">
        <f>G362</f>
        <v>2000</v>
      </c>
      <c r="H376" s="244">
        <f>H362</f>
        <v>2011599.9999999767</v>
      </c>
      <c r="I376" s="244"/>
      <c r="J376" s="244">
        <f>J362</f>
        <v>2011599.9999999767</v>
      </c>
      <c r="K376" s="153"/>
    </row>
    <row r="377" spans="1:11">
      <c r="A377" s="153"/>
      <c r="B377" s="734" t="s">
        <v>1714</v>
      </c>
      <c r="C377" s="238" t="s">
        <v>1735</v>
      </c>
      <c r="D377" s="247">
        <v>986.92</v>
      </c>
      <c r="E377" s="247">
        <v>1057.92</v>
      </c>
      <c r="F377" s="247">
        <f>E377-D377</f>
        <v>71.000000000000114</v>
      </c>
      <c r="G377" s="153">
        <v>8000</v>
      </c>
      <c r="H377" s="244">
        <f>(F377*G377)</f>
        <v>568000.00000000093</v>
      </c>
      <c r="I377" s="244"/>
      <c r="J377" s="244">
        <f>H377+I377</f>
        <v>568000.00000000093</v>
      </c>
      <c r="K377" s="153"/>
    </row>
    <row r="378" spans="1:11">
      <c r="A378" s="153"/>
      <c r="B378" s="734" t="s">
        <v>1736</v>
      </c>
      <c r="C378" s="238"/>
      <c r="D378" s="247"/>
      <c r="E378" s="247"/>
      <c r="F378" s="247"/>
      <c r="G378" s="244"/>
      <c r="H378" s="244"/>
      <c r="I378" s="244"/>
      <c r="J378" s="244"/>
      <c r="K378" s="153"/>
    </row>
    <row r="379" spans="1:11">
      <c r="A379" s="153"/>
      <c r="B379" s="238" t="s">
        <v>1363</v>
      </c>
      <c r="C379" s="238"/>
      <c r="D379" s="247"/>
      <c r="E379" s="247"/>
      <c r="F379" s="247"/>
      <c r="G379" s="153"/>
      <c r="H379" s="244"/>
      <c r="I379" s="244"/>
      <c r="J379" s="244">
        <f>J375-J376-J377-J378</f>
        <v>3712400.0000000224</v>
      </c>
      <c r="K379" s="153"/>
    </row>
    <row r="380" spans="1:11">
      <c r="A380" s="153"/>
      <c r="B380" s="737" t="s">
        <v>1522</v>
      </c>
      <c r="C380" s="238"/>
      <c r="D380" s="247"/>
      <c r="E380" s="247"/>
      <c r="F380" s="247"/>
      <c r="G380" s="153"/>
      <c r="H380" s="244"/>
      <c r="I380" s="153"/>
      <c r="J380" s="244"/>
      <c r="K380" s="153"/>
    </row>
    <row r="381" spans="1:11">
      <c r="A381" s="153">
        <v>46</v>
      </c>
      <c r="B381" s="725" t="s">
        <v>1753</v>
      </c>
      <c r="C381" s="238" t="s">
        <v>1754</v>
      </c>
      <c r="D381" s="247">
        <v>60220.800000000003</v>
      </c>
      <c r="E381" s="247">
        <v>60812.5</v>
      </c>
      <c r="F381" s="247">
        <f>E381-D381</f>
        <v>591.69999999999709</v>
      </c>
      <c r="G381" s="153">
        <v>2000</v>
      </c>
      <c r="H381" s="244">
        <f>(F381*G381)</f>
        <v>1183399.9999999942</v>
      </c>
      <c r="I381" s="20"/>
      <c r="J381" s="244">
        <f>H381+I381</f>
        <v>1183399.9999999942</v>
      </c>
      <c r="K381" s="727"/>
    </row>
    <row r="382" spans="1:11">
      <c r="A382" s="153">
        <v>47</v>
      </c>
      <c r="B382" s="725" t="s">
        <v>1755</v>
      </c>
      <c r="C382" s="238" t="s">
        <v>1756</v>
      </c>
      <c r="D382" s="247">
        <v>2061.4499999999998</v>
      </c>
      <c r="E382" s="247">
        <v>2092.0100000000002</v>
      </c>
      <c r="F382" s="247">
        <f>E382-D382</f>
        <v>30.5600000000004</v>
      </c>
      <c r="G382" s="153">
        <v>20000</v>
      </c>
      <c r="H382" s="244">
        <f>(F382*G382)</f>
        <v>611200.00000000803</v>
      </c>
      <c r="I382" s="20"/>
      <c r="J382" s="244">
        <f>H382+I382</f>
        <v>611200.00000000803</v>
      </c>
      <c r="K382" s="727"/>
    </row>
    <row r="383" spans="1:11">
      <c r="A383" s="153"/>
      <c r="B383" s="725" t="s">
        <v>1757</v>
      </c>
      <c r="C383" s="238">
        <v>3190952</v>
      </c>
      <c r="D383" s="247">
        <v>952851.4</v>
      </c>
      <c r="E383" s="801">
        <v>964825</v>
      </c>
      <c r="F383" s="247">
        <f>E383-D383</f>
        <v>11973.599999999977</v>
      </c>
      <c r="G383" s="153">
        <v>60</v>
      </c>
      <c r="H383" s="244">
        <f>(F383*G383)</f>
        <v>718415.9999999986</v>
      </c>
      <c r="I383" s="20"/>
      <c r="J383" s="244">
        <f>H383+I383</f>
        <v>718415.9999999986</v>
      </c>
      <c r="K383" s="727"/>
    </row>
    <row r="384" spans="1:11">
      <c r="A384" s="153"/>
      <c r="B384" s="439"/>
      <c r="C384" s="202"/>
      <c r="D384" s="202"/>
      <c r="E384" s="202"/>
      <c r="F384" s="202"/>
      <c r="G384" s="202"/>
      <c r="H384" s="202"/>
      <c r="I384" s="202"/>
      <c r="J384" s="202"/>
      <c r="K384" s="727"/>
    </row>
    <row r="385" spans="1:11">
      <c r="A385" s="153">
        <v>49</v>
      </c>
      <c r="B385" s="725" t="s">
        <v>1758</v>
      </c>
      <c r="C385" s="238" t="s">
        <v>1759</v>
      </c>
      <c r="D385" s="247">
        <v>12396.4</v>
      </c>
      <c r="E385" s="247">
        <v>16060.3</v>
      </c>
      <c r="F385" s="247">
        <f>E385-D385</f>
        <v>3663.8999999999996</v>
      </c>
      <c r="G385" s="153">
        <v>100</v>
      </c>
      <c r="H385" s="244">
        <f>(F385*G385)</f>
        <v>366389.99999999994</v>
      </c>
      <c r="I385" s="20"/>
      <c r="J385" s="244">
        <f>H385+I385</f>
        <v>366389.99999999994</v>
      </c>
      <c r="K385" s="727"/>
    </row>
    <row r="386" spans="1:11">
      <c r="A386" s="153">
        <v>50</v>
      </c>
      <c r="B386" s="725" t="s">
        <v>1760</v>
      </c>
      <c r="C386" s="238" t="s">
        <v>1761</v>
      </c>
      <c r="D386" s="247">
        <v>30160</v>
      </c>
      <c r="E386" s="247">
        <v>38462.1</v>
      </c>
      <c r="F386" s="247">
        <f>E386-D386</f>
        <v>8302.0999999999985</v>
      </c>
      <c r="G386" s="153">
        <v>100</v>
      </c>
      <c r="H386" s="244">
        <f>(F386*G386)</f>
        <v>830209.99999999988</v>
      </c>
      <c r="I386" s="20"/>
      <c r="J386" s="244">
        <f>H386+I386</f>
        <v>830209.99999999988</v>
      </c>
      <c r="K386" s="153"/>
    </row>
    <row r="387" spans="1:11">
      <c r="A387" s="153"/>
      <c r="B387" s="238"/>
      <c r="C387" s="238"/>
      <c r="D387" s="247"/>
      <c r="E387" s="247"/>
      <c r="F387" s="247"/>
      <c r="G387" s="153"/>
      <c r="H387" s="244"/>
      <c r="I387" s="244"/>
      <c r="J387" s="244">
        <f>SUM(J381:J386)</f>
        <v>3709616.0000000009</v>
      </c>
      <c r="K387" s="743">
        <f>(J379-J387)/J379</f>
        <v>7.4991918974825014E-4</v>
      </c>
    </row>
    <row r="388" spans="1:11">
      <c r="A388" s="95">
        <v>11</v>
      </c>
      <c r="B388" s="741" t="s">
        <v>1762</v>
      </c>
      <c r="C388" s="238"/>
      <c r="D388" s="247"/>
      <c r="E388" s="247"/>
      <c r="F388" s="247"/>
      <c r="G388" s="153"/>
      <c r="H388" s="244"/>
      <c r="I388" s="244"/>
      <c r="J388" s="244"/>
      <c r="K388" s="247"/>
    </row>
    <row r="389" spans="1:11">
      <c r="A389" s="153">
        <v>1</v>
      </c>
      <c r="B389" s="238" t="s">
        <v>1763</v>
      </c>
      <c r="C389" s="238" t="s">
        <v>1764</v>
      </c>
      <c r="D389" s="247">
        <v>153406.6</v>
      </c>
      <c r="E389" s="247">
        <v>155667.6</v>
      </c>
      <c r="F389" s="247">
        <f>E389-D389</f>
        <v>2261</v>
      </c>
      <c r="G389" s="153">
        <v>1000</v>
      </c>
      <c r="H389" s="244">
        <f>(F389*G389)</f>
        <v>2261000</v>
      </c>
      <c r="I389" s="244"/>
      <c r="J389" s="244">
        <f>H389+I389</f>
        <v>2261000</v>
      </c>
      <c r="K389" s="247"/>
    </row>
    <row r="390" spans="1:11">
      <c r="A390" s="153"/>
      <c r="B390" s="238" t="s">
        <v>1765</v>
      </c>
      <c r="C390" s="747" t="s">
        <v>1766</v>
      </c>
      <c r="D390" s="247">
        <v>443043.5</v>
      </c>
      <c r="E390" s="247">
        <v>476738.5</v>
      </c>
      <c r="F390" s="247">
        <f>E390-D390</f>
        <v>33695</v>
      </c>
      <c r="G390" s="153">
        <v>90</v>
      </c>
      <c r="H390" s="244">
        <f>(F390*G390)</f>
        <v>3032550</v>
      </c>
      <c r="I390" s="244"/>
      <c r="J390" s="244">
        <f>H390+I390</f>
        <v>3032550</v>
      </c>
      <c r="K390" s="247"/>
    </row>
    <row r="391" spans="1:11">
      <c r="A391" s="153"/>
      <c r="B391" s="238" t="s">
        <v>1363</v>
      </c>
      <c r="C391" s="238"/>
      <c r="D391" s="247"/>
      <c r="E391" s="247"/>
      <c r="F391" s="247"/>
      <c r="G391" s="153"/>
      <c r="H391" s="244"/>
      <c r="I391" s="244"/>
      <c r="J391" s="244">
        <f>SUM(J389:J390)</f>
        <v>5293550</v>
      </c>
      <c r="K391" s="247"/>
    </row>
    <row r="392" spans="1:11">
      <c r="A392" s="153"/>
      <c r="B392" s="733" t="s">
        <v>1767</v>
      </c>
      <c r="C392" s="238"/>
      <c r="D392" s="247"/>
      <c r="E392" s="247"/>
      <c r="F392" s="247"/>
      <c r="G392" s="153"/>
      <c r="H392" s="244"/>
      <c r="I392" s="244"/>
      <c r="J392" s="244"/>
      <c r="K392" s="247"/>
    </row>
    <row r="393" spans="1:11">
      <c r="A393" s="153">
        <v>51</v>
      </c>
      <c r="B393" s="748" t="s">
        <v>167</v>
      </c>
      <c r="C393" s="238" t="s">
        <v>1768</v>
      </c>
      <c r="D393" s="247">
        <v>56735.68</v>
      </c>
      <c r="E393" s="247">
        <v>57437.11</v>
      </c>
      <c r="F393" s="247">
        <f>E393-D393</f>
        <v>701.43000000000029</v>
      </c>
      <c r="G393" s="153">
        <v>3000</v>
      </c>
      <c r="H393" s="244">
        <f>(F393*G393)</f>
        <v>2104290.0000000009</v>
      </c>
      <c r="I393" s="244"/>
      <c r="J393" s="244">
        <f>H393+I393</f>
        <v>2104290.0000000009</v>
      </c>
      <c r="K393" s="247"/>
    </row>
    <row r="394" spans="1:11">
      <c r="A394" s="153">
        <v>52</v>
      </c>
      <c r="B394" s="748" t="s">
        <v>1769</v>
      </c>
      <c r="C394" s="238" t="s">
        <v>1770</v>
      </c>
      <c r="D394" s="247">
        <v>43560.89</v>
      </c>
      <c r="E394" s="247">
        <v>44158.07</v>
      </c>
      <c r="F394" s="247">
        <f>E394-D394</f>
        <v>597.18000000000029</v>
      </c>
      <c r="G394" s="153">
        <v>1500</v>
      </c>
      <c r="H394" s="244">
        <f>(F394*G394)</f>
        <v>895770.00000000047</v>
      </c>
      <c r="I394" s="244"/>
      <c r="J394" s="244">
        <f>H394+I394</f>
        <v>895770.00000000047</v>
      </c>
      <c r="K394" s="247"/>
    </row>
    <row r="395" spans="1:11">
      <c r="A395" s="153">
        <v>53</v>
      </c>
      <c r="B395" s="238" t="s">
        <v>1771</v>
      </c>
      <c r="C395" s="238" t="s">
        <v>1772</v>
      </c>
      <c r="D395" s="247">
        <v>43861.7</v>
      </c>
      <c r="E395" s="247">
        <v>44528.4</v>
      </c>
      <c r="F395" s="247">
        <f>E395-D395</f>
        <v>666.70000000000437</v>
      </c>
      <c r="G395" s="153">
        <v>2000</v>
      </c>
      <c r="H395" s="244">
        <f>(F395*G395)</f>
        <v>1333400.0000000088</v>
      </c>
      <c r="I395" s="244"/>
      <c r="J395" s="244">
        <f>H395+I395</f>
        <v>1333400.0000000088</v>
      </c>
      <c r="K395" s="247"/>
    </row>
    <row r="396" spans="1:11">
      <c r="A396" s="153">
        <v>54</v>
      </c>
      <c r="B396" s="238" t="s">
        <v>1773</v>
      </c>
      <c r="C396" s="238" t="s">
        <v>1774</v>
      </c>
      <c r="D396" s="247">
        <v>59475.6</v>
      </c>
      <c r="E396" s="247">
        <v>60374.400000000001</v>
      </c>
      <c r="F396" s="247">
        <f>E396-D396</f>
        <v>898.80000000000291</v>
      </c>
      <c r="G396" s="153">
        <v>1000</v>
      </c>
      <c r="H396" s="244">
        <f>(F396*G396)</f>
        <v>898800.00000000291</v>
      </c>
      <c r="I396" s="244"/>
      <c r="J396" s="244">
        <f>H396+I396</f>
        <v>898800.00000000291</v>
      </c>
      <c r="K396" s="247"/>
    </row>
    <row r="397" spans="1:11">
      <c r="A397" s="153"/>
      <c r="B397" s="238"/>
      <c r="C397" s="238"/>
      <c r="D397" s="247"/>
      <c r="E397" s="247"/>
      <c r="F397" s="247"/>
      <c r="G397" s="153"/>
      <c r="H397" s="244"/>
      <c r="I397" s="244"/>
      <c r="J397" s="244">
        <f>SUM(J393:J396)</f>
        <v>5232260.000000013</v>
      </c>
      <c r="K397" s="743">
        <f>(J391-J397)/J391</f>
        <v>1.1578241444774671E-2</v>
      </c>
    </row>
    <row r="398" spans="1:11">
      <c r="A398" s="95">
        <v>12</v>
      </c>
      <c r="B398" s="741" t="s">
        <v>1775</v>
      </c>
      <c r="C398" s="238"/>
      <c r="D398" s="247"/>
      <c r="E398" s="247"/>
      <c r="F398" s="247"/>
      <c r="G398" s="153"/>
      <c r="H398" s="244"/>
      <c r="I398" s="244"/>
      <c r="J398" s="244"/>
      <c r="K398" s="247"/>
    </row>
    <row r="399" spans="1:11">
      <c r="A399" s="153">
        <v>1</v>
      </c>
      <c r="B399" s="238" t="s">
        <v>1776</v>
      </c>
      <c r="C399" s="238" t="s">
        <v>1777</v>
      </c>
      <c r="D399" s="247">
        <v>39096.5</v>
      </c>
      <c r="E399" s="247">
        <v>39589.199999999997</v>
      </c>
      <c r="F399" s="247">
        <f>E399-D399</f>
        <v>492.69999999999709</v>
      </c>
      <c r="G399" s="153">
        <v>8000</v>
      </c>
      <c r="H399" s="244">
        <f>(F399*G399)</f>
        <v>3941599.9999999767</v>
      </c>
      <c r="I399" s="244"/>
      <c r="J399" s="244">
        <f>H399+I399</f>
        <v>3941599.9999999767</v>
      </c>
      <c r="K399" s="247"/>
    </row>
    <row r="400" spans="1:11">
      <c r="A400" s="153">
        <v>2</v>
      </c>
      <c r="B400" s="238" t="s">
        <v>1776</v>
      </c>
      <c r="C400" s="238" t="s">
        <v>1778</v>
      </c>
      <c r="D400" s="247">
        <v>51671.199999999997</v>
      </c>
      <c r="E400" s="247">
        <v>52573.9</v>
      </c>
      <c r="F400" s="247">
        <f>E400-D400</f>
        <v>902.70000000000437</v>
      </c>
      <c r="G400" s="153">
        <v>2000</v>
      </c>
      <c r="H400" s="244">
        <f>(F400*G400)</f>
        <v>1805400.0000000088</v>
      </c>
      <c r="I400" s="244"/>
      <c r="J400" s="244">
        <f>H400+I400</f>
        <v>1805400.0000000088</v>
      </c>
      <c r="K400" s="244"/>
    </row>
    <row r="401" spans="1:11">
      <c r="A401" s="153"/>
      <c r="B401" s="238" t="s">
        <v>1363</v>
      </c>
      <c r="C401" s="238"/>
      <c r="D401" s="153"/>
      <c r="E401" s="153"/>
      <c r="F401" s="153"/>
      <c r="G401" s="153"/>
      <c r="H401" s="153"/>
      <c r="I401" s="244"/>
      <c r="J401" s="244">
        <f>J399</f>
        <v>3941599.9999999767</v>
      </c>
      <c r="K401" s="153"/>
    </row>
    <row r="402" spans="1:11">
      <c r="A402" s="153"/>
      <c r="B402" s="733" t="s">
        <v>1767</v>
      </c>
      <c r="C402" s="238"/>
      <c r="D402" s="247"/>
      <c r="E402" s="247"/>
      <c r="F402" s="247"/>
      <c r="G402" s="153"/>
      <c r="H402" s="244"/>
      <c r="I402" s="244"/>
      <c r="J402" s="244"/>
      <c r="K402" s="247"/>
    </row>
    <row r="403" spans="1:11">
      <c r="A403" s="153">
        <v>55</v>
      </c>
      <c r="B403" s="238" t="s">
        <v>1779</v>
      </c>
      <c r="C403" s="238" t="s">
        <v>1780</v>
      </c>
      <c r="D403" s="247">
        <v>4128.46</v>
      </c>
      <c r="E403" s="247">
        <v>4184.7700000000004</v>
      </c>
      <c r="F403" s="247">
        <f>E403-D403</f>
        <v>56.3100000000004</v>
      </c>
      <c r="G403" s="153">
        <v>20000</v>
      </c>
      <c r="H403" s="244">
        <f>(F403*G403)</f>
        <v>1126200.0000000079</v>
      </c>
      <c r="I403" s="244"/>
      <c r="J403" s="244">
        <f>H403+I403</f>
        <v>1126200.0000000079</v>
      </c>
      <c r="K403" s="812"/>
    </row>
    <row r="404" spans="1:11">
      <c r="A404" s="153">
        <v>56</v>
      </c>
      <c r="B404" s="238" t="s">
        <v>1781</v>
      </c>
      <c r="C404" s="238" t="s">
        <v>1782</v>
      </c>
      <c r="D404" s="247">
        <v>98127</v>
      </c>
      <c r="E404" s="247">
        <v>100010.1</v>
      </c>
      <c r="F404" s="247">
        <f>E404-D404</f>
        <v>1883.1000000000058</v>
      </c>
      <c r="G404" s="153">
        <v>666.66</v>
      </c>
      <c r="H404" s="244">
        <f>(F404*G404)</f>
        <v>1255387.4460000037</v>
      </c>
      <c r="I404" s="813"/>
      <c r="J404" s="244">
        <f>H404+I404</f>
        <v>1255387.4460000037</v>
      </c>
      <c r="K404" s="247"/>
    </row>
    <row r="405" spans="1:11">
      <c r="A405" s="153">
        <v>57</v>
      </c>
      <c r="B405" s="238" t="s">
        <v>1783</v>
      </c>
      <c r="C405" s="238" t="s">
        <v>1784</v>
      </c>
      <c r="D405" s="247">
        <v>10510.7</v>
      </c>
      <c r="E405" s="247">
        <v>10846.3</v>
      </c>
      <c r="F405" s="247">
        <f>E405-D405</f>
        <v>335.59999999999854</v>
      </c>
      <c r="G405" s="247">
        <v>2000</v>
      </c>
      <c r="H405" s="244">
        <f>(F405*G405)</f>
        <v>671199.99999999709</v>
      </c>
      <c r="I405" s="244"/>
      <c r="J405" s="244">
        <f>H405+I405</f>
        <v>671199.99999999709</v>
      </c>
      <c r="K405" s="247"/>
    </row>
    <row r="406" spans="1:11">
      <c r="A406" s="153">
        <v>58</v>
      </c>
      <c r="B406" s="238" t="s">
        <v>1785</v>
      </c>
      <c r="C406" s="814" t="s">
        <v>1786</v>
      </c>
      <c r="D406" s="247">
        <v>2636.11</v>
      </c>
      <c r="E406" s="247">
        <v>2652.81</v>
      </c>
      <c r="F406" s="247">
        <f>E406-D406</f>
        <v>16.699999999999818</v>
      </c>
      <c r="G406" s="247">
        <v>20000</v>
      </c>
      <c r="H406" s="244">
        <f>(F406*G406)</f>
        <v>333999.99999999639</v>
      </c>
      <c r="I406" s="244">
        <v>539960</v>
      </c>
      <c r="J406" s="244">
        <f>H406+I406</f>
        <v>873959.99999999639</v>
      </c>
      <c r="K406" s="247"/>
    </row>
    <row r="407" spans="1:11">
      <c r="A407" s="153"/>
      <c r="B407" s="755"/>
      <c r="C407" s="238"/>
      <c r="D407" s="247"/>
      <c r="E407" s="247"/>
      <c r="F407" s="247"/>
      <c r="G407" s="153"/>
      <c r="H407" s="244"/>
      <c r="I407" s="244"/>
      <c r="J407" s="244">
        <f>SUM(J403:J406)</f>
        <v>3926747.4460000051</v>
      </c>
      <c r="K407" s="743">
        <f>(J401-J407)/J401</f>
        <v>3.7681535417017674E-3</v>
      </c>
    </row>
    <row r="408" spans="1:11">
      <c r="A408" s="95">
        <v>13</v>
      </c>
      <c r="B408" s="741" t="s">
        <v>1787</v>
      </c>
      <c r="C408" s="238"/>
      <c r="D408" s="247"/>
      <c r="E408" s="247"/>
      <c r="F408" s="247"/>
      <c r="G408" s="153"/>
      <c r="H408" s="244"/>
      <c r="I408" s="244"/>
      <c r="J408" s="244"/>
      <c r="K408" s="247"/>
    </row>
    <row r="409" spans="1:11">
      <c r="A409" s="153">
        <v>1</v>
      </c>
      <c r="B409" s="238" t="s">
        <v>242</v>
      </c>
      <c r="C409" s="238" t="s">
        <v>1788</v>
      </c>
      <c r="D409" s="247">
        <v>5078.67</v>
      </c>
      <c r="E409" s="247">
        <v>5088.38</v>
      </c>
      <c r="F409" s="247">
        <f>E409-D409</f>
        <v>9.7100000000000364</v>
      </c>
      <c r="G409" s="153">
        <v>80000</v>
      </c>
      <c r="H409" s="244">
        <f>(F409*G409)</f>
        <v>776800.00000000291</v>
      </c>
      <c r="I409" s="244"/>
      <c r="J409" s="244">
        <f t="shared" ref="J409:J414" si="25">H409+I409</f>
        <v>776800.00000000291</v>
      </c>
      <c r="K409" s="247"/>
    </row>
    <row r="410" spans="1:11">
      <c r="A410" s="153">
        <v>2</v>
      </c>
      <c r="B410" s="734" t="s">
        <v>1789</v>
      </c>
      <c r="C410" s="748" t="s">
        <v>321</v>
      </c>
      <c r="D410" s="809">
        <v>433820</v>
      </c>
      <c r="E410" s="809">
        <v>433910</v>
      </c>
      <c r="F410" s="809">
        <f>E410-D410</f>
        <v>90</v>
      </c>
      <c r="G410" s="747">
        <v>40</v>
      </c>
      <c r="H410" s="769">
        <f>F410*G410</f>
        <v>3600</v>
      </c>
      <c r="I410" s="769"/>
      <c r="J410" s="769">
        <f t="shared" si="25"/>
        <v>3600</v>
      </c>
      <c r="K410" s="809"/>
    </row>
    <row r="411" spans="1:11">
      <c r="A411" s="153"/>
      <c r="B411" s="734" t="s">
        <v>1790</v>
      </c>
      <c r="C411" s="748" t="s">
        <v>321</v>
      </c>
      <c r="D411" s="809">
        <v>87900</v>
      </c>
      <c r="E411" s="809">
        <v>88860</v>
      </c>
      <c r="F411" s="809">
        <f>E411-D411</f>
        <v>960</v>
      </c>
      <c r="G411" s="747">
        <v>40</v>
      </c>
      <c r="H411" s="769">
        <f>F411*G411</f>
        <v>38400</v>
      </c>
      <c r="I411" s="769"/>
      <c r="J411" s="769">
        <f t="shared" si="25"/>
        <v>38400</v>
      </c>
      <c r="K411" s="809"/>
    </row>
    <row r="412" spans="1:11">
      <c r="A412" s="153"/>
      <c r="B412" s="238" t="s">
        <v>1791</v>
      </c>
      <c r="C412" s="14" t="s">
        <v>1792</v>
      </c>
      <c r="D412" s="247">
        <v>306491</v>
      </c>
      <c r="E412" s="247">
        <v>307021</v>
      </c>
      <c r="F412" s="247">
        <f>E412-D412</f>
        <v>530</v>
      </c>
      <c r="G412" s="153">
        <v>80</v>
      </c>
      <c r="H412" s="244">
        <f>(F412*G412)</f>
        <v>42400</v>
      </c>
      <c r="I412" s="244"/>
      <c r="J412" s="244">
        <f t="shared" si="25"/>
        <v>42400</v>
      </c>
      <c r="K412" s="809"/>
    </row>
    <row r="413" spans="1:11">
      <c r="A413" s="153"/>
      <c r="B413" s="238" t="s">
        <v>1791</v>
      </c>
      <c r="C413" s="14" t="s">
        <v>1792</v>
      </c>
      <c r="D413" s="247">
        <v>300714</v>
      </c>
      <c r="E413" s="247">
        <v>300714</v>
      </c>
      <c r="F413" s="247">
        <f>E413-D413</f>
        <v>0</v>
      </c>
      <c r="G413" s="153">
        <v>80</v>
      </c>
      <c r="H413" s="244">
        <f>(F413*G413)</f>
        <v>0</v>
      </c>
      <c r="I413" s="244"/>
      <c r="J413" s="244">
        <f t="shared" si="25"/>
        <v>0</v>
      </c>
      <c r="K413" s="809"/>
    </row>
    <row r="414" spans="1:11">
      <c r="A414" s="153"/>
      <c r="B414" s="734" t="s">
        <v>1736</v>
      </c>
      <c r="C414" s="748"/>
      <c r="D414" s="809"/>
      <c r="E414" s="809"/>
      <c r="F414" s="809"/>
      <c r="G414" s="747"/>
      <c r="H414" s="769"/>
      <c r="I414" s="769">
        <v>660000</v>
      </c>
      <c r="J414" s="244">
        <f t="shared" si="25"/>
        <v>660000</v>
      </c>
      <c r="K414" s="809"/>
    </row>
    <row r="415" spans="1:11">
      <c r="A415" s="153"/>
      <c r="B415" s="734" t="s">
        <v>1363</v>
      </c>
      <c r="C415" s="238"/>
      <c r="D415" s="153"/>
      <c r="E415" s="153"/>
      <c r="F415" s="153"/>
      <c r="G415" s="247"/>
      <c r="H415" s="153"/>
      <c r="I415" s="244"/>
      <c r="J415" s="244">
        <f>J409+J410+J411+J412+J414</f>
        <v>1521200.0000000028</v>
      </c>
      <c r="K415" s="153"/>
    </row>
    <row r="416" spans="1:11">
      <c r="A416" s="153"/>
      <c r="B416" s="734" t="s">
        <v>1793</v>
      </c>
      <c r="C416" s="238" t="s">
        <v>1794</v>
      </c>
      <c r="D416" s="247">
        <v>1774.48</v>
      </c>
      <c r="E416" s="247">
        <v>1774.48</v>
      </c>
      <c r="F416" s="247">
        <f>E416-D416</f>
        <v>0</v>
      </c>
      <c r="G416" s="153">
        <v>2000</v>
      </c>
      <c r="H416" s="244">
        <f>F416*G416</f>
        <v>0</v>
      </c>
      <c r="I416" s="244"/>
      <c r="J416" s="244" t="s">
        <v>1546</v>
      </c>
      <c r="K416" s="247"/>
    </row>
    <row r="417" spans="1:11">
      <c r="A417" s="153" t="s">
        <v>1795</v>
      </c>
      <c r="B417" s="748" t="s">
        <v>1796</v>
      </c>
      <c r="C417" s="748" t="s">
        <v>337</v>
      </c>
      <c r="D417" s="809">
        <v>1478.77</v>
      </c>
      <c r="E417" s="809">
        <v>1481.47</v>
      </c>
      <c r="F417" s="809">
        <f>E417-D417</f>
        <v>2.7000000000000455</v>
      </c>
      <c r="G417" s="747">
        <v>13333</v>
      </c>
      <c r="H417" s="769">
        <f>(F417*G417)</f>
        <v>35999.10000000061</v>
      </c>
      <c r="I417" s="769"/>
      <c r="J417" s="769">
        <f>H417+I417</f>
        <v>35999.10000000061</v>
      </c>
      <c r="K417" s="809" t="s">
        <v>5</v>
      </c>
    </row>
    <row r="418" spans="1:11">
      <c r="A418" s="153">
        <v>59</v>
      </c>
      <c r="B418" s="734" t="s">
        <v>1799</v>
      </c>
      <c r="C418" s="238" t="s">
        <v>1800</v>
      </c>
      <c r="D418" s="247">
        <v>16887.689999999999</v>
      </c>
      <c r="E418" s="247">
        <v>17037.25</v>
      </c>
      <c r="F418" s="247">
        <f>E418-D418</f>
        <v>149.56000000000131</v>
      </c>
      <c r="G418" s="153">
        <v>6666</v>
      </c>
      <c r="H418" s="244">
        <f>(F418*G418)</f>
        <v>996966.96000000869</v>
      </c>
      <c r="I418" s="244"/>
      <c r="J418" s="244">
        <f>H418+I418</f>
        <v>996966.96000000869</v>
      </c>
      <c r="K418" s="247"/>
    </row>
    <row r="419" spans="1:11">
      <c r="A419" s="153">
        <v>60</v>
      </c>
      <c r="B419" s="726" t="s">
        <v>1801</v>
      </c>
      <c r="C419" s="238" t="s">
        <v>1802</v>
      </c>
      <c r="D419" s="14">
        <v>140073.5</v>
      </c>
      <c r="E419" s="14">
        <v>148174</v>
      </c>
      <c r="F419" s="247">
        <f>E419-D419</f>
        <v>8100.5</v>
      </c>
      <c r="G419" s="153">
        <v>60</v>
      </c>
      <c r="H419" s="153">
        <f>F419*G419</f>
        <v>486030</v>
      </c>
      <c r="I419" s="242"/>
      <c r="J419" s="244">
        <f>H419+I419</f>
        <v>486030</v>
      </c>
      <c r="K419" s="247"/>
    </row>
    <row r="420" spans="1:11">
      <c r="A420" s="153"/>
      <c r="B420" s="734"/>
      <c r="C420" s="238"/>
      <c r="D420" s="247"/>
      <c r="E420" s="247"/>
      <c r="F420" s="247"/>
      <c r="G420" s="153"/>
      <c r="H420" s="244"/>
      <c r="I420" s="244"/>
      <c r="J420" s="244">
        <f>SUM(J417:J419)</f>
        <v>1518996.0600000094</v>
      </c>
      <c r="K420" s="743">
        <f>(J415-J420)/J415</f>
        <v>1.4488167236349071E-3</v>
      </c>
    </row>
    <row r="421" spans="1:11">
      <c r="A421" s="95">
        <v>14</v>
      </c>
      <c r="B421" s="732" t="s">
        <v>1803</v>
      </c>
      <c r="C421" s="238"/>
      <c r="D421" s="247" t="s">
        <v>1804</v>
      </c>
      <c r="E421" s="247" t="s">
        <v>1804</v>
      </c>
      <c r="F421" s="247"/>
      <c r="G421" s="153"/>
      <c r="H421" s="244"/>
      <c r="I421" s="244"/>
      <c r="J421" s="244"/>
      <c r="K421" s="247"/>
    </row>
    <row r="422" spans="1:11">
      <c r="A422" s="153">
        <v>1</v>
      </c>
      <c r="B422" s="734" t="s">
        <v>1631</v>
      </c>
      <c r="C422" s="238" t="s">
        <v>1805</v>
      </c>
      <c r="D422" s="247">
        <v>179847.2</v>
      </c>
      <c r="E422" s="247">
        <v>182508.9</v>
      </c>
      <c r="F422" s="247">
        <f>E422-D422</f>
        <v>2661.6999999999825</v>
      </c>
      <c r="G422" s="153">
        <v>1000</v>
      </c>
      <c r="H422" s="244">
        <f>(F422*G422)</f>
        <v>2661699.9999999823</v>
      </c>
      <c r="I422" s="244"/>
      <c r="J422" s="244">
        <f>H422+I422</f>
        <v>2661699.9999999823</v>
      </c>
      <c r="K422" s="247"/>
    </row>
    <row r="423" spans="1:11">
      <c r="A423" s="153"/>
      <c r="B423" s="734" t="s">
        <v>1363</v>
      </c>
      <c r="C423" s="238"/>
      <c r="D423" s="247"/>
      <c r="E423" s="247"/>
      <c r="F423" s="247"/>
      <c r="G423" s="153"/>
      <c r="H423" s="244"/>
      <c r="I423" s="244"/>
      <c r="J423" s="244">
        <f>SUM(J422)</f>
        <v>2661699.9999999823</v>
      </c>
      <c r="K423" s="247"/>
    </row>
    <row r="424" spans="1:11">
      <c r="A424" s="153"/>
      <c r="B424" s="733" t="s">
        <v>1364</v>
      </c>
      <c r="C424" s="238"/>
      <c r="D424" s="247"/>
      <c r="E424" s="247"/>
      <c r="F424" s="247"/>
      <c r="G424" s="153"/>
      <c r="H424" s="244"/>
      <c r="I424" s="244"/>
      <c r="J424" s="244"/>
      <c r="K424" s="247"/>
    </row>
    <row r="425" spans="1:11">
      <c r="A425" s="153">
        <v>61</v>
      </c>
      <c r="B425" s="734" t="s">
        <v>1806</v>
      </c>
      <c r="C425" s="238" t="s">
        <v>1807</v>
      </c>
      <c r="D425" s="247">
        <v>20343.7</v>
      </c>
      <c r="E425" s="247">
        <v>20603.7</v>
      </c>
      <c r="F425" s="247">
        <f>E425-D425</f>
        <v>260</v>
      </c>
      <c r="G425" s="153">
        <v>2000</v>
      </c>
      <c r="H425" s="244">
        <f>(F425*G425)</f>
        <v>520000</v>
      </c>
      <c r="I425" s="244"/>
      <c r="J425" s="244">
        <f>H425+I425</f>
        <v>520000</v>
      </c>
      <c r="K425" s="247"/>
    </row>
    <row r="426" spans="1:11">
      <c r="A426" s="153">
        <v>62</v>
      </c>
      <c r="B426" s="734" t="s">
        <v>1809</v>
      </c>
      <c r="C426" s="238" t="s">
        <v>1810</v>
      </c>
      <c r="D426" s="247">
        <v>35162.199999999997</v>
      </c>
      <c r="E426" s="247">
        <v>36001.5</v>
      </c>
      <c r="F426" s="247">
        <f>E426-D426</f>
        <v>839.30000000000291</v>
      </c>
      <c r="G426" s="247">
        <v>1333.3330000000001</v>
      </c>
      <c r="H426" s="244">
        <f>(F426*G426)</f>
        <v>1119066.386900004</v>
      </c>
      <c r="I426" s="244"/>
      <c r="J426" s="244">
        <f>H426+I426</f>
        <v>1119066.386900004</v>
      </c>
      <c r="K426" s="247"/>
    </row>
    <row r="427" spans="1:11">
      <c r="A427" s="153">
        <v>63</v>
      </c>
      <c r="B427" s="734" t="s">
        <v>1812</v>
      </c>
      <c r="C427" s="238" t="s">
        <v>1813</v>
      </c>
      <c r="D427" s="247">
        <v>29034.400000000001</v>
      </c>
      <c r="E427" s="247">
        <v>29519.4</v>
      </c>
      <c r="F427" s="247">
        <f>E427-D427</f>
        <v>485</v>
      </c>
      <c r="G427" s="153">
        <v>2000</v>
      </c>
      <c r="H427" s="244">
        <f>(F427*G427)</f>
        <v>970000</v>
      </c>
      <c r="I427" s="244"/>
      <c r="J427" s="244">
        <f>H427+I427</f>
        <v>970000</v>
      </c>
      <c r="K427" s="153"/>
    </row>
    <row r="428" spans="1:11">
      <c r="A428" s="153"/>
      <c r="B428" s="734"/>
      <c r="C428" s="238"/>
      <c r="D428" s="247"/>
      <c r="E428" s="247"/>
      <c r="F428" s="247"/>
      <c r="G428" s="153"/>
      <c r="H428" s="244"/>
      <c r="I428" s="244"/>
      <c r="J428" s="244">
        <f>SUM(J425:J427)</f>
        <v>2609066.386900004</v>
      </c>
      <c r="K428" s="743">
        <f>(J422-J428)/J422</f>
        <v>1.9774434797301971E-2</v>
      </c>
    </row>
    <row r="429" spans="1:11">
      <c r="A429" s="95">
        <v>15</v>
      </c>
      <c r="B429" s="732" t="s">
        <v>1815</v>
      </c>
      <c r="C429" s="238"/>
      <c r="D429" s="247"/>
      <c r="E429" s="247"/>
      <c r="F429" s="247"/>
      <c r="G429" s="153"/>
      <c r="H429" s="244"/>
      <c r="I429" s="244"/>
      <c r="J429" s="244"/>
      <c r="K429" s="247"/>
    </row>
    <row r="430" spans="1:11">
      <c r="A430" s="153">
        <v>1</v>
      </c>
      <c r="B430" s="734" t="s">
        <v>1598</v>
      </c>
      <c r="C430" s="238" t="s">
        <v>1816</v>
      </c>
      <c r="D430" s="247">
        <v>70046.3</v>
      </c>
      <c r="E430" s="247">
        <v>73512.3</v>
      </c>
      <c r="F430" s="247">
        <f>E430-D430</f>
        <v>3466</v>
      </c>
      <c r="G430" s="153">
        <v>500</v>
      </c>
      <c r="H430" s="244">
        <f>(F430*G430)</f>
        <v>1733000</v>
      </c>
      <c r="I430" s="244"/>
      <c r="J430" s="244">
        <f>H430+I430</f>
        <v>1733000</v>
      </c>
      <c r="K430" s="247"/>
    </row>
    <row r="431" spans="1:11">
      <c r="A431" s="153"/>
      <c r="B431" s="734" t="s">
        <v>1363</v>
      </c>
      <c r="C431" s="238"/>
      <c r="D431" s="247"/>
      <c r="E431" s="247"/>
      <c r="F431" s="247"/>
      <c r="G431" s="153"/>
      <c r="H431" s="244"/>
      <c r="I431" s="244"/>
      <c r="J431" s="244">
        <f>SUM(J430)</f>
        <v>1733000</v>
      </c>
      <c r="K431" s="247"/>
    </row>
    <row r="432" spans="1:11">
      <c r="A432" s="153"/>
      <c r="B432" s="733" t="s">
        <v>1364</v>
      </c>
      <c r="C432" s="238"/>
      <c r="D432" s="247"/>
      <c r="E432" s="247"/>
      <c r="F432" s="247"/>
      <c r="G432" s="153"/>
      <c r="H432" s="244"/>
      <c r="I432" s="244"/>
      <c r="J432" s="244"/>
      <c r="K432" s="247"/>
    </row>
    <row r="433" spans="1:11">
      <c r="A433" s="153">
        <v>64</v>
      </c>
      <c r="B433" s="734" t="s">
        <v>1817</v>
      </c>
      <c r="C433" s="238" t="s">
        <v>1818</v>
      </c>
      <c r="D433" s="815">
        <v>38292.800000000003</v>
      </c>
      <c r="E433" s="815">
        <v>38877.699999999997</v>
      </c>
      <c r="F433" s="247">
        <f>E433-D433</f>
        <v>584.89999999999418</v>
      </c>
      <c r="G433" s="153">
        <v>2000</v>
      </c>
      <c r="H433" s="244">
        <f>(F433*G433)</f>
        <v>1169799.9999999884</v>
      </c>
      <c r="I433" s="244"/>
      <c r="J433" s="244">
        <f>H433+I433</f>
        <v>1169799.9999999884</v>
      </c>
      <c r="K433" s="247"/>
    </row>
    <row r="434" spans="1:11">
      <c r="A434" s="153">
        <v>65</v>
      </c>
      <c r="B434" s="734" t="s">
        <v>1819</v>
      </c>
      <c r="C434" s="238" t="s">
        <v>1820</v>
      </c>
      <c r="D434" s="815">
        <v>15754.4</v>
      </c>
      <c r="E434" s="815">
        <v>16005.4</v>
      </c>
      <c r="F434" s="247">
        <f>E434-D434</f>
        <v>251</v>
      </c>
      <c r="G434" s="153">
        <v>2000</v>
      </c>
      <c r="H434" s="244">
        <f>(F434*G434)</f>
        <v>502000</v>
      </c>
      <c r="I434" s="244"/>
      <c r="J434" s="244">
        <f>H434+I434</f>
        <v>502000</v>
      </c>
      <c r="K434" s="247"/>
    </row>
    <row r="435" spans="1:11">
      <c r="A435" s="153">
        <v>66</v>
      </c>
      <c r="B435" s="751" t="s">
        <v>1821</v>
      </c>
      <c r="C435" s="752" t="s">
        <v>1822</v>
      </c>
      <c r="D435" s="815">
        <v>1340.7</v>
      </c>
      <c r="E435" s="815">
        <v>1363.1</v>
      </c>
      <c r="F435" s="247">
        <f>E435-D435</f>
        <v>22.399999999999864</v>
      </c>
      <c r="G435" s="153">
        <v>1000</v>
      </c>
      <c r="H435" s="244">
        <f>(F435*G435)</f>
        <v>22399.999999999862</v>
      </c>
      <c r="I435" s="244">
        <v>7280.0000000001401</v>
      </c>
      <c r="J435" s="244">
        <f>H435+I435</f>
        <v>29680</v>
      </c>
      <c r="K435" s="247"/>
    </row>
    <row r="436" spans="1:11">
      <c r="A436" s="153"/>
      <c r="B436" s="755"/>
      <c r="C436" s="238"/>
      <c r="D436" s="247"/>
      <c r="E436" s="247"/>
      <c r="F436" s="247"/>
      <c r="G436" s="153"/>
      <c r="H436" s="244"/>
      <c r="I436" s="244"/>
      <c r="J436" s="244">
        <f>SUM(J433:J435)</f>
        <v>1701479.9999999884</v>
      </c>
      <c r="K436" s="743">
        <f>(J431-J436)/J431</f>
        <v>1.8188113098679539E-2</v>
      </c>
    </row>
    <row r="437" spans="1:11">
      <c r="A437" s="153">
        <v>16</v>
      </c>
      <c r="B437" s="732" t="s">
        <v>1823</v>
      </c>
      <c r="C437" s="238"/>
      <c r="D437" s="247"/>
      <c r="E437" s="247"/>
      <c r="F437" s="247"/>
      <c r="G437" s="153"/>
      <c r="H437" s="244"/>
      <c r="I437" s="244"/>
      <c r="J437" s="244"/>
      <c r="K437" s="247"/>
    </row>
    <row r="438" spans="1:11">
      <c r="A438" s="153">
        <v>1</v>
      </c>
      <c r="B438" s="734" t="s">
        <v>1824</v>
      </c>
      <c r="C438" s="238" t="s">
        <v>1825</v>
      </c>
      <c r="D438" s="247">
        <v>20907.2</v>
      </c>
      <c r="E438" s="247">
        <v>21239.1</v>
      </c>
      <c r="F438" s="247">
        <f>E438-D438</f>
        <v>331.89999999999782</v>
      </c>
      <c r="G438" s="153">
        <v>1500</v>
      </c>
      <c r="H438" s="244">
        <f>(F438*G438)</f>
        <v>497849.99999999674</v>
      </c>
      <c r="I438" s="244">
        <v>288000</v>
      </c>
      <c r="J438" s="244">
        <f>H438+I438</f>
        <v>785849.99999999674</v>
      </c>
      <c r="K438" s="247"/>
    </row>
    <row r="439" spans="1:11">
      <c r="A439" s="153"/>
      <c r="B439" s="734" t="s">
        <v>1363</v>
      </c>
      <c r="C439" s="238"/>
      <c r="D439" s="247"/>
      <c r="E439" s="247"/>
      <c r="F439" s="247"/>
      <c r="G439" s="153"/>
      <c r="H439" s="244"/>
      <c r="I439" s="244"/>
      <c r="J439" s="244">
        <f>SUM(J438)</f>
        <v>785849.99999999674</v>
      </c>
      <c r="K439" s="247"/>
    </row>
    <row r="440" spans="1:11">
      <c r="A440" s="153"/>
      <c r="B440" s="733" t="s">
        <v>1767</v>
      </c>
      <c r="C440" s="238"/>
      <c r="D440" s="247"/>
      <c r="E440" s="247"/>
      <c r="F440" s="247"/>
      <c r="G440" s="153"/>
      <c r="H440" s="244"/>
      <c r="I440" s="244"/>
      <c r="J440" s="244"/>
      <c r="K440" s="247"/>
    </row>
    <row r="441" spans="1:11">
      <c r="A441" s="161">
        <v>67</v>
      </c>
      <c r="B441" s="734" t="s">
        <v>1826</v>
      </c>
      <c r="C441" s="238" t="s">
        <v>1827</v>
      </c>
      <c r="D441" s="247">
        <v>4191.7</v>
      </c>
      <c r="E441" s="247">
        <v>4254.1000000000004</v>
      </c>
      <c r="F441" s="247">
        <f>E441-D441</f>
        <v>62.400000000000546</v>
      </c>
      <c r="G441" s="244">
        <v>1333.3330000000001</v>
      </c>
      <c r="H441" s="244">
        <f>(F441*G441)</f>
        <v>83199.979200000729</v>
      </c>
      <c r="I441" s="244"/>
      <c r="J441" s="244">
        <f>H441+I441</f>
        <v>83199.979200000729</v>
      </c>
      <c r="K441" s="247"/>
    </row>
    <row r="442" spans="1:11">
      <c r="A442" s="153">
        <v>68</v>
      </c>
      <c r="B442" s="734" t="s">
        <v>1828</v>
      </c>
      <c r="C442" s="238" t="s">
        <v>1829</v>
      </c>
      <c r="D442" s="247">
        <v>11528</v>
      </c>
      <c r="E442" s="247">
        <v>11721.9</v>
      </c>
      <c r="F442" s="247">
        <f>E442-D442</f>
        <v>193.89999999999964</v>
      </c>
      <c r="G442" s="247">
        <v>666.66600000000005</v>
      </c>
      <c r="H442" s="244">
        <f>(F442*G442)</f>
        <v>129266.53739999977</v>
      </c>
      <c r="I442" s="244"/>
      <c r="J442" s="244">
        <f>H442+I442</f>
        <v>129266.53739999977</v>
      </c>
      <c r="K442" s="247"/>
    </row>
    <row r="443" spans="1:11">
      <c r="A443" s="153">
        <v>69</v>
      </c>
      <c r="B443" s="734" t="s">
        <v>1830</v>
      </c>
      <c r="C443" s="238" t="s">
        <v>1831</v>
      </c>
      <c r="D443" s="247">
        <v>3838.6</v>
      </c>
      <c r="E443" s="247">
        <v>3987.6</v>
      </c>
      <c r="F443" s="247">
        <f>E443-D443</f>
        <v>149</v>
      </c>
      <c r="G443" s="247">
        <v>1333.33</v>
      </c>
      <c r="H443" s="244">
        <f>(F443*G443)</f>
        <v>198666.16999999998</v>
      </c>
      <c r="I443" s="244"/>
      <c r="J443" s="244">
        <f>H443+I443</f>
        <v>198666.16999999998</v>
      </c>
      <c r="K443" s="247"/>
    </row>
    <row r="444" spans="1:11">
      <c r="A444" s="161">
        <v>70</v>
      </c>
      <c r="B444" s="734" t="s">
        <v>1832</v>
      </c>
      <c r="C444" s="238">
        <v>3300077</v>
      </c>
      <c r="D444" s="247">
        <v>268152.3</v>
      </c>
      <c r="E444" s="247">
        <v>295509.40000000002</v>
      </c>
      <c r="F444" s="247">
        <f>E444-D444</f>
        <v>27357.100000000035</v>
      </c>
      <c r="G444" s="247">
        <v>13.333333</v>
      </c>
      <c r="H444" s="244">
        <f>(F444*G444)</f>
        <v>364761.32421430043</v>
      </c>
      <c r="I444" s="244"/>
      <c r="J444" s="244">
        <f>H444+I444</f>
        <v>364761.32421430043</v>
      </c>
      <c r="K444" s="247"/>
    </row>
    <row r="445" spans="1:11">
      <c r="A445" s="153"/>
      <c r="B445" s="734"/>
      <c r="C445" s="238"/>
      <c r="D445" s="247"/>
      <c r="E445" s="247"/>
      <c r="F445" s="247"/>
      <c r="G445" s="153" t="s">
        <v>1546</v>
      </c>
      <c r="H445" s="244"/>
      <c r="I445" s="244"/>
      <c r="J445" s="244">
        <f>SUM(J441:J444)</f>
        <v>775894.01081430097</v>
      </c>
      <c r="K445" s="743">
        <f>(J439-J445)/J439</f>
        <v>1.2669070669588103E-2</v>
      </c>
    </row>
    <row r="446" spans="1:11">
      <c r="A446" s="95">
        <v>17</v>
      </c>
      <c r="B446" s="732" t="s">
        <v>1833</v>
      </c>
      <c r="C446" s="238"/>
      <c r="D446" s="247"/>
      <c r="E446" s="247"/>
      <c r="F446" s="247"/>
      <c r="G446" s="153"/>
      <c r="H446" s="244"/>
      <c r="I446" s="244"/>
      <c r="J446" s="244"/>
      <c r="K446" s="247"/>
    </row>
    <row r="447" spans="1:11">
      <c r="A447" s="153">
        <v>1</v>
      </c>
      <c r="B447" s="816" t="s">
        <v>1834</v>
      </c>
      <c r="C447" s="238" t="s">
        <v>1835</v>
      </c>
      <c r="D447" s="247">
        <v>138916.29999999999</v>
      </c>
      <c r="E447" s="247">
        <v>141428</v>
      </c>
      <c r="F447" s="247">
        <f>E447-D447</f>
        <v>2511.7000000000116</v>
      </c>
      <c r="G447" s="153">
        <v>2000</v>
      </c>
      <c r="H447" s="244">
        <f>(F447*G447)</f>
        <v>5023400.0000000233</v>
      </c>
      <c r="I447" s="244"/>
      <c r="J447" s="244">
        <f>H447+I447</f>
        <v>5023400.0000000233</v>
      </c>
      <c r="K447" s="247"/>
    </row>
    <row r="448" spans="1:11">
      <c r="A448" s="153"/>
      <c r="B448" s="816" t="s">
        <v>1834</v>
      </c>
      <c r="C448" s="238">
        <v>9916387</v>
      </c>
      <c r="D448" s="247">
        <v>423738.4</v>
      </c>
      <c r="E448" s="247">
        <v>437657.59999999998</v>
      </c>
      <c r="F448" s="247">
        <f>E448-D448</f>
        <v>13919.199999999953</v>
      </c>
      <c r="G448" s="153">
        <v>240</v>
      </c>
      <c r="H448" s="244">
        <f>(F448*G448)</f>
        <v>3340607.9999999888</v>
      </c>
      <c r="I448" s="244"/>
      <c r="J448" s="244">
        <f>H448+I448</f>
        <v>3340607.9999999888</v>
      </c>
      <c r="K448" s="247"/>
    </row>
    <row r="449" spans="1:11">
      <c r="A449" s="153"/>
      <c r="B449" s="816"/>
      <c r="C449" s="238"/>
      <c r="D449" s="247"/>
      <c r="E449" s="247"/>
      <c r="F449" s="247"/>
      <c r="G449" s="153"/>
      <c r="H449" s="244"/>
      <c r="I449" s="244"/>
      <c r="J449" s="244">
        <v>480000</v>
      </c>
      <c r="K449" s="247"/>
    </row>
    <row r="450" spans="1:11">
      <c r="A450" s="153"/>
      <c r="B450" s="734" t="s">
        <v>1363</v>
      </c>
      <c r="C450" s="238"/>
      <c r="D450" s="247"/>
      <c r="E450" s="247"/>
      <c r="F450" s="247"/>
      <c r="G450" s="153"/>
      <c r="H450" s="244"/>
      <c r="I450" s="244"/>
      <c r="J450" s="244">
        <f>SUM(J447+J449)</f>
        <v>5503400.0000000233</v>
      </c>
      <c r="K450" s="247"/>
    </row>
    <row r="451" spans="1:11">
      <c r="A451" s="153"/>
      <c r="B451" s="733" t="s">
        <v>1767</v>
      </c>
      <c r="C451" s="238"/>
      <c r="D451" s="247"/>
      <c r="E451" s="247"/>
      <c r="F451" s="247"/>
      <c r="G451" s="247"/>
      <c r="H451" s="244"/>
      <c r="I451" s="244"/>
      <c r="J451" s="244"/>
      <c r="K451" s="247"/>
    </row>
    <row r="452" spans="1:11">
      <c r="A452" s="153">
        <v>71</v>
      </c>
      <c r="B452" s="734" t="s">
        <v>1836</v>
      </c>
      <c r="C452" s="238">
        <v>9916388</v>
      </c>
      <c r="D452" s="247">
        <v>908532.4</v>
      </c>
      <c r="E452" s="247">
        <v>933167.1</v>
      </c>
      <c r="F452" s="247">
        <f t="shared" ref="F452:F457" si="26">E452-D452</f>
        <v>24634.699999999953</v>
      </c>
      <c r="G452" s="244">
        <v>40</v>
      </c>
      <c r="H452" s="244">
        <f t="shared" ref="H452:H457" si="27">(F452*G452)</f>
        <v>985387.99999999814</v>
      </c>
      <c r="I452" s="244"/>
      <c r="J452" s="244">
        <f t="shared" ref="J452:J457" si="28">H452+I452</f>
        <v>985387.99999999814</v>
      </c>
      <c r="K452" s="247"/>
    </row>
    <row r="453" spans="1:11">
      <c r="A453" s="153">
        <v>72</v>
      </c>
      <c r="B453" s="734" t="s">
        <v>1837</v>
      </c>
      <c r="C453" s="238" t="s">
        <v>1838</v>
      </c>
      <c r="D453" s="247">
        <v>4851</v>
      </c>
      <c r="E453" s="247">
        <v>5115.9799999999996</v>
      </c>
      <c r="F453" s="247">
        <f t="shared" si="26"/>
        <v>264.97999999999956</v>
      </c>
      <c r="G453" s="153">
        <v>6000</v>
      </c>
      <c r="H453" s="244">
        <f t="shared" si="27"/>
        <v>1589879.9999999974</v>
      </c>
      <c r="I453" s="244"/>
      <c r="J453" s="244">
        <f t="shared" si="28"/>
        <v>1589879.9999999974</v>
      </c>
      <c r="K453" s="247"/>
    </row>
    <row r="454" spans="1:11">
      <c r="A454" s="153">
        <v>73</v>
      </c>
      <c r="B454" s="817" t="s">
        <v>1839</v>
      </c>
      <c r="C454" s="238">
        <v>9916393</v>
      </c>
      <c r="D454" s="247">
        <v>200988.2</v>
      </c>
      <c r="E454" s="247">
        <v>200988.2</v>
      </c>
      <c r="F454" s="247">
        <f t="shared" si="26"/>
        <v>0</v>
      </c>
      <c r="G454" s="153">
        <v>40</v>
      </c>
      <c r="H454" s="244">
        <f t="shared" si="27"/>
        <v>0</v>
      </c>
      <c r="I454" s="244">
        <f>H455</f>
        <v>721000</v>
      </c>
      <c r="J454" s="244">
        <f t="shared" si="28"/>
        <v>721000</v>
      </c>
      <c r="K454" s="247"/>
    </row>
    <row r="455" spans="1:11">
      <c r="A455" s="153">
        <v>73</v>
      </c>
      <c r="B455" s="817" t="s">
        <v>1839</v>
      </c>
      <c r="C455" s="752" t="s">
        <v>1840</v>
      </c>
      <c r="D455" s="818">
        <v>8267.6</v>
      </c>
      <c r="E455" s="818">
        <v>8628.1</v>
      </c>
      <c r="F455" s="818">
        <f t="shared" si="26"/>
        <v>360.5</v>
      </c>
      <c r="G455" s="155">
        <v>2000</v>
      </c>
      <c r="H455" s="158">
        <f t="shared" si="27"/>
        <v>721000</v>
      </c>
      <c r="I455" s="244"/>
      <c r="J455" s="244">
        <f t="shared" si="28"/>
        <v>721000</v>
      </c>
      <c r="K455" s="247"/>
    </row>
    <row r="456" spans="1:11">
      <c r="A456" s="153">
        <v>74</v>
      </c>
      <c r="B456" s="817" t="s">
        <v>1841</v>
      </c>
      <c r="C456" s="238">
        <v>9916390</v>
      </c>
      <c r="D456" s="247">
        <v>627202.80000000005</v>
      </c>
      <c r="E456" s="247">
        <v>646208.5</v>
      </c>
      <c r="F456" s="247">
        <f t="shared" si="26"/>
        <v>19005.699999999953</v>
      </c>
      <c r="G456" s="153">
        <v>40</v>
      </c>
      <c r="H456" s="244">
        <f t="shared" si="27"/>
        <v>760227.99999999814</v>
      </c>
      <c r="I456" s="244"/>
      <c r="J456" s="244">
        <f t="shared" si="28"/>
        <v>760227.99999999814</v>
      </c>
      <c r="K456" s="247"/>
    </row>
    <row r="457" spans="1:11">
      <c r="A457" s="153">
        <v>75</v>
      </c>
      <c r="B457" s="819" t="s">
        <v>1842</v>
      </c>
      <c r="C457" s="790" t="s">
        <v>1843</v>
      </c>
      <c r="D457" s="791">
        <v>44392.6</v>
      </c>
      <c r="E457" s="791">
        <v>45102.9</v>
      </c>
      <c r="F457" s="791">
        <f t="shared" si="26"/>
        <v>710.30000000000291</v>
      </c>
      <c r="G457" s="788">
        <v>2000</v>
      </c>
      <c r="H457" s="244">
        <f t="shared" si="27"/>
        <v>1420600.0000000058</v>
      </c>
      <c r="I457" s="792"/>
      <c r="J457" s="792">
        <f t="shared" si="28"/>
        <v>1420600.0000000058</v>
      </c>
      <c r="K457" s="791"/>
    </row>
    <row r="458" spans="1:11">
      <c r="A458" s="153"/>
      <c r="B458" s="734"/>
      <c r="C458" s="238"/>
      <c r="D458" s="247"/>
      <c r="E458" s="247"/>
      <c r="F458" s="247"/>
      <c r="G458" s="153"/>
      <c r="H458" s="244"/>
      <c r="I458" s="244"/>
      <c r="J458" s="244">
        <f>SUM(J452+J453+J454+J456+J457)</f>
        <v>5477095.9999999991</v>
      </c>
      <c r="K458" s="743">
        <f>(J450-J458)/J450</f>
        <v>4.7795907984199042E-3</v>
      </c>
    </row>
    <row r="459" spans="1:11">
      <c r="A459" s="153">
        <v>18</v>
      </c>
      <c r="B459" s="732" t="s">
        <v>1844</v>
      </c>
      <c r="C459" s="238"/>
      <c r="D459" s="247"/>
      <c r="E459" s="247"/>
      <c r="F459" s="247"/>
      <c r="G459" s="153"/>
      <c r="H459" s="244"/>
      <c r="I459" s="244"/>
      <c r="J459" s="244"/>
      <c r="K459" s="247"/>
    </row>
    <row r="460" spans="1:11">
      <c r="A460" s="153">
        <v>1</v>
      </c>
      <c r="B460" s="734" t="s">
        <v>1776</v>
      </c>
      <c r="C460" s="238" t="s">
        <v>1845</v>
      </c>
      <c r="D460" s="247">
        <v>48091.5</v>
      </c>
      <c r="E460" s="247">
        <v>48864.9</v>
      </c>
      <c r="F460" s="247">
        <f>E460-D460</f>
        <v>773.40000000000146</v>
      </c>
      <c r="G460" s="153">
        <v>2000</v>
      </c>
      <c r="H460" s="244">
        <f>(F460*G460)</f>
        <v>1546800.0000000028</v>
      </c>
      <c r="I460" s="244">
        <v>80000</v>
      </c>
      <c r="J460" s="244">
        <f>H460+I460</f>
        <v>1626800.0000000028</v>
      </c>
      <c r="K460" s="247"/>
    </row>
    <row r="461" spans="1:11">
      <c r="A461" s="153"/>
      <c r="B461" s="820"/>
      <c r="C461" s="238"/>
      <c r="D461" s="153"/>
      <c r="E461" s="153"/>
      <c r="F461" s="153"/>
      <c r="G461" s="153"/>
      <c r="H461" s="244"/>
      <c r="I461" s="20"/>
      <c r="J461" s="20">
        <f>SUM(J460)+I461</f>
        <v>1626800.0000000028</v>
      </c>
      <c r="K461" s="247"/>
    </row>
    <row r="462" spans="1:11">
      <c r="A462" s="153"/>
      <c r="B462" s="733" t="s">
        <v>1767</v>
      </c>
      <c r="C462" s="238"/>
      <c r="D462" s="247"/>
      <c r="E462" s="247"/>
      <c r="F462" s="247"/>
      <c r="G462" s="153"/>
      <c r="H462" s="244"/>
      <c r="I462" s="244"/>
      <c r="J462" s="244"/>
      <c r="K462" s="247"/>
    </row>
    <row r="463" spans="1:11">
      <c r="A463" s="153">
        <v>76</v>
      </c>
      <c r="B463" s="734" t="s">
        <v>1071</v>
      </c>
      <c r="C463" s="238" t="s">
        <v>1846</v>
      </c>
      <c r="D463" s="247">
        <v>29983.5</v>
      </c>
      <c r="E463" s="247">
        <v>30502.1</v>
      </c>
      <c r="F463" s="247">
        <f>E463-D463</f>
        <v>518.59999999999854</v>
      </c>
      <c r="G463" s="153">
        <v>1333.33</v>
      </c>
      <c r="H463" s="244">
        <f>(F463*G463)</f>
        <v>691464.93799999799</v>
      </c>
      <c r="I463" s="244"/>
      <c r="J463" s="244">
        <f>H463+I463</f>
        <v>691464.93799999799</v>
      </c>
      <c r="K463" s="786"/>
    </row>
    <row r="464" spans="1:11">
      <c r="A464" s="153">
        <v>77</v>
      </c>
      <c r="B464" s="734" t="s">
        <v>1070</v>
      </c>
      <c r="C464" s="238" t="s">
        <v>1847</v>
      </c>
      <c r="D464" s="247">
        <v>36191.699999999997</v>
      </c>
      <c r="E464" s="247">
        <v>36873.199999999997</v>
      </c>
      <c r="F464" s="247">
        <f>E464-D464</f>
        <v>681.5</v>
      </c>
      <c r="G464" s="153">
        <v>1333.33</v>
      </c>
      <c r="H464" s="244">
        <f>(F464*G464)</f>
        <v>908664.3949999999</v>
      </c>
      <c r="I464" s="244"/>
      <c r="J464" s="244">
        <f>H464+I464</f>
        <v>908664.3949999999</v>
      </c>
      <c r="K464" s="247"/>
    </row>
    <row r="465" spans="1:11">
      <c r="A465" s="153"/>
      <c r="B465" s="734"/>
      <c r="C465" s="238"/>
      <c r="D465" s="247"/>
      <c r="E465" s="247"/>
      <c r="F465" s="247"/>
      <c r="G465" s="153"/>
      <c r="H465" s="244"/>
      <c r="I465" s="244"/>
      <c r="J465" s="244">
        <f>SUM(J463:J464)</f>
        <v>1600129.3329999978</v>
      </c>
      <c r="K465" s="743">
        <f>(J461-J465)/J461</f>
        <v>1.6394558028033548E-2</v>
      </c>
    </row>
    <row r="466" spans="1:11">
      <c r="A466" s="153">
        <v>19</v>
      </c>
      <c r="B466" s="732" t="s">
        <v>1848</v>
      </c>
      <c r="C466" s="238"/>
      <c r="D466" s="247"/>
      <c r="E466" s="247"/>
      <c r="F466" s="247"/>
      <c r="G466" s="153"/>
      <c r="H466" s="244"/>
      <c r="I466" s="244"/>
      <c r="J466" s="244"/>
      <c r="K466" s="247"/>
    </row>
    <row r="467" spans="1:11">
      <c r="A467" s="153"/>
      <c r="B467" s="238" t="s">
        <v>1375</v>
      </c>
      <c r="C467" s="238" t="s">
        <v>1849</v>
      </c>
      <c r="D467" s="247">
        <v>3992.74</v>
      </c>
      <c r="E467" s="247">
        <v>4101.3599999999997</v>
      </c>
      <c r="F467" s="247">
        <f>E467-D467</f>
        <v>108.61999999999989</v>
      </c>
      <c r="G467" s="153">
        <v>24000</v>
      </c>
      <c r="H467" s="244">
        <f>(F467*G467)</f>
        <v>2606879.9999999972</v>
      </c>
      <c r="I467" s="244"/>
      <c r="J467" s="244">
        <f>H467+I467</f>
        <v>2606879.9999999972</v>
      </c>
      <c r="K467" s="247"/>
    </row>
    <row r="468" spans="1:11">
      <c r="A468" s="153"/>
      <c r="B468" s="734"/>
      <c r="C468" s="238"/>
      <c r="D468" s="153"/>
      <c r="E468" s="153"/>
      <c r="F468" s="247"/>
      <c r="G468" s="153"/>
      <c r="H468" s="244"/>
      <c r="I468" s="244"/>
      <c r="J468" s="244">
        <f>SUM(J467)</f>
        <v>2606879.9999999972</v>
      </c>
      <c r="K468" s="247"/>
    </row>
    <row r="469" spans="1:11">
      <c r="A469" s="153"/>
      <c r="B469" s="734"/>
      <c r="C469" s="238"/>
      <c r="D469" s="153"/>
      <c r="E469" s="153"/>
      <c r="F469" s="247"/>
      <c r="G469" s="153"/>
      <c r="H469" s="244"/>
      <c r="I469" s="244"/>
      <c r="J469" s="244"/>
      <c r="K469" s="247"/>
    </row>
    <row r="470" spans="1:11">
      <c r="A470" s="153">
        <v>78</v>
      </c>
      <c r="B470" s="734" t="s">
        <v>927</v>
      </c>
      <c r="C470" s="238" t="s">
        <v>1850</v>
      </c>
      <c r="D470" s="247">
        <v>5052.43</v>
      </c>
      <c r="E470" s="247">
        <v>5138.16</v>
      </c>
      <c r="F470" s="247">
        <f>E470-D470</f>
        <v>85.729999999999563</v>
      </c>
      <c r="G470" s="153">
        <v>6000</v>
      </c>
      <c r="H470" s="244">
        <f>(F470*G470)</f>
        <v>514379.99999999738</v>
      </c>
      <c r="I470" s="244"/>
      <c r="J470" s="244">
        <f>H470+I470</f>
        <v>514379.99999999738</v>
      </c>
      <c r="K470" s="247"/>
    </row>
    <row r="471" spans="1:11">
      <c r="A471" s="153">
        <v>79</v>
      </c>
      <c r="B471" s="734" t="s">
        <v>1851</v>
      </c>
      <c r="C471" s="238" t="s">
        <v>1852</v>
      </c>
      <c r="D471" s="247">
        <v>7538.95</v>
      </c>
      <c r="E471" s="247">
        <v>7717.79</v>
      </c>
      <c r="F471" s="247">
        <f>E471-D471</f>
        <v>178.84000000000015</v>
      </c>
      <c r="G471" s="153">
        <v>6000</v>
      </c>
      <c r="H471" s="244">
        <f>(F471*G471)</f>
        <v>1073040.0000000009</v>
      </c>
      <c r="I471" s="244"/>
      <c r="J471" s="244">
        <f>H471+I471</f>
        <v>1073040.0000000009</v>
      </c>
      <c r="K471" s="247"/>
    </row>
    <row r="472" spans="1:11">
      <c r="A472" s="153">
        <v>80</v>
      </c>
      <c r="B472" s="734" t="s">
        <v>1853</v>
      </c>
      <c r="C472" s="238" t="s">
        <v>1854</v>
      </c>
      <c r="D472" s="247">
        <v>436.48</v>
      </c>
      <c r="E472" s="247">
        <v>436.48</v>
      </c>
      <c r="F472" s="247">
        <f>E472-D472</f>
        <v>0</v>
      </c>
      <c r="G472" s="153">
        <v>6000</v>
      </c>
      <c r="H472" s="244">
        <f>(F472*G472)</f>
        <v>0</v>
      </c>
      <c r="I472" s="244"/>
      <c r="J472" s="244">
        <f>H472+I472</f>
        <v>0</v>
      </c>
      <c r="K472" s="247"/>
    </row>
    <row r="473" spans="1:11">
      <c r="A473" s="153">
        <v>80</v>
      </c>
      <c r="B473" s="734" t="s">
        <v>1855</v>
      </c>
      <c r="C473" s="238" t="s">
        <v>1854</v>
      </c>
      <c r="D473" s="247">
        <v>3463.3</v>
      </c>
      <c r="E473" s="247">
        <v>3629.9</v>
      </c>
      <c r="F473" s="247">
        <f>E473-D473</f>
        <v>166.59999999999991</v>
      </c>
      <c r="G473" s="153">
        <v>6000</v>
      </c>
      <c r="H473" s="244">
        <f>(F473*G473)</f>
        <v>999599.99999999942</v>
      </c>
      <c r="I473" s="244"/>
      <c r="J473" s="244">
        <f>H473+I473</f>
        <v>999599.99999999942</v>
      </c>
      <c r="K473" s="247"/>
    </row>
    <row r="474" spans="1:11">
      <c r="A474" s="153"/>
      <c r="B474" s="755"/>
      <c r="C474" s="238"/>
      <c r="D474" s="247"/>
      <c r="E474" s="247"/>
      <c r="F474" s="247"/>
      <c r="G474" s="153"/>
      <c r="H474" s="244"/>
      <c r="I474" s="244"/>
      <c r="J474" s="244">
        <f>SUM(J470:J473)</f>
        <v>2587019.9999999977</v>
      </c>
      <c r="K474" s="743">
        <f>(J468-J474)/J468</f>
        <v>7.6183023384273751E-3</v>
      </c>
    </row>
    <row r="475" spans="1:11">
      <c r="A475" s="95">
        <v>20</v>
      </c>
      <c r="B475" s="732" t="s">
        <v>1856</v>
      </c>
      <c r="C475" s="238"/>
      <c r="D475" s="247"/>
      <c r="E475" s="247"/>
      <c r="F475" s="247"/>
      <c r="G475" s="153"/>
      <c r="H475" s="244"/>
      <c r="I475" s="244"/>
      <c r="J475" s="244"/>
      <c r="K475" s="247"/>
    </row>
    <row r="476" spans="1:11">
      <c r="A476" s="153">
        <v>1</v>
      </c>
      <c r="B476" s="238" t="s">
        <v>242</v>
      </c>
      <c r="C476" s="238" t="s">
        <v>1857</v>
      </c>
      <c r="D476" s="247">
        <v>5083.72</v>
      </c>
      <c r="E476" s="247">
        <v>5238.63</v>
      </c>
      <c r="F476" s="247">
        <f>E476-D476</f>
        <v>154.90999999999985</v>
      </c>
      <c r="G476" s="153">
        <v>24000</v>
      </c>
      <c r="H476" s="244">
        <f>(F476*G476)</f>
        <v>3717839.9999999963</v>
      </c>
      <c r="I476" s="244"/>
      <c r="J476" s="244">
        <f>H476+I476</f>
        <v>3717839.9999999963</v>
      </c>
      <c r="K476" s="247"/>
    </row>
    <row r="477" spans="1:11">
      <c r="A477" s="153"/>
      <c r="B477" s="238" t="s">
        <v>1363</v>
      </c>
      <c r="C477" s="238"/>
      <c r="D477" s="247"/>
      <c r="E477" s="247"/>
      <c r="F477" s="247"/>
      <c r="G477" s="153"/>
      <c r="H477" s="244"/>
      <c r="I477" s="244"/>
      <c r="J477" s="244">
        <f>J476</f>
        <v>3717839.9999999963</v>
      </c>
      <c r="K477" s="247"/>
    </row>
    <row r="478" spans="1:11">
      <c r="A478" s="153"/>
      <c r="B478" s="238"/>
      <c r="C478" s="238"/>
      <c r="D478" s="247"/>
      <c r="E478" s="247"/>
      <c r="F478" s="247"/>
      <c r="G478" s="153"/>
      <c r="H478" s="244"/>
      <c r="I478" s="244"/>
      <c r="J478" s="244"/>
      <c r="K478" s="247"/>
    </row>
    <row r="479" spans="1:11">
      <c r="A479" s="153">
        <v>81</v>
      </c>
      <c r="B479" s="238" t="s">
        <v>1336</v>
      </c>
      <c r="C479" s="238" t="s">
        <v>1858</v>
      </c>
      <c r="D479" s="247">
        <v>9750.86</v>
      </c>
      <c r="E479" s="247">
        <v>10080.75</v>
      </c>
      <c r="F479" s="247">
        <f>E479-D479</f>
        <v>329.88999999999942</v>
      </c>
      <c r="G479" s="153">
        <v>6000</v>
      </c>
      <c r="H479" s="244">
        <f>(F479*G479)</f>
        <v>1979339.9999999965</v>
      </c>
      <c r="I479" s="244"/>
      <c r="J479" s="244">
        <f>H479+I479</f>
        <v>1979339.9999999965</v>
      </c>
      <c r="K479" s="247"/>
    </row>
    <row r="480" spans="1:11">
      <c r="A480" s="153">
        <v>82</v>
      </c>
      <c r="B480" s="238" t="s">
        <v>1859</v>
      </c>
      <c r="C480" s="238" t="s">
        <v>1860</v>
      </c>
      <c r="D480" s="247">
        <v>6834.25</v>
      </c>
      <c r="E480" s="247">
        <v>6944.63</v>
      </c>
      <c r="F480" s="247">
        <f>E480-D480</f>
        <v>110.38000000000011</v>
      </c>
      <c r="G480" s="153">
        <v>6000</v>
      </c>
      <c r="H480" s="244">
        <f>(F480*G480)</f>
        <v>662280.0000000007</v>
      </c>
      <c r="I480" s="244"/>
      <c r="J480" s="244">
        <f>H480+I480</f>
        <v>662280.0000000007</v>
      </c>
      <c r="K480" s="247"/>
    </row>
    <row r="481" spans="1:11">
      <c r="A481" s="153">
        <v>83</v>
      </c>
      <c r="B481" s="238" t="s">
        <v>1861</v>
      </c>
      <c r="C481" s="238" t="s">
        <v>1862</v>
      </c>
      <c r="D481" s="247">
        <v>4720.59</v>
      </c>
      <c r="E481" s="247">
        <v>4895.43</v>
      </c>
      <c r="F481" s="247">
        <f>E481-D481</f>
        <v>174.84000000000015</v>
      </c>
      <c r="G481" s="153">
        <v>6000</v>
      </c>
      <c r="H481" s="244">
        <f>(F481*G481)</f>
        <v>1049040.0000000009</v>
      </c>
      <c r="I481" s="244"/>
      <c r="J481" s="244">
        <f>H481+I481</f>
        <v>1049040.0000000009</v>
      </c>
      <c r="K481" s="247"/>
    </row>
    <row r="482" spans="1:11">
      <c r="A482" s="153"/>
      <c r="B482" s="755"/>
      <c r="C482" s="238"/>
      <c r="D482" s="247"/>
      <c r="E482" s="247"/>
      <c r="F482" s="247"/>
      <c r="G482" s="153"/>
      <c r="H482" s="244"/>
      <c r="I482" s="244"/>
      <c r="J482" s="244">
        <f>SUM(J479:J481)</f>
        <v>3690659.9999999981</v>
      </c>
      <c r="K482" s="743">
        <f>(J477-J482)/J477</f>
        <v>7.3106965334705544E-3</v>
      </c>
    </row>
    <row r="483" spans="1:11">
      <c r="A483" s="95">
        <v>21</v>
      </c>
      <c r="B483" s="732" t="s">
        <v>1863</v>
      </c>
      <c r="C483" s="238"/>
      <c r="D483" s="247"/>
      <c r="E483" s="247"/>
      <c r="F483" s="247"/>
      <c r="G483" s="153"/>
      <c r="H483" s="244"/>
      <c r="I483" s="244"/>
      <c r="J483" s="244"/>
      <c r="K483" s="743"/>
    </row>
    <row r="484" spans="1:11">
      <c r="A484" s="153"/>
      <c r="B484" s="755"/>
      <c r="C484" s="238"/>
      <c r="D484" s="247"/>
      <c r="E484" s="247"/>
      <c r="F484" s="247"/>
      <c r="G484" s="153"/>
      <c r="H484" s="244"/>
      <c r="I484" s="244"/>
      <c r="J484" s="244"/>
      <c r="K484" s="743"/>
    </row>
    <row r="485" spans="1:11">
      <c r="A485" s="153">
        <v>1</v>
      </c>
      <c r="B485" s="238" t="s">
        <v>1631</v>
      </c>
      <c r="C485" s="238" t="s">
        <v>1864</v>
      </c>
      <c r="D485" s="247">
        <v>60794</v>
      </c>
      <c r="E485" s="247">
        <v>62904</v>
      </c>
      <c r="F485" s="247">
        <f>E485-D485</f>
        <v>2110</v>
      </c>
      <c r="G485" s="153">
        <v>30</v>
      </c>
      <c r="H485" s="244">
        <f>(F485*G485)</f>
        <v>63300</v>
      </c>
      <c r="I485" s="244">
        <v>42050.017399999997</v>
      </c>
      <c r="J485" s="244">
        <f>H485+I485</f>
        <v>105350.0174</v>
      </c>
      <c r="K485" s="247"/>
    </row>
    <row r="486" spans="1:11">
      <c r="A486" s="153"/>
      <c r="B486" s="238" t="s">
        <v>1363</v>
      </c>
      <c r="C486" s="238"/>
      <c r="D486" s="247"/>
      <c r="E486" s="247"/>
      <c r="F486" s="247"/>
      <c r="G486" s="153"/>
      <c r="H486" s="244"/>
      <c r="I486" s="244"/>
      <c r="J486" s="244">
        <f>J485</f>
        <v>105350.0174</v>
      </c>
      <c r="K486" s="247"/>
    </row>
    <row r="487" spans="1:11">
      <c r="A487" s="153"/>
      <c r="B487" s="238"/>
      <c r="C487" s="238"/>
      <c r="D487" s="247"/>
      <c r="E487" s="247"/>
      <c r="F487" s="247"/>
      <c r="G487" s="153"/>
      <c r="H487" s="244"/>
      <c r="I487" s="244"/>
      <c r="J487" s="244"/>
      <c r="K487" s="247"/>
    </row>
    <row r="488" spans="1:11">
      <c r="A488" s="153">
        <v>84</v>
      </c>
      <c r="B488" s="238" t="s">
        <v>1865</v>
      </c>
      <c r="C488" s="238" t="s">
        <v>1866</v>
      </c>
      <c r="D488" s="247">
        <v>6640.5</v>
      </c>
      <c r="E488" s="247">
        <v>6708.5</v>
      </c>
      <c r="F488" s="247">
        <f>E488-D488</f>
        <v>68</v>
      </c>
      <c r="G488" s="153">
        <v>40</v>
      </c>
      <c r="H488" s="244">
        <f>(F488*G488)</f>
        <v>2720</v>
      </c>
      <c r="I488" s="244"/>
      <c r="J488" s="244">
        <f>H488+I488</f>
        <v>2720</v>
      </c>
      <c r="K488" s="247"/>
    </row>
    <row r="489" spans="1:11">
      <c r="A489" s="153">
        <v>85</v>
      </c>
      <c r="B489" s="238" t="s">
        <v>1867</v>
      </c>
      <c r="C489" s="238" t="s">
        <v>1868</v>
      </c>
      <c r="D489" s="247">
        <v>15108</v>
      </c>
      <c r="E489" s="247">
        <v>15250</v>
      </c>
      <c r="F489" s="247">
        <f>E489-D489</f>
        <v>142</v>
      </c>
      <c r="G489" s="153">
        <v>40</v>
      </c>
      <c r="H489" s="244">
        <f>(F489*G489)</f>
        <v>5680</v>
      </c>
      <c r="I489" s="244">
        <v>54120</v>
      </c>
      <c r="J489" s="244">
        <f>H489+I489</f>
        <v>59800</v>
      </c>
      <c r="K489" s="247"/>
    </row>
    <row r="490" spans="1:11">
      <c r="A490" s="153">
        <v>86</v>
      </c>
      <c r="B490" s="238" t="s">
        <v>1869</v>
      </c>
      <c r="C490" s="238" t="s">
        <v>1870</v>
      </c>
      <c r="D490" s="247">
        <v>18374</v>
      </c>
      <c r="E490" s="247">
        <v>18504.5</v>
      </c>
      <c r="F490" s="247">
        <f>E490-D490</f>
        <v>130.5</v>
      </c>
      <c r="G490" s="153">
        <v>40</v>
      </c>
      <c r="H490" s="244">
        <f>(F490*G490)</f>
        <v>5220</v>
      </c>
      <c r="I490" s="244">
        <v>35779.99</v>
      </c>
      <c r="J490" s="244">
        <f>H490+I490</f>
        <v>40999.99</v>
      </c>
      <c r="K490" s="247"/>
    </row>
    <row r="491" spans="1:11">
      <c r="A491" s="153"/>
      <c r="B491" s="755"/>
      <c r="C491" s="238"/>
      <c r="D491" s="247"/>
      <c r="E491" s="247"/>
      <c r="F491" s="247"/>
      <c r="G491" s="153"/>
      <c r="H491" s="244"/>
      <c r="I491" s="244"/>
      <c r="J491" s="244">
        <f>SUM(J488:J490)</f>
        <v>103519.98999999999</v>
      </c>
      <c r="K491" s="743">
        <f>(J486-J491)/J486</f>
        <v>1.7370926414294132E-2</v>
      </c>
    </row>
    <row r="492" spans="1:11" ht="26.25">
      <c r="A492" s="153">
        <v>22</v>
      </c>
      <c r="B492" s="821" t="s">
        <v>1871</v>
      </c>
      <c r="C492" s="238"/>
      <c r="D492" s="247"/>
      <c r="E492" s="247"/>
      <c r="F492" s="247"/>
      <c r="G492" s="153"/>
      <c r="H492" s="244"/>
      <c r="I492" s="244"/>
      <c r="J492" s="244"/>
      <c r="K492" s="247"/>
    </row>
    <row r="493" spans="1:11">
      <c r="A493" s="153">
        <v>1</v>
      </c>
      <c r="B493" s="238" t="s">
        <v>1791</v>
      </c>
      <c r="C493" s="14" t="s">
        <v>1792</v>
      </c>
      <c r="D493" s="247">
        <v>306491</v>
      </c>
      <c r="E493" s="247">
        <v>307021</v>
      </c>
      <c r="F493" s="247">
        <f>E493-D493</f>
        <v>530</v>
      </c>
      <c r="G493" s="153">
        <v>80</v>
      </c>
      <c r="H493" s="244">
        <f>(F493*G493)</f>
        <v>42400</v>
      </c>
      <c r="I493" s="244"/>
      <c r="J493" s="244">
        <f>H493+I493</f>
        <v>42400</v>
      </c>
      <c r="K493" s="247"/>
    </row>
    <row r="494" spans="1:11">
      <c r="A494" s="153"/>
      <c r="B494" s="238" t="s">
        <v>1872</v>
      </c>
      <c r="C494" s="14" t="s">
        <v>1792</v>
      </c>
      <c r="D494" s="247">
        <v>300714</v>
      </c>
      <c r="E494" s="247">
        <v>310860</v>
      </c>
      <c r="F494" s="247">
        <f>E494-D494</f>
        <v>10146</v>
      </c>
      <c r="G494" s="153">
        <v>80</v>
      </c>
      <c r="H494" s="244">
        <f>(F494*G494)</f>
        <v>811680</v>
      </c>
      <c r="I494" s="244"/>
      <c r="J494" s="244">
        <f>H494+I494</f>
        <v>811680</v>
      </c>
      <c r="K494" s="247"/>
    </row>
    <row r="495" spans="1:11">
      <c r="A495" s="153">
        <v>2</v>
      </c>
      <c r="B495" s="238" t="s">
        <v>1873</v>
      </c>
      <c r="C495" s="14" t="s">
        <v>1874</v>
      </c>
      <c r="D495" s="247">
        <v>735920</v>
      </c>
      <c r="E495" s="247">
        <v>774472</v>
      </c>
      <c r="F495" s="247">
        <f>E495-D495</f>
        <v>38552</v>
      </c>
      <c r="G495" s="153">
        <v>80</v>
      </c>
      <c r="H495" s="244">
        <f>(F495*G495)</f>
        <v>3084160</v>
      </c>
      <c r="I495" s="244"/>
      <c r="J495" s="244">
        <f>H495+I495</f>
        <v>3084160</v>
      </c>
      <c r="K495" s="247"/>
    </row>
    <row r="496" spans="1:11">
      <c r="A496" s="153"/>
      <c r="B496" s="734" t="s">
        <v>1736</v>
      </c>
      <c r="C496" s="14"/>
      <c r="D496" s="247"/>
      <c r="E496" s="247"/>
      <c r="F496" s="247"/>
      <c r="G496" s="153"/>
      <c r="H496" s="244"/>
      <c r="I496" s="244"/>
      <c r="J496" s="244">
        <v>1550000</v>
      </c>
      <c r="K496" s="247"/>
    </row>
    <row r="497" spans="1:11">
      <c r="A497" s="153"/>
      <c r="B497" s="734" t="s">
        <v>1363</v>
      </c>
      <c r="C497" s="14"/>
      <c r="D497" s="153"/>
      <c r="E497" s="153"/>
      <c r="F497" s="153"/>
      <c r="G497" s="247"/>
      <c r="H497" s="153"/>
      <c r="I497" s="244"/>
      <c r="J497" s="244">
        <f>(J493+J494+J496)</f>
        <v>2404080</v>
      </c>
      <c r="K497" s="153"/>
    </row>
    <row r="498" spans="1:11">
      <c r="A498" s="153"/>
      <c r="B498" s="733" t="s">
        <v>1767</v>
      </c>
      <c r="C498" s="14"/>
      <c r="D498" s="153"/>
      <c r="E498" s="153"/>
      <c r="F498" s="153"/>
      <c r="G498" s="247"/>
      <c r="H498" s="153"/>
      <c r="I498" s="244"/>
      <c r="J498" s="244"/>
      <c r="K498" s="244"/>
    </row>
    <row r="499" spans="1:11">
      <c r="A499" s="153">
        <v>87</v>
      </c>
      <c r="B499" s="734" t="s">
        <v>1797</v>
      </c>
      <c r="C499" s="14" t="s">
        <v>2122</v>
      </c>
      <c r="D499" s="247">
        <v>611039</v>
      </c>
      <c r="E499" s="247">
        <v>630609</v>
      </c>
      <c r="F499" s="247">
        <f>E499-D499</f>
        <v>19570</v>
      </c>
      <c r="G499" s="153">
        <v>40</v>
      </c>
      <c r="H499" s="244">
        <f>(F499*G499)</f>
        <v>782800</v>
      </c>
      <c r="I499" s="244"/>
      <c r="J499" s="244">
        <f>H499+I499</f>
        <v>782800</v>
      </c>
      <c r="K499" s="247"/>
    </row>
    <row r="500" spans="1:11">
      <c r="A500" s="153">
        <v>88</v>
      </c>
      <c r="B500" s="734" t="s">
        <v>1875</v>
      </c>
      <c r="C500" s="14" t="s">
        <v>1876</v>
      </c>
      <c r="D500" s="247">
        <v>154502.5</v>
      </c>
      <c r="E500" s="247">
        <v>160092.5</v>
      </c>
      <c r="F500" s="247">
        <f>E500-D500</f>
        <v>5590</v>
      </c>
      <c r="G500" s="153">
        <v>40</v>
      </c>
      <c r="H500" s="244">
        <f>(F500*G500)</f>
        <v>223600</v>
      </c>
      <c r="I500" s="244"/>
      <c r="J500" s="244">
        <f>H500+I500</f>
        <v>223600</v>
      </c>
      <c r="K500" s="809"/>
    </row>
    <row r="501" spans="1:11">
      <c r="A501" s="153">
        <v>89</v>
      </c>
      <c r="B501" s="734" t="s">
        <v>1877</v>
      </c>
      <c r="C501" s="14" t="s">
        <v>1878</v>
      </c>
      <c r="D501" s="247">
        <v>452272</v>
      </c>
      <c r="E501" s="247">
        <v>486424.5</v>
      </c>
      <c r="F501" s="247">
        <f>E501-D501</f>
        <v>34152.5</v>
      </c>
      <c r="G501" s="153">
        <v>40</v>
      </c>
      <c r="H501" s="244">
        <f>(F501*G501)</f>
        <v>1366100</v>
      </c>
      <c r="I501" s="244"/>
      <c r="J501" s="244">
        <f>H501+I501</f>
        <v>1366100</v>
      </c>
      <c r="K501" s="247"/>
    </row>
    <row r="502" spans="1:11">
      <c r="A502" s="153"/>
      <c r="B502" s="734" t="s">
        <v>1879</v>
      </c>
      <c r="C502" s="14" t="s">
        <v>1878</v>
      </c>
      <c r="D502" s="247">
        <v>1428.5</v>
      </c>
      <c r="E502" s="247">
        <v>1428.5</v>
      </c>
      <c r="F502" s="247">
        <f>E502-D502</f>
        <v>0</v>
      </c>
      <c r="G502" s="153">
        <v>40</v>
      </c>
      <c r="H502" s="244">
        <f>(F502*G502)</f>
        <v>0</v>
      </c>
      <c r="I502" s="244"/>
      <c r="J502" s="244">
        <f>H502+I502</f>
        <v>0</v>
      </c>
      <c r="K502" s="247"/>
    </row>
    <row r="503" spans="1:11">
      <c r="A503" s="153"/>
      <c r="B503" s="734"/>
      <c r="C503" s="238"/>
      <c r="D503" s="247"/>
      <c r="E503" s="247"/>
      <c r="F503" s="247"/>
      <c r="G503" s="153"/>
      <c r="H503" s="244"/>
      <c r="I503" s="244"/>
      <c r="J503" s="244">
        <f>SUM(J499:J502)</f>
        <v>2372500</v>
      </c>
      <c r="K503" s="743">
        <f>(J497-J503)/J497</f>
        <v>1.3136002129712821E-2</v>
      </c>
    </row>
    <row r="504" spans="1:11">
      <c r="A504" s="153"/>
      <c r="B504" s="734"/>
      <c r="C504" s="238"/>
      <c r="D504" s="247"/>
      <c r="E504" s="247"/>
      <c r="F504" s="247"/>
      <c r="G504" s="153"/>
      <c r="H504" s="244"/>
      <c r="I504" s="244"/>
      <c r="J504" s="244"/>
      <c r="K504" s="743"/>
    </row>
    <row r="505" spans="1:11">
      <c r="A505" s="153">
        <v>23</v>
      </c>
      <c r="B505" s="821" t="s">
        <v>1880</v>
      </c>
      <c r="C505" s="238"/>
      <c r="D505" s="247"/>
      <c r="E505" s="247"/>
      <c r="F505" s="247"/>
      <c r="G505" s="153"/>
      <c r="H505" s="244"/>
      <c r="I505" s="244"/>
      <c r="J505" s="244"/>
      <c r="K505" s="247"/>
    </row>
    <row r="506" spans="1:11">
      <c r="A506" s="153">
        <v>1</v>
      </c>
      <c r="B506" s="238" t="s">
        <v>1881</v>
      </c>
      <c r="C506" s="14">
        <v>9916389</v>
      </c>
      <c r="D506" s="247">
        <v>314.86599999999999</v>
      </c>
      <c r="E506" s="247">
        <v>314.86599999999999</v>
      </c>
      <c r="F506" s="247">
        <v>0</v>
      </c>
      <c r="G506" s="153">
        <v>120</v>
      </c>
      <c r="H506" s="244">
        <f>(F506*G506)</f>
        <v>0</v>
      </c>
      <c r="I506" s="244">
        <f>H507+I507</f>
        <v>1254479.9999999988</v>
      </c>
      <c r="J506" s="244">
        <f>H506+I506</f>
        <v>1254479.9999999988</v>
      </c>
      <c r="K506" s="247"/>
    </row>
    <row r="507" spans="1:11">
      <c r="A507" s="153"/>
      <c r="B507" s="238"/>
      <c r="C507" s="14" t="s">
        <v>1882</v>
      </c>
      <c r="D507" s="247">
        <v>18219.400000000001</v>
      </c>
      <c r="E507" s="247">
        <v>21355.599999999999</v>
      </c>
      <c r="F507" s="247">
        <f>E507-D507</f>
        <v>3136.1999999999971</v>
      </c>
      <c r="G507" s="153">
        <v>400</v>
      </c>
      <c r="H507" s="244">
        <f>(F507*G507)</f>
        <v>1254479.9999999988</v>
      </c>
      <c r="I507" s="244"/>
      <c r="J507" s="244"/>
      <c r="K507" s="247"/>
    </row>
    <row r="508" spans="1:11">
      <c r="A508" s="153"/>
      <c r="B508" s="734" t="s">
        <v>1363</v>
      </c>
      <c r="C508" s="14"/>
      <c r="D508" s="247"/>
      <c r="E508" s="247"/>
      <c r="F508" s="153"/>
      <c r="G508" s="247"/>
      <c r="H508" s="153"/>
      <c r="I508" s="244"/>
      <c r="J508" s="244">
        <f>SUM(J506)</f>
        <v>1254479.9999999988</v>
      </c>
      <c r="K508" s="153"/>
    </row>
    <row r="509" spans="1:11">
      <c r="A509" s="153"/>
      <c r="B509" s="733" t="s">
        <v>1767</v>
      </c>
      <c r="C509" s="14"/>
      <c r="D509" s="247"/>
      <c r="E509" s="247"/>
      <c r="F509" s="153"/>
      <c r="G509" s="247"/>
      <c r="H509" s="153"/>
      <c r="I509" s="244"/>
      <c r="J509" s="244"/>
      <c r="K509" s="153"/>
    </row>
    <row r="510" spans="1:11">
      <c r="A510" s="153">
        <v>90</v>
      </c>
      <c r="B510" s="734" t="s">
        <v>1883</v>
      </c>
      <c r="C510" s="14">
        <v>9916392</v>
      </c>
      <c r="D510" s="153">
        <v>9438.6659999999993</v>
      </c>
      <c r="E510" s="153">
        <v>9438.6659999999993</v>
      </c>
      <c r="F510" s="247">
        <f>E510-D510</f>
        <v>0</v>
      </c>
      <c r="G510" s="153">
        <v>40</v>
      </c>
      <c r="H510" s="244">
        <f>(F510*G510)</f>
        <v>0</v>
      </c>
      <c r="I510" s="244">
        <f>H511</f>
        <v>880637.79840000032</v>
      </c>
      <c r="J510" s="244">
        <f>H510+I510</f>
        <v>880637.79840000032</v>
      </c>
      <c r="K510" s="247"/>
    </row>
    <row r="511" spans="1:11">
      <c r="A511" s="153"/>
      <c r="B511" s="734" t="s">
        <v>1883</v>
      </c>
      <c r="C511" s="14" t="s">
        <v>1884</v>
      </c>
      <c r="D511" s="153">
        <v>65234.3</v>
      </c>
      <c r="E511" s="153">
        <v>71839.100000000006</v>
      </c>
      <c r="F511" s="247">
        <f>E511-D511</f>
        <v>6604.8000000000029</v>
      </c>
      <c r="G511" s="153">
        <v>133.333</v>
      </c>
      <c r="H511" s="244">
        <f>(F511*G511)</f>
        <v>880637.79840000032</v>
      </c>
      <c r="I511" s="244"/>
      <c r="J511" s="244"/>
      <c r="K511" s="247"/>
    </row>
    <row r="512" spans="1:11">
      <c r="A512" s="153">
        <v>91</v>
      </c>
      <c r="B512" s="734" t="s">
        <v>1885</v>
      </c>
      <c r="C512" s="14">
        <v>9916391</v>
      </c>
      <c r="D512" s="153">
        <v>1051.7</v>
      </c>
      <c r="E512" s="153">
        <v>1051.7</v>
      </c>
      <c r="F512" s="247">
        <f>E512-D512</f>
        <v>0</v>
      </c>
      <c r="G512" s="153">
        <v>40</v>
      </c>
      <c r="H512" s="244">
        <f>(F512*G512)</f>
        <v>0</v>
      </c>
      <c r="I512" s="244">
        <f>H513</f>
        <v>364172.42289999989</v>
      </c>
      <c r="J512" s="244">
        <f>H512+I512</f>
        <v>364172.42289999989</v>
      </c>
      <c r="K512" s="809"/>
    </row>
    <row r="513" spans="1:11">
      <c r="A513" s="153"/>
      <c r="B513" s="734" t="s">
        <v>1885</v>
      </c>
      <c r="C513" s="14" t="s">
        <v>1886</v>
      </c>
      <c r="D513" s="153">
        <v>4430.6000000000004</v>
      </c>
      <c r="E513" s="153">
        <v>7161.9</v>
      </c>
      <c r="F513" s="247">
        <f>E513-D513</f>
        <v>2731.2999999999993</v>
      </c>
      <c r="G513" s="153">
        <v>133.333</v>
      </c>
      <c r="H513" s="244">
        <f>(F513*G513)</f>
        <v>364172.42289999989</v>
      </c>
      <c r="I513" s="244"/>
      <c r="J513" s="244"/>
      <c r="K513" s="809"/>
    </row>
    <row r="514" spans="1:11">
      <c r="A514" s="153"/>
      <c r="B514" s="734"/>
      <c r="C514" s="238"/>
      <c r="D514" s="247"/>
      <c r="E514" s="247"/>
      <c r="F514" s="247"/>
      <c r="G514" s="153"/>
      <c r="H514" s="244"/>
      <c r="I514" s="244"/>
      <c r="J514" s="244">
        <f>SUM(J510+J512)</f>
        <v>1244810.2213000003</v>
      </c>
      <c r="K514" s="743">
        <f>(J508-J514)/J508</f>
        <v>7.7081967827295136E-3</v>
      </c>
    </row>
    <row r="515" spans="1:11">
      <c r="A515" s="95">
        <v>11</v>
      </c>
      <c r="B515" s="732" t="s">
        <v>1887</v>
      </c>
      <c r="C515" s="822"/>
      <c r="D515" s="261"/>
      <c r="E515" s="261"/>
      <c r="F515" s="153"/>
      <c r="G515" s="153"/>
      <c r="H515" s="153"/>
      <c r="I515" s="14"/>
      <c r="J515" s="244"/>
      <c r="K515" s="244"/>
    </row>
    <row r="516" spans="1:11">
      <c r="A516" s="153">
        <v>1</v>
      </c>
      <c r="B516" s="734" t="s">
        <v>1888</v>
      </c>
      <c r="C516" s="14" t="s">
        <v>1889</v>
      </c>
      <c r="D516" s="247">
        <v>114522</v>
      </c>
      <c r="E516" s="247">
        <v>128797</v>
      </c>
      <c r="F516" s="261">
        <f>E516-D516</f>
        <v>14275</v>
      </c>
      <c r="G516" s="153">
        <v>80</v>
      </c>
      <c r="H516" s="153">
        <f>F516*G516</f>
        <v>1142000</v>
      </c>
      <c r="I516" s="14"/>
      <c r="J516" s="244">
        <f>SUM(H516:I516)</f>
        <v>1142000</v>
      </c>
      <c r="K516" s="153"/>
    </row>
    <row r="517" spans="1:11">
      <c r="A517" s="153"/>
      <c r="B517" s="734"/>
      <c r="C517" s="14"/>
      <c r="D517" s="153"/>
      <c r="E517" s="153"/>
      <c r="F517" s="261"/>
      <c r="G517" s="153"/>
      <c r="H517" s="153"/>
      <c r="I517" s="14"/>
      <c r="J517" s="244">
        <f>SUM(J516:J516)</f>
        <v>1142000</v>
      </c>
      <c r="K517" s="153"/>
    </row>
    <row r="518" spans="1:11">
      <c r="A518" s="153"/>
      <c r="B518" s="733" t="s">
        <v>1767</v>
      </c>
      <c r="C518" s="14"/>
      <c r="D518" s="331"/>
      <c r="E518" s="331"/>
      <c r="F518" s="153"/>
      <c r="G518" s="153"/>
      <c r="H518" s="153"/>
      <c r="I518" s="14"/>
      <c r="J518" s="244"/>
      <c r="K518" s="244"/>
    </row>
    <row r="519" spans="1:11">
      <c r="A519" s="153">
        <v>92</v>
      </c>
      <c r="B519" s="734" t="s">
        <v>23</v>
      </c>
      <c r="C519" s="14" t="s">
        <v>1890</v>
      </c>
      <c r="D519" s="247">
        <v>70014</v>
      </c>
      <c r="E519" s="247">
        <v>76348</v>
      </c>
      <c r="F519" s="261">
        <f>E519-D519</f>
        <v>6334</v>
      </c>
      <c r="G519" s="153">
        <v>40</v>
      </c>
      <c r="H519" s="153">
        <f>F519*G519</f>
        <v>253360</v>
      </c>
      <c r="I519" s="14"/>
      <c r="J519" s="244">
        <f>SUM(H519:I519)</f>
        <v>253360</v>
      </c>
      <c r="K519" s="244"/>
    </row>
    <row r="520" spans="1:11">
      <c r="A520" s="153">
        <v>93</v>
      </c>
      <c r="B520" s="734" t="s">
        <v>1891</v>
      </c>
      <c r="C520" s="14" t="s">
        <v>1892</v>
      </c>
      <c r="D520" s="247">
        <v>26672.5</v>
      </c>
      <c r="E520" s="247">
        <v>28014</v>
      </c>
      <c r="F520" s="261">
        <f>E520-D520</f>
        <v>1341.5</v>
      </c>
      <c r="G520" s="153">
        <v>40</v>
      </c>
      <c r="H520" s="153">
        <f>F520*G520</f>
        <v>53660</v>
      </c>
      <c r="I520" s="14"/>
      <c r="J520" s="244">
        <f>SUM(H520:I520)</f>
        <v>53660</v>
      </c>
      <c r="K520" s="244"/>
    </row>
    <row r="521" spans="1:11">
      <c r="A521" s="153">
        <v>94</v>
      </c>
      <c r="B521" s="734" t="s">
        <v>1893</v>
      </c>
      <c r="C521" s="14" t="s">
        <v>1894</v>
      </c>
      <c r="D521" s="247">
        <v>127983</v>
      </c>
      <c r="E521" s="247">
        <v>148754.5</v>
      </c>
      <c r="F521" s="261">
        <f>E521-D521</f>
        <v>20771.5</v>
      </c>
      <c r="G521" s="153">
        <v>40</v>
      </c>
      <c r="H521" s="153">
        <f>F521*G521</f>
        <v>830860</v>
      </c>
      <c r="I521" s="14"/>
      <c r="J521" s="244">
        <f>SUM(H521:I521)</f>
        <v>830860</v>
      </c>
      <c r="K521" s="153"/>
    </row>
    <row r="522" spans="1:11">
      <c r="A522" s="153"/>
      <c r="B522" s="734"/>
      <c r="C522" s="734"/>
      <c r="D522" s="331"/>
      <c r="E522" s="331"/>
      <c r="F522" s="261"/>
      <c r="G522" s="153"/>
      <c r="H522" s="153"/>
      <c r="I522" s="14"/>
      <c r="J522" s="244">
        <f>J519+J520+J521</f>
        <v>1137880</v>
      </c>
      <c r="K522" s="743">
        <f>(J517-J522)/J517</f>
        <v>3.6077057793345007E-3</v>
      </c>
    </row>
    <row r="523" spans="1:11">
      <c r="A523" s="153" t="s">
        <v>1795</v>
      </c>
      <c r="B523" s="238" t="s">
        <v>1895</v>
      </c>
      <c r="C523" s="238" t="str">
        <f>C438</f>
        <v>MPC52681</v>
      </c>
      <c r="D523" s="247">
        <f t="shared" ref="D523:J523" si="29">D417</f>
        <v>1478.77</v>
      </c>
      <c r="E523" s="247">
        <f t="shared" si="29"/>
        <v>1481.47</v>
      </c>
      <c r="F523" s="247">
        <f t="shared" si="29"/>
        <v>2.7000000000000455</v>
      </c>
      <c r="G523" s="247">
        <f t="shared" si="29"/>
        <v>13333</v>
      </c>
      <c r="H523" s="247">
        <f t="shared" si="29"/>
        <v>35999.10000000061</v>
      </c>
      <c r="I523" s="247">
        <f t="shared" si="29"/>
        <v>0</v>
      </c>
      <c r="J523" s="20">
        <f t="shared" si="29"/>
        <v>35999.10000000061</v>
      </c>
      <c r="K523" s="247"/>
    </row>
    <row r="524" spans="1:11">
      <c r="A524" s="153"/>
      <c r="B524" s="734"/>
      <c r="C524" s="238"/>
      <c r="D524" s="247"/>
      <c r="E524" s="247"/>
      <c r="F524" s="247"/>
      <c r="G524" s="153"/>
      <c r="H524" s="244"/>
      <c r="I524" s="244"/>
      <c r="J524" s="244"/>
      <c r="K524" s="743"/>
    </row>
    <row r="525" spans="1:11">
      <c r="A525" s="153"/>
      <c r="B525" s="239" t="s">
        <v>1492</v>
      </c>
      <c r="C525" s="238"/>
      <c r="D525" s="778"/>
      <c r="E525" s="778"/>
      <c r="F525" s="247"/>
      <c r="G525" s="153"/>
      <c r="H525" s="153"/>
      <c r="I525" s="153"/>
      <c r="J525" s="349">
        <f>'SS INPUT'!J262+'SS INPUT'!J273+'SS INPUT'!J285+'SS INPUT'!J296+'SS INPUT'!J305+'SS INPUT'!J322+'SS INPUT'!J332+'SS INPUT'!J350+'SS INPUT'!J365+'SS INPUT'!J379+'SS INPUT'!J391+'SS INPUT'!J401+'SS INPUT'!J415+'SS INPUT'!J424+'SS INPUT'!J432+'SS INPUT'!J440+'SS INPUT'!J451+'SS INPUT'!J462+'SS INPUT'!J469+'SS INPUT'!J478+'SS INPUT'!J487+'SS INPUT'!J498+'SS INPUT'!J508+'SS INPUT'!J517</f>
        <v>52374211.00000006</v>
      </c>
      <c r="K525" s="738"/>
    </row>
    <row r="526" spans="1:11">
      <c r="A526" s="153"/>
      <c r="B526" s="239" t="s">
        <v>1493</v>
      </c>
      <c r="C526" s="239"/>
      <c r="D526" s="690"/>
      <c r="E526" s="690"/>
      <c r="F526" s="779"/>
      <c r="G526" s="95"/>
      <c r="H526" s="95"/>
      <c r="I526" s="349"/>
      <c r="J526" s="349">
        <f>J268+J279+J293+J302+J313+J329+J338+J360+J373+J387+J397+J407+J420+J428+J436+J445+J458+J465+J474+J482+J491+J503+J514+J522-J417</f>
        <v>75416810.435314342</v>
      </c>
      <c r="K526" s="780">
        <f>(J525-J526)/J525</f>
        <v>-0.43996079359198853</v>
      </c>
    </row>
    <row r="527" spans="1:11">
      <c r="A527" s="153"/>
      <c r="B527" s="239"/>
      <c r="C527" s="239"/>
      <c r="D527" s="690"/>
      <c r="E527" s="690"/>
      <c r="F527" s="779"/>
      <c r="G527" s="95"/>
      <c r="H527" s="95"/>
      <c r="I527" s="349"/>
      <c r="J527" s="349"/>
      <c r="K527" s="780"/>
    </row>
    <row r="528" spans="1:11" ht="18">
      <c r="A528" s="1041" t="s">
        <v>1896</v>
      </c>
      <c r="B528" s="1042"/>
      <c r="C528" s="1042"/>
      <c r="D528" s="1042"/>
      <c r="E528" s="1042"/>
      <c r="F528" s="1042"/>
      <c r="G528" s="1042"/>
      <c r="H528" s="1042"/>
      <c r="I528" s="1042"/>
      <c r="J528" s="1042"/>
      <c r="K528" s="1043"/>
    </row>
    <row r="529" spans="1:11">
      <c r="A529" s="161"/>
      <c r="B529" s="1056" t="s">
        <v>1350</v>
      </c>
      <c r="C529" s="1057"/>
      <c r="D529" s="1058"/>
      <c r="E529" s="1054" t="str">
        <f>D2</f>
        <v>OCT.2024</v>
      </c>
      <c r="F529" s="1061"/>
      <c r="G529" s="1055"/>
      <c r="H529" s="153"/>
      <c r="I529" s="153"/>
      <c r="J529" s="153" t="s">
        <v>1546</v>
      </c>
      <c r="K529" s="153"/>
    </row>
    <row r="530" spans="1:11" ht="25.5">
      <c r="A530" s="14" t="s">
        <v>345</v>
      </c>
      <c r="B530" s="725" t="s">
        <v>898</v>
      </c>
      <c r="C530" s="782" t="s">
        <v>1351</v>
      </c>
      <c r="D530" s="727"/>
      <c r="E530" s="727"/>
      <c r="F530" s="727" t="s">
        <v>1353</v>
      </c>
      <c r="G530" s="14" t="s">
        <v>135</v>
      </c>
      <c r="H530" s="14" t="s">
        <v>13</v>
      </c>
      <c r="I530" s="826" t="s">
        <v>1897</v>
      </c>
      <c r="J530" s="727" t="s">
        <v>1495</v>
      </c>
      <c r="K530" s="153" t="s">
        <v>1592</v>
      </c>
    </row>
    <row r="531" spans="1:11">
      <c r="A531" s="153"/>
      <c r="B531" s="238"/>
      <c r="C531" s="238"/>
      <c r="D531" s="331">
        <f>D255</f>
        <v>45412</v>
      </c>
      <c r="E531" s="331">
        <f>E255</f>
        <v>45443</v>
      </c>
      <c r="F531" s="153"/>
      <c r="G531" s="153"/>
      <c r="H531" s="153"/>
      <c r="I531" s="14"/>
      <c r="J531" s="731"/>
      <c r="K531" s="153"/>
    </row>
    <row r="532" spans="1:11">
      <c r="A532" s="95">
        <v>1</v>
      </c>
      <c r="B532" s="741" t="s">
        <v>1898</v>
      </c>
      <c r="C532" s="238"/>
      <c r="D532" s="153"/>
      <c r="E532" s="153"/>
      <c r="F532" s="153"/>
      <c r="G532" s="153"/>
      <c r="H532" s="153"/>
      <c r="I532" s="14"/>
      <c r="J532" s="153"/>
      <c r="K532" s="153"/>
    </row>
    <row r="533" spans="1:11">
      <c r="A533" s="153">
        <v>1</v>
      </c>
      <c r="B533" s="238" t="s">
        <v>1899</v>
      </c>
      <c r="C533" s="238" t="s">
        <v>1900</v>
      </c>
      <c r="D533" s="247">
        <v>2774.14</v>
      </c>
      <c r="E533" s="247">
        <v>2774.14</v>
      </c>
      <c r="F533" s="153">
        <f>E533-D533</f>
        <v>0</v>
      </c>
      <c r="G533" s="153">
        <v>80000</v>
      </c>
      <c r="H533" s="153">
        <f>F533*G533</f>
        <v>0</v>
      </c>
      <c r="I533" s="14"/>
      <c r="J533" s="244">
        <f>SUM(H533:I533)</f>
        <v>0</v>
      </c>
      <c r="K533" s="153"/>
    </row>
    <row r="534" spans="1:11">
      <c r="A534" s="153">
        <v>2</v>
      </c>
      <c r="B534" s="748" t="s">
        <v>1407</v>
      </c>
      <c r="C534" s="238" t="s">
        <v>1901</v>
      </c>
      <c r="D534" s="261">
        <v>72328</v>
      </c>
      <c r="E534" s="261">
        <v>72328</v>
      </c>
      <c r="F534" s="153">
        <f>E534-D534</f>
        <v>0</v>
      </c>
      <c r="G534" s="153">
        <v>4000</v>
      </c>
      <c r="H534" s="153">
        <f>F534*G534</f>
        <v>0</v>
      </c>
      <c r="I534" s="14"/>
      <c r="J534" s="244">
        <f>SUM(H534:I534)</f>
        <v>0</v>
      </c>
      <c r="K534" s="244"/>
    </row>
    <row r="535" spans="1:11">
      <c r="A535" s="153">
        <v>3</v>
      </c>
      <c r="B535" s="827" t="s">
        <v>1902</v>
      </c>
      <c r="C535" s="238"/>
      <c r="D535" s="247"/>
      <c r="E535" s="247"/>
      <c r="F535" s="153">
        <f>E535-D535</f>
        <v>0</v>
      </c>
      <c r="G535" s="153"/>
      <c r="H535" s="153"/>
      <c r="I535" s="14"/>
      <c r="J535" s="244">
        <v>2620000</v>
      </c>
      <c r="K535" s="153"/>
    </row>
    <row r="536" spans="1:11">
      <c r="A536" s="153"/>
      <c r="B536" s="827" t="s">
        <v>1903</v>
      </c>
      <c r="C536" s="238" t="s">
        <v>1900</v>
      </c>
      <c r="D536" s="247">
        <v>477.96</v>
      </c>
      <c r="E536" s="247">
        <v>501.89</v>
      </c>
      <c r="F536" s="153">
        <f>E536-D536</f>
        <v>23.930000000000007</v>
      </c>
      <c r="G536" s="153">
        <v>80000</v>
      </c>
      <c r="H536" s="153">
        <f>F536*G536</f>
        <v>1914400.0000000005</v>
      </c>
      <c r="I536" s="14"/>
      <c r="J536" s="244">
        <f>SUM(H536:I536)</f>
        <v>1914400.0000000005</v>
      </c>
      <c r="K536" s="153"/>
    </row>
    <row r="537" spans="1:11">
      <c r="A537" s="153"/>
      <c r="B537" s="748" t="s">
        <v>1407</v>
      </c>
      <c r="C537" s="238" t="s">
        <v>1901</v>
      </c>
      <c r="D537" s="261">
        <v>4828.5</v>
      </c>
      <c r="E537" s="261">
        <v>4846.3999999999996</v>
      </c>
      <c r="F537" s="153">
        <f>E537-D537</f>
        <v>17.899999999999636</v>
      </c>
      <c r="G537" s="153">
        <v>4000</v>
      </c>
      <c r="H537" s="153">
        <f>F537*G537</f>
        <v>71599.999999998545</v>
      </c>
      <c r="I537" s="14"/>
      <c r="J537" s="244">
        <f>SUM(H537:I537)</f>
        <v>71599.999999998545</v>
      </c>
      <c r="K537" s="153"/>
    </row>
    <row r="538" spans="1:11">
      <c r="A538" s="153"/>
      <c r="B538" s="238" t="s">
        <v>1363</v>
      </c>
      <c r="C538" s="238"/>
      <c r="D538" s="261"/>
      <c r="E538" s="261"/>
      <c r="F538" s="153"/>
      <c r="G538" s="153"/>
      <c r="H538" s="153"/>
      <c r="I538" s="14"/>
      <c r="J538" s="244">
        <f>(J535+J536+J537)</f>
        <v>4605999.9999999981</v>
      </c>
      <c r="K538" s="153"/>
    </row>
    <row r="539" spans="1:11">
      <c r="A539" s="153"/>
      <c r="B539" s="733" t="s">
        <v>1767</v>
      </c>
      <c r="C539" s="238"/>
      <c r="D539" s="261"/>
      <c r="E539" s="261"/>
      <c r="F539" s="261"/>
      <c r="G539" s="153"/>
      <c r="H539" s="153"/>
      <c r="I539" s="14"/>
      <c r="J539" s="244"/>
      <c r="K539" s="153"/>
    </row>
    <row r="540" spans="1:11">
      <c r="A540" s="153">
        <v>1</v>
      </c>
      <c r="B540" s="238" t="s">
        <v>1221</v>
      </c>
      <c r="C540" s="238" t="s">
        <v>1904</v>
      </c>
      <c r="D540" s="247">
        <v>9483.74</v>
      </c>
      <c r="E540" s="247">
        <v>9683.2800000000007</v>
      </c>
      <c r="F540" s="153">
        <f>E540-D540</f>
        <v>199.54000000000087</v>
      </c>
      <c r="G540" s="153">
        <v>6000</v>
      </c>
      <c r="H540" s="244">
        <f>F540*G540</f>
        <v>1197240.0000000051</v>
      </c>
      <c r="I540" s="14"/>
      <c r="J540" s="244">
        <f>SUM(H540:I540)</f>
        <v>1197240.0000000051</v>
      </c>
      <c r="K540" s="244"/>
    </row>
    <row r="541" spans="1:11">
      <c r="A541" s="153">
        <v>2</v>
      </c>
      <c r="B541" s="748" t="s">
        <v>1215</v>
      </c>
      <c r="C541" s="238" t="s">
        <v>1905</v>
      </c>
      <c r="D541" s="261">
        <v>1124059</v>
      </c>
      <c r="E541" s="261">
        <v>1152783.5</v>
      </c>
      <c r="F541" s="153">
        <f>E541-D541</f>
        <v>28724.5</v>
      </c>
      <c r="G541" s="153">
        <v>60</v>
      </c>
      <c r="H541" s="153">
        <f>F541*G541</f>
        <v>1723470</v>
      </c>
      <c r="I541" s="14"/>
      <c r="J541" s="244">
        <f>SUM(H541:I541)</f>
        <v>1723470</v>
      </c>
      <c r="K541" s="244"/>
    </row>
    <row r="542" spans="1:11">
      <c r="A542" s="153">
        <v>3</v>
      </c>
      <c r="B542" s="748" t="s">
        <v>1906</v>
      </c>
      <c r="C542" s="238" t="s">
        <v>1907</v>
      </c>
      <c r="D542" s="261">
        <v>72321.100000000006</v>
      </c>
      <c r="E542" s="261">
        <v>72556.600000000006</v>
      </c>
      <c r="F542" s="153">
        <f>E542-D542</f>
        <v>235.5</v>
      </c>
      <c r="G542" s="153">
        <v>2000</v>
      </c>
      <c r="H542" s="153">
        <f>F542*G542</f>
        <v>471000</v>
      </c>
      <c r="I542" s="14"/>
      <c r="J542" s="244">
        <f>SUM(H542:I542)</f>
        <v>471000</v>
      </c>
      <c r="K542" s="743"/>
    </row>
    <row r="543" spans="1:11">
      <c r="A543" s="153">
        <v>5</v>
      </c>
      <c r="B543" s="238" t="s">
        <v>1908</v>
      </c>
      <c r="C543" s="238" t="s">
        <v>1909</v>
      </c>
      <c r="D543" s="247">
        <v>1153.21</v>
      </c>
      <c r="E543" s="247">
        <v>1180.42</v>
      </c>
      <c r="F543" s="261">
        <f>E543-D543</f>
        <v>27.210000000000036</v>
      </c>
      <c r="G543" s="153">
        <v>6000</v>
      </c>
      <c r="H543" s="153">
        <f>F543*G543</f>
        <v>163260.00000000023</v>
      </c>
      <c r="I543" s="14"/>
      <c r="J543" s="244">
        <f>SUM(H543:I543)</f>
        <v>163260.00000000023</v>
      </c>
      <c r="K543" s="743"/>
    </row>
    <row r="544" spans="1:11">
      <c r="A544" s="153">
        <v>6</v>
      </c>
      <c r="B544" s="238" t="s">
        <v>1225</v>
      </c>
      <c r="C544" s="238" t="s">
        <v>1910</v>
      </c>
      <c r="D544" s="261">
        <v>441375.5</v>
      </c>
      <c r="E544" s="261">
        <v>458472</v>
      </c>
      <c r="F544" s="261">
        <f>E544-D544</f>
        <v>17096.5</v>
      </c>
      <c r="G544" s="153">
        <v>60</v>
      </c>
      <c r="H544" s="153">
        <f>F544*G544</f>
        <v>1025790</v>
      </c>
      <c r="I544" s="20"/>
      <c r="J544" s="244">
        <f>SUM(H544:I544)</f>
        <v>1025790</v>
      </c>
      <c r="K544" s="244"/>
    </row>
    <row r="545" spans="1:11">
      <c r="A545" s="153"/>
      <c r="B545" s="755"/>
      <c r="C545" s="238"/>
      <c r="D545" s="261"/>
      <c r="E545" s="261"/>
      <c r="F545" s="261"/>
      <c r="G545" s="153"/>
      <c r="H545" s="153"/>
      <c r="I545" s="244"/>
      <c r="J545" s="244">
        <f>SUM(J540:J544)</f>
        <v>4580760.0000000056</v>
      </c>
      <c r="K545" s="743">
        <f>(J538-J545)/J538</f>
        <v>5.4798089448529225E-3</v>
      </c>
    </row>
    <row r="546" spans="1:11">
      <c r="A546" s="95">
        <v>2</v>
      </c>
      <c r="B546" s="828" t="s">
        <v>1911</v>
      </c>
      <c r="C546" s="829"/>
      <c r="D546" s="261"/>
      <c r="E546" s="261"/>
      <c r="F546" s="261"/>
      <c r="G546" s="153"/>
      <c r="H546" s="153"/>
      <c r="I546" s="14"/>
      <c r="J546" s="244"/>
      <c r="K546" s="153"/>
    </row>
    <row r="547" spans="1:11">
      <c r="A547" s="153">
        <v>1</v>
      </c>
      <c r="B547" s="748" t="s">
        <v>1912</v>
      </c>
      <c r="C547" s="238" t="s">
        <v>1913</v>
      </c>
      <c r="D547" s="261">
        <v>456256.8</v>
      </c>
      <c r="E547" s="261">
        <v>456256.8</v>
      </c>
      <c r="F547" s="261">
        <f>(E547-D547)</f>
        <v>0</v>
      </c>
      <c r="G547" s="153">
        <v>2000</v>
      </c>
      <c r="H547" s="153">
        <f>F547*G547</f>
        <v>0</v>
      </c>
      <c r="I547" s="14">
        <v>3366000</v>
      </c>
      <c r="J547" s="244">
        <f>SUM(H547:I547)</f>
        <v>3366000</v>
      </c>
      <c r="K547" s="153"/>
    </row>
    <row r="548" spans="1:11">
      <c r="A548" s="153">
        <v>2</v>
      </c>
      <c r="B548" s="734" t="s">
        <v>1914</v>
      </c>
      <c r="C548" s="238" t="s">
        <v>1915</v>
      </c>
      <c r="D548" s="261">
        <v>289859.8</v>
      </c>
      <c r="E548" s="261">
        <v>293016</v>
      </c>
      <c r="F548" s="261">
        <f>(E548-D548)</f>
        <v>3156.2000000000116</v>
      </c>
      <c r="G548" s="153">
        <v>2000</v>
      </c>
      <c r="H548" s="153">
        <f>F548*G548</f>
        <v>6312400.0000000233</v>
      </c>
      <c r="I548" s="14"/>
      <c r="J548" s="244">
        <f>SUM(H548:I548)</f>
        <v>6312400.0000000233</v>
      </c>
      <c r="K548" s="244"/>
    </row>
    <row r="549" spans="1:11">
      <c r="A549" s="153">
        <v>2</v>
      </c>
      <c r="B549" s="734" t="s">
        <v>1914</v>
      </c>
      <c r="C549" s="238" t="s">
        <v>1915</v>
      </c>
      <c r="D549" s="261">
        <v>123</v>
      </c>
      <c r="E549" s="261">
        <v>129</v>
      </c>
      <c r="F549" s="261">
        <f>(E549-D549)</f>
        <v>6</v>
      </c>
      <c r="G549" s="153">
        <v>2000</v>
      </c>
      <c r="H549" s="153">
        <f>F549*G549</f>
        <v>12000</v>
      </c>
      <c r="I549" s="14"/>
      <c r="J549" s="244">
        <f>SUM(H549:I549)</f>
        <v>12000</v>
      </c>
      <c r="K549" s="244"/>
    </row>
    <row r="550" spans="1:11">
      <c r="A550" s="153">
        <v>3</v>
      </c>
      <c r="B550" s="734" t="s">
        <v>1916</v>
      </c>
      <c r="C550" s="238">
        <v>3300084</v>
      </c>
      <c r="D550" s="261">
        <v>139538.4</v>
      </c>
      <c r="E550" s="261">
        <v>139538.4</v>
      </c>
      <c r="F550" s="261">
        <f>(E550-D550)</f>
        <v>0</v>
      </c>
      <c r="G550" s="153">
        <v>80</v>
      </c>
      <c r="H550" s="153">
        <f>F550*G550</f>
        <v>0</v>
      </c>
      <c r="I550" s="14"/>
      <c r="J550" s="244">
        <f>SUM(H550:I550)</f>
        <v>0</v>
      </c>
      <c r="K550" s="244" t="s">
        <v>15</v>
      </c>
    </row>
    <row r="551" spans="1:11">
      <c r="A551" s="153">
        <v>4</v>
      </c>
      <c r="B551" s="734" t="s">
        <v>1917</v>
      </c>
      <c r="C551" s="238">
        <v>3300084</v>
      </c>
      <c r="D551" s="261"/>
      <c r="E551" s="261"/>
      <c r="F551" s="261"/>
      <c r="G551" s="153"/>
      <c r="H551" s="153"/>
      <c r="I551" s="14"/>
      <c r="J551" s="244">
        <f>J550</f>
        <v>0</v>
      </c>
      <c r="K551" s="244"/>
    </row>
    <row r="552" spans="1:11">
      <c r="A552" s="153"/>
      <c r="B552" s="238"/>
      <c r="C552" s="238"/>
      <c r="D552" s="261"/>
      <c r="E552" s="261"/>
      <c r="F552" s="153"/>
      <c r="G552" s="153"/>
      <c r="H552" s="153"/>
      <c r="I552" s="14"/>
      <c r="J552" s="244">
        <f>SUM(J547+J548+J550-J551)</f>
        <v>9678400.0000000224</v>
      </c>
      <c r="K552" s="153"/>
    </row>
    <row r="553" spans="1:11">
      <c r="A553" s="153"/>
      <c r="B553" s="238" t="s">
        <v>1522</v>
      </c>
      <c r="C553" s="238"/>
      <c r="D553" s="261"/>
      <c r="E553" s="261"/>
      <c r="F553" s="153"/>
      <c r="G553" s="153"/>
      <c r="H553" s="153"/>
      <c r="I553" s="14"/>
      <c r="J553" s="244"/>
      <c r="K553" s="153"/>
    </row>
    <row r="554" spans="1:11">
      <c r="A554" s="153">
        <v>7</v>
      </c>
      <c r="B554" s="748" t="s">
        <v>1918</v>
      </c>
      <c r="C554" s="238" t="s">
        <v>1919</v>
      </c>
      <c r="D554" s="261">
        <v>124099.8</v>
      </c>
      <c r="E554" s="261">
        <v>124561.3</v>
      </c>
      <c r="F554" s="261">
        <f t="shared" ref="F554:F560" si="30">(E554-D554)</f>
        <v>461.5</v>
      </c>
      <c r="G554" s="153">
        <v>2000</v>
      </c>
      <c r="H554" s="153">
        <f t="shared" ref="H554:H560" si="31">F554*G554</f>
        <v>923000</v>
      </c>
      <c r="I554" s="14"/>
      <c r="J554" s="244">
        <f t="shared" ref="J554:J561" si="32">SUM(H554:I554)</f>
        <v>923000</v>
      </c>
      <c r="K554" s="244"/>
    </row>
    <row r="555" spans="1:11">
      <c r="A555" s="153">
        <v>8</v>
      </c>
      <c r="B555" s="748" t="s">
        <v>1920</v>
      </c>
      <c r="C555" s="238" t="s">
        <v>1921</v>
      </c>
      <c r="D555" s="261">
        <v>134362.79999999999</v>
      </c>
      <c r="E555" s="261">
        <v>135337.29999999999</v>
      </c>
      <c r="F555" s="153">
        <f t="shared" si="30"/>
        <v>974.5</v>
      </c>
      <c r="G555" s="153">
        <v>2000</v>
      </c>
      <c r="H555" s="153">
        <f t="shared" si="31"/>
        <v>1949000</v>
      </c>
      <c r="I555" s="14"/>
      <c r="J555" s="244">
        <f t="shared" si="32"/>
        <v>1949000</v>
      </c>
      <c r="K555" s="244"/>
    </row>
    <row r="556" spans="1:11">
      <c r="A556" s="153">
        <v>9</v>
      </c>
      <c r="B556" s="748" t="s">
        <v>1922</v>
      </c>
      <c r="C556" s="238" t="s">
        <v>1923</v>
      </c>
      <c r="D556" s="261">
        <v>3001.2</v>
      </c>
      <c r="E556" s="261">
        <v>3087.7</v>
      </c>
      <c r="F556" s="153">
        <f t="shared" si="30"/>
        <v>86.5</v>
      </c>
      <c r="G556" s="153">
        <v>2000</v>
      </c>
      <c r="H556" s="153">
        <f t="shared" si="31"/>
        <v>173000</v>
      </c>
      <c r="I556" s="14"/>
      <c r="J556" s="244">
        <f t="shared" si="32"/>
        <v>173000</v>
      </c>
      <c r="K556" s="743"/>
    </row>
    <row r="557" spans="1:11">
      <c r="A557" s="153">
        <v>9</v>
      </c>
      <c r="B557" s="748" t="s">
        <v>1924</v>
      </c>
      <c r="C557" s="238" t="s">
        <v>1923</v>
      </c>
      <c r="D557" s="261">
        <v>29164.3</v>
      </c>
      <c r="E557" s="261">
        <v>29164.3</v>
      </c>
      <c r="F557" s="153">
        <f t="shared" si="30"/>
        <v>0</v>
      </c>
      <c r="G557" s="153">
        <v>2000</v>
      </c>
      <c r="H557" s="153">
        <f t="shared" si="31"/>
        <v>0</v>
      </c>
      <c r="I557" s="14">
        <v>1498480.47</v>
      </c>
      <c r="J557" s="244">
        <f t="shared" si="32"/>
        <v>1498480.47</v>
      </c>
      <c r="K557" s="743"/>
    </row>
    <row r="558" spans="1:11">
      <c r="A558" s="153">
        <v>10</v>
      </c>
      <c r="B558" s="238" t="s">
        <v>1925</v>
      </c>
      <c r="C558" s="238" t="s">
        <v>1926</v>
      </c>
      <c r="D558" s="247">
        <v>2535.69</v>
      </c>
      <c r="E558" s="247">
        <v>2652.05</v>
      </c>
      <c r="F558" s="153">
        <f t="shared" si="30"/>
        <v>116.36000000000013</v>
      </c>
      <c r="G558" s="153">
        <v>6000</v>
      </c>
      <c r="H558" s="153">
        <f t="shared" si="31"/>
        <v>698160.00000000081</v>
      </c>
      <c r="I558" s="20"/>
      <c r="J558" s="244">
        <f t="shared" si="32"/>
        <v>698160.00000000081</v>
      </c>
      <c r="K558" s="153"/>
    </row>
    <row r="559" spans="1:11">
      <c r="A559" s="153">
        <v>11</v>
      </c>
      <c r="B559" s="830" t="s">
        <v>1927</v>
      </c>
      <c r="C559" s="238" t="s">
        <v>1928</v>
      </c>
      <c r="D559" s="261">
        <v>300812</v>
      </c>
      <c r="E559" s="261">
        <v>322091.5</v>
      </c>
      <c r="F559" s="153">
        <f t="shared" si="30"/>
        <v>21279.5</v>
      </c>
      <c r="G559" s="153">
        <v>60</v>
      </c>
      <c r="H559" s="244">
        <f t="shared" si="31"/>
        <v>1276770</v>
      </c>
      <c r="I559" s="20"/>
      <c r="J559" s="244">
        <f t="shared" si="32"/>
        <v>1276770</v>
      </c>
      <c r="K559" s="750"/>
    </row>
    <row r="560" spans="1:11">
      <c r="A560" s="153">
        <v>12</v>
      </c>
      <c r="B560" s="238" t="s">
        <v>1929</v>
      </c>
      <c r="C560" s="238" t="s">
        <v>1930</v>
      </c>
      <c r="D560" s="261">
        <v>97541.2</v>
      </c>
      <c r="E560" s="261">
        <v>106782.6</v>
      </c>
      <c r="F560" s="261">
        <f t="shared" si="30"/>
        <v>9241.4000000000087</v>
      </c>
      <c r="G560" s="153">
        <v>200</v>
      </c>
      <c r="H560" s="153">
        <f t="shared" si="31"/>
        <v>1848280.0000000019</v>
      </c>
      <c r="I560" s="20"/>
      <c r="J560" s="244">
        <f t="shared" si="32"/>
        <v>1848280.0000000019</v>
      </c>
      <c r="K560" s="831"/>
    </row>
    <row r="561" spans="1:11">
      <c r="A561" s="153">
        <v>13</v>
      </c>
      <c r="B561" s="238" t="s">
        <v>1931</v>
      </c>
      <c r="C561" s="238"/>
      <c r="D561" s="261"/>
      <c r="E561" s="261"/>
      <c r="F561" s="261"/>
      <c r="G561" s="153"/>
      <c r="H561" s="244">
        <v>1253949.5992320001</v>
      </c>
      <c r="I561" s="20"/>
      <c r="J561" s="244">
        <f t="shared" si="32"/>
        <v>1253949.5992320001</v>
      </c>
      <c r="K561" s="831"/>
    </row>
    <row r="562" spans="1:11">
      <c r="A562" s="153"/>
      <c r="B562" s="238"/>
      <c r="C562" s="238"/>
      <c r="D562" s="261"/>
      <c r="E562" s="261"/>
      <c r="F562" s="153"/>
      <c r="G562" s="153"/>
      <c r="H562" s="244"/>
      <c r="I562" s="14"/>
      <c r="J562" s="244">
        <f>SUM(J554:J561)</f>
        <v>9620640.0692320019</v>
      </c>
      <c r="K562" s="743">
        <f>(J552-J562)/J552</f>
        <v>5.9679214299905269E-3</v>
      </c>
    </row>
    <row r="563" spans="1:11">
      <c r="A563" s="95">
        <v>3</v>
      </c>
      <c r="B563" s="741" t="s">
        <v>1932</v>
      </c>
      <c r="C563" s="238"/>
      <c r="D563" s="261"/>
      <c r="E563" s="261"/>
      <c r="F563" s="153"/>
      <c r="G563" s="153"/>
      <c r="H563" s="153"/>
      <c r="I563" s="14"/>
      <c r="J563" s="244"/>
      <c r="K563" s="153"/>
    </row>
    <row r="564" spans="1:11">
      <c r="A564" s="153">
        <v>1</v>
      </c>
      <c r="B564" s="238" t="s">
        <v>1914</v>
      </c>
      <c r="C564" s="238" t="s">
        <v>1933</v>
      </c>
      <c r="D564" s="261">
        <v>155105.20000000001</v>
      </c>
      <c r="E564" s="261">
        <v>155992.5</v>
      </c>
      <c r="F564" s="261">
        <f>E564-D564</f>
        <v>887.29999999998836</v>
      </c>
      <c r="G564" s="153">
        <v>2000</v>
      </c>
      <c r="H564" s="153">
        <f>F564*G564</f>
        <v>1774599.9999999767</v>
      </c>
      <c r="I564" s="14"/>
      <c r="J564" s="244">
        <f>SUM(H564:I564)</f>
        <v>1774599.9999999767</v>
      </c>
      <c r="K564" s="153"/>
    </row>
    <row r="565" spans="1:11">
      <c r="A565" s="153">
        <v>2</v>
      </c>
      <c r="B565" s="238" t="s">
        <v>1912</v>
      </c>
      <c r="C565" s="238" t="s">
        <v>1934</v>
      </c>
      <c r="D565" s="261"/>
      <c r="E565" s="261"/>
      <c r="F565" s="261"/>
      <c r="G565" s="153">
        <v>2000</v>
      </c>
      <c r="H565" s="153">
        <f>F565*G565</f>
        <v>0</v>
      </c>
      <c r="I565" s="14"/>
      <c r="J565" s="244">
        <f>SUM(H565:I565)</f>
        <v>0</v>
      </c>
      <c r="K565" s="153"/>
    </row>
    <row r="566" spans="1:11">
      <c r="A566" s="153"/>
      <c r="B566" s="238"/>
      <c r="C566" s="238"/>
      <c r="D566" s="261"/>
      <c r="E566" s="261"/>
      <c r="F566" s="153"/>
      <c r="G566" s="153"/>
      <c r="H566" s="153"/>
      <c r="I566" s="14"/>
      <c r="J566" s="244">
        <f>SUM(J564:J565)</f>
        <v>1774599.9999999767</v>
      </c>
      <c r="K566" s="153"/>
    </row>
    <row r="567" spans="1:11">
      <c r="A567" s="153"/>
      <c r="B567" s="733" t="s">
        <v>1767</v>
      </c>
      <c r="C567" s="238"/>
      <c r="D567" s="261"/>
      <c r="E567" s="261"/>
      <c r="F567" s="153"/>
      <c r="G567" s="153"/>
      <c r="H567" s="153"/>
      <c r="I567" s="14"/>
      <c r="J567" s="244"/>
      <c r="K567" s="153"/>
    </row>
    <row r="568" spans="1:11">
      <c r="A568" s="153">
        <v>13</v>
      </c>
      <c r="B568" s="734" t="s">
        <v>1935</v>
      </c>
      <c r="C568" s="238" t="s">
        <v>1936</v>
      </c>
      <c r="D568" s="261">
        <v>47226.9</v>
      </c>
      <c r="E568" s="261">
        <v>47450</v>
      </c>
      <c r="F568" s="261">
        <f>E568-D568</f>
        <v>223.09999999999854</v>
      </c>
      <c r="G568" s="153">
        <v>2000</v>
      </c>
      <c r="H568" s="153">
        <f>F568*G568</f>
        <v>446199.99999999709</v>
      </c>
      <c r="I568" s="14"/>
      <c r="J568" s="244">
        <f>SUM(H568:I568)</f>
        <v>446199.99999999709</v>
      </c>
      <c r="K568" s="153"/>
    </row>
    <row r="569" spans="1:11">
      <c r="A569" s="153">
        <v>14</v>
      </c>
      <c r="B569" s="734" t="s">
        <v>1937</v>
      </c>
      <c r="C569" s="238" t="s">
        <v>1938</v>
      </c>
      <c r="D569" s="261">
        <v>59610.3</v>
      </c>
      <c r="E569" s="261">
        <v>59948.6</v>
      </c>
      <c r="F569" s="261">
        <f>E569-D569</f>
        <v>338.29999999999563</v>
      </c>
      <c r="G569" s="153">
        <v>2000</v>
      </c>
      <c r="H569" s="153">
        <f>F569*G569</f>
        <v>676599.99999999127</v>
      </c>
      <c r="I569" s="14"/>
      <c r="J569" s="244">
        <f>SUM(H569:I569)</f>
        <v>676599.99999999127</v>
      </c>
      <c r="K569" s="153"/>
    </row>
    <row r="570" spans="1:11">
      <c r="A570" s="153">
        <v>15</v>
      </c>
      <c r="B570" s="734" t="s">
        <v>1939</v>
      </c>
      <c r="C570" s="238" t="s">
        <v>1940</v>
      </c>
      <c r="D570" s="261">
        <v>82280.5</v>
      </c>
      <c r="E570" s="261">
        <v>82596.7</v>
      </c>
      <c r="F570" s="261">
        <f>E570-D570</f>
        <v>316.19999999999709</v>
      </c>
      <c r="G570" s="153">
        <v>2000</v>
      </c>
      <c r="H570" s="153">
        <f>F570*G570</f>
        <v>632399.99999999418</v>
      </c>
      <c r="I570" s="14"/>
      <c r="J570" s="244">
        <f>SUM(H570:I570)</f>
        <v>632399.99999999418</v>
      </c>
      <c r="K570" s="153"/>
    </row>
    <row r="571" spans="1:11">
      <c r="A571" s="153"/>
      <c r="B571" s="238"/>
      <c r="C571" s="238"/>
      <c r="D571" s="261"/>
      <c r="E571" s="261"/>
      <c r="F571" s="261"/>
      <c r="G571" s="153"/>
      <c r="H571" s="153"/>
      <c r="I571" s="14"/>
      <c r="J571" s="244">
        <f>J568+J569+J570</f>
        <v>1755199.9999999825</v>
      </c>
      <c r="K571" s="743">
        <f>(J566-J571)/J566</f>
        <v>1.0932041023326065E-2</v>
      </c>
    </row>
    <row r="572" spans="1:11">
      <c r="A572" s="95">
        <v>4</v>
      </c>
      <c r="B572" s="741" t="s">
        <v>1941</v>
      </c>
      <c r="C572" s="238"/>
      <c r="D572" s="261"/>
      <c r="E572" s="261"/>
      <c r="F572" s="261"/>
      <c r="G572" s="153"/>
      <c r="H572" s="153"/>
      <c r="I572" s="14"/>
      <c r="J572" s="244"/>
      <c r="K572" s="153"/>
    </row>
    <row r="573" spans="1:11">
      <c r="A573" s="153">
        <v>1</v>
      </c>
      <c r="B573" s="832" t="s">
        <v>1942</v>
      </c>
      <c r="C573" s="238" t="s">
        <v>1943</v>
      </c>
      <c r="D573" s="261">
        <v>461298.3</v>
      </c>
      <c r="E573" s="261">
        <v>461298.3</v>
      </c>
      <c r="F573" s="261">
        <f>E573-D573</f>
        <v>0</v>
      </c>
      <c r="G573" s="153">
        <v>2000</v>
      </c>
      <c r="H573" s="153">
        <f>F573*G573</f>
        <v>0</v>
      </c>
      <c r="I573" s="20">
        <v>3207300</v>
      </c>
      <c r="J573" s="769">
        <f>SUM(H573:I573)</f>
        <v>3207300</v>
      </c>
      <c r="K573" s="153"/>
    </row>
    <row r="574" spans="1:11">
      <c r="A574" s="153">
        <v>2</v>
      </c>
      <c r="B574" s="238" t="s">
        <v>1944</v>
      </c>
      <c r="C574" s="238">
        <v>3743640</v>
      </c>
      <c r="D574" s="261">
        <v>509666.8</v>
      </c>
      <c r="E574" s="261">
        <v>593746</v>
      </c>
      <c r="F574" s="261">
        <f>E574-D574</f>
        <v>84079.200000000012</v>
      </c>
      <c r="G574" s="153">
        <v>80</v>
      </c>
      <c r="H574" s="153">
        <f>F574*G574</f>
        <v>6726336.0000000009</v>
      </c>
      <c r="I574" s="14"/>
      <c r="J574" s="244">
        <f>SUM(H574:I574)</f>
        <v>6726336.0000000009</v>
      </c>
      <c r="K574" s="153"/>
    </row>
    <row r="575" spans="1:11">
      <c r="A575" s="153">
        <v>1</v>
      </c>
      <c r="B575" s="814" t="s">
        <v>1942</v>
      </c>
      <c r="C575" s="238" t="s">
        <v>1943</v>
      </c>
      <c r="D575" s="261">
        <v>196</v>
      </c>
      <c r="E575" s="261">
        <v>196</v>
      </c>
      <c r="F575" s="261">
        <f>E575-D575</f>
        <v>0</v>
      </c>
      <c r="G575" s="153">
        <v>2000</v>
      </c>
      <c r="H575" s="153">
        <f>F575*G575</f>
        <v>0</v>
      </c>
      <c r="I575" s="20"/>
      <c r="J575" s="244">
        <f>SUM(H575:I575)</f>
        <v>0</v>
      </c>
      <c r="K575" s="153"/>
    </row>
    <row r="576" spans="1:11">
      <c r="A576" s="153"/>
      <c r="B576" s="238"/>
      <c r="C576" s="238"/>
      <c r="D576" s="261"/>
      <c r="E576" s="261"/>
      <c r="F576" s="261"/>
      <c r="G576" s="153"/>
      <c r="H576" s="153"/>
      <c r="I576" s="14"/>
      <c r="J576" s="244">
        <f>SUM(J573+J574)-J575</f>
        <v>9933636</v>
      </c>
      <c r="K576" s="153"/>
    </row>
    <row r="577" spans="1:11">
      <c r="A577" s="153"/>
      <c r="B577" s="733" t="s">
        <v>1767</v>
      </c>
      <c r="C577" s="238"/>
      <c r="D577" s="261"/>
      <c r="E577" s="261"/>
      <c r="F577" s="153"/>
      <c r="G577" s="153"/>
      <c r="H577" s="153"/>
      <c r="I577" s="14"/>
      <c r="J577" s="244"/>
      <c r="K577" s="153"/>
    </row>
    <row r="578" spans="1:11">
      <c r="A578" s="153">
        <v>16</v>
      </c>
      <c r="B578" s="748" t="s">
        <v>1945</v>
      </c>
      <c r="C578" s="238" t="s">
        <v>1946</v>
      </c>
      <c r="D578" s="261">
        <v>193392.9</v>
      </c>
      <c r="E578" s="261">
        <v>193874.1</v>
      </c>
      <c r="F578" s="261">
        <f t="shared" ref="F578:F587" si="33">E578-D578</f>
        <v>481.20000000001164</v>
      </c>
      <c r="G578" s="153">
        <v>2000</v>
      </c>
      <c r="H578" s="153">
        <f t="shared" ref="H578:H587" si="34">F578*G578</f>
        <v>962400.00000002328</v>
      </c>
      <c r="I578" s="14"/>
      <c r="J578" s="769">
        <f t="shared" ref="J578:J587" si="35">SUM(H578:I578)</f>
        <v>962400.00000002328</v>
      </c>
      <c r="K578" s="153"/>
    </row>
    <row r="579" spans="1:11">
      <c r="A579" s="153">
        <v>17</v>
      </c>
      <c r="B579" s="238" t="s">
        <v>1947</v>
      </c>
      <c r="C579" s="238" t="s">
        <v>2727</v>
      </c>
      <c r="D579" s="261">
        <v>1688.3</v>
      </c>
      <c r="E579" s="261">
        <v>1688.3</v>
      </c>
      <c r="F579" s="261">
        <f t="shared" si="33"/>
        <v>0</v>
      </c>
      <c r="G579" s="153">
        <v>6000</v>
      </c>
      <c r="H579" s="244">
        <f t="shared" si="34"/>
        <v>0</v>
      </c>
      <c r="I579" s="20">
        <v>2006639.65</v>
      </c>
      <c r="J579" s="244">
        <f t="shared" si="35"/>
        <v>2006639.65</v>
      </c>
      <c r="K579" s="153"/>
    </row>
    <row r="580" spans="1:11">
      <c r="A580" s="153">
        <v>18</v>
      </c>
      <c r="B580" s="238" t="s">
        <v>220</v>
      </c>
      <c r="C580" s="238" t="s">
        <v>1949</v>
      </c>
      <c r="D580" s="247">
        <v>3471.24</v>
      </c>
      <c r="E580" s="247">
        <v>3523.73</v>
      </c>
      <c r="F580" s="261">
        <f t="shared" si="33"/>
        <v>52.490000000000236</v>
      </c>
      <c r="G580" s="153">
        <v>20000</v>
      </c>
      <c r="H580" s="244">
        <f t="shared" si="34"/>
        <v>1049800.0000000047</v>
      </c>
      <c r="I580" s="1062"/>
      <c r="J580" s="244">
        <f t="shared" si="35"/>
        <v>1049800.0000000047</v>
      </c>
      <c r="K580" s="153"/>
    </row>
    <row r="581" spans="1:11">
      <c r="A581" s="153">
        <v>19</v>
      </c>
      <c r="B581" s="238" t="s">
        <v>1950</v>
      </c>
      <c r="C581" s="238" t="s">
        <v>1951</v>
      </c>
      <c r="D581" s="261">
        <v>81781.100000000006</v>
      </c>
      <c r="E581" s="261">
        <v>82219.899999999994</v>
      </c>
      <c r="F581" s="261">
        <f t="shared" si="33"/>
        <v>438.79999999998836</v>
      </c>
      <c r="G581" s="153">
        <v>2000</v>
      </c>
      <c r="H581" s="153">
        <f t="shared" si="34"/>
        <v>877599.99999997672</v>
      </c>
      <c r="I581" s="14"/>
      <c r="J581" s="244">
        <f t="shared" si="35"/>
        <v>877599.99999997672</v>
      </c>
      <c r="K581" s="153"/>
    </row>
    <row r="582" spans="1:11">
      <c r="A582" s="153">
        <v>20</v>
      </c>
      <c r="B582" s="238" t="s">
        <v>1230</v>
      </c>
      <c r="C582" s="238" t="s">
        <v>1952</v>
      </c>
      <c r="D582" s="261">
        <v>29295</v>
      </c>
      <c r="E582" s="261">
        <v>29390.400000000001</v>
      </c>
      <c r="F582" s="261">
        <f t="shared" si="33"/>
        <v>95.400000000001455</v>
      </c>
      <c r="G582" s="153">
        <v>2000</v>
      </c>
      <c r="H582" s="153">
        <f t="shared" si="34"/>
        <v>190800.00000000291</v>
      </c>
      <c r="I582" s="14"/>
      <c r="J582" s="244">
        <f t="shared" si="35"/>
        <v>190800.00000000291</v>
      </c>
      <c r="K582" s="244"/>
    </row>
    <row r="583" spans="1:11">
      <c r="A583" s="153">
        <v>21</v>
      </c>
      <c r="B583" s="238" t="s">
        <v>1953</v>
      </c>
      <c r="C583" s="238" t="s">
        <v>1954</v>
      </c>
      <c r="D583" s="247">
        <v>3305.02</v>
      </c>
      <c r="E583" s="247">
        <v>3351.57</v>
      </c>
      <c r="F583" s="261">
        <f t="shared" si="33"/>
        <v>46.550000000000182</v>
      </c>
      <c r="G583" s="153">
        <v>4000</v>
      </c>
      <c r="H583" s="153">
        <f t="shared" si="34"/>
        <v>186200.00000000073</v>
      </c>
      <c r="I583" s="20">
        <v>393280</v>
      </c>
      <c r="J583" s="244">
        <f t="shared" si="35"/>
        <v>579480.0000000007</v>
      </c>
      <c r="K583" s="153"/>
    </row>
    <row r="584" spans="1:11">
      <c r="A584" s="153">
        <v>22</v>
      </c>
      <c r="B584" s="238" t="s">
        <v>1955</v>
      </c>
      <c r="C584" s="238" t="s">
        <v>1956</v>
      </c>
      <c r="D584" s="247">
        <v>766.1</v>
      </c>
      <c r="E584" s="247">
        <v>963.8</v>
      </c>
      <c r="F584" s="261">
        <f t="shared" si="33"/>
        <v>197.69999999999993</v>
      </c>
      <c r="G584" s="153">
        <v>4000</v>
      </c>
      <c r="H584" s="153">
        <f t="shared" si="34"/>
        <v>790799.99999999977</v>
      </c>
      <c r="I584" s="20">
        <v>980400.02</v>
      </c>
      <c r="J584" s="244">
        <f t="shared" si="35"/>
        <v>1771200.0199999998</v>
      </c>
      <c r="K584" s="153"/>
    </row>
    <row r="585" spans="1:11">
      <c r="A585" s="153">
        <v>23</v>
      </c>
      <c r="B585" s="238" t="s">
        <v>1957</v>
      </c>
      <c r="C585" s="238" t="s">
        <v>1958</v>
      </c>
      <c r="D585" s="833">
        <v>1860.2260000000001</v>
      </c>
      <c r="E585" s="833">
        <v>1876.6120000000001</v>
      </c>
      <c r="F585" s="833">
        <f t="shared" si="33"/>
        <v>16.385999999999967</v>
      </c>
      <c r="G585" s="153">
        <v>60000</v>
      </c>
      <c r="H585" s="153">
        <f t="shared" si="34"/>
        <v>983159.99999999802</v>
      </c>
      <c r="I585" s="20"/>
      <c r="J585" s="244">
        <f t="shared" si="35"/>
        <v>983159.99999999802</v>
      </c>
      <c r="K585" s="153"/>
    </row>
    <row r="586" spans="1:11">
      <c r="A586" s="153">
        <v>24</v>
      </c>
      <c r="B586" s="734" t="s">
        <v>1959</v>
      </c>
      <c r="C586" s="238" t="s">
        <v>1960</v>
      </c>
      <c r="D586" s="247">
        <v>417.4</v>
      </c>
      <c r="E586" s="247">
        <v>454.94</v>
      </c>
      <c r="F586" s="261">
        <f t="shared" si="33"/>
        <v>37.54000000000002</v>
      </c>
      <c r="G586" s="153">
        <v>4000</v>
      </c>
      <c r="H586" s="153">
        <f t="shared" si="34"/>
        <v>150160.00000000009</v>
      </c>
      <c r="I586" s="14"/>
      <c r="J586" s="244">
        <f t="shared" si="35"/>
        <v>150160.00000000009</v>
      </c>
      <c r="K586" s="153"/>
    </row>
    <row r="587" spans="1:11">
      <c r="A587" s="153"/>
      <c r="B587" s="734" t="s">
        <v>1961</v>
      </c>
      <c r="C587" s="238" t="s">
        <v>1962</v>
      </c>
      <c r="D587" s="247">
        <v>148178.5</v>
      </c>
      <c r="E587" s="247">
        <v>148763.20000000001</v>
      </c>
      <c r="F587" s="261">
        <f t="shared" si="33"/>
        <v>584.70000000001164</v>
      </c>
      <c r="G587" s="153">
        <v>2000</v>
      </c>
      <c r="H587" s="153">
        <f t="shared" si="34"/>
        <v>1169400.0000000233</v>
      </c>
      <c r="I587" s="14"/>
      <c r="J587" s="244">
        <f t="shared" si="35"/>
        <v>1169400.0000000233</v>
      </c>
      <c r="K587" s="153"/>
    </row>
    <row r="588" spans="1:11">
      <c r="A588" s="153"/>
      <c r="B588" s="733"/>
      <c r="C588" s="238"/>
      <c r="D588" s="261"/>
      <c r="E588" s="261"/>
      <c r="F588" s="153"/>
      <c r="G588" s="247"/>
      <c r="H588" s="244"/>
      <c r="I588" s="20"/>
      <c r="J588" s="244">
        <f>SUM(J578:J587)</f>
        <v>9740639.6700000279</v>
      </c>
      <c r="K588" s="743">
        <f>(J576-J588)/J576</f>
        <v>1.9428568753674096E-2</v>
      </c>
    </row>
    <row r="589" spans="1:11">
      <c r="A589" s="95">
        <v>5</v>
      </c>
      <c r="B589" s="741" t="s">
        <v>1963</v>
      </c>
      <c r="C589" s="238"/>
      <c r="D589" s="261"/>
      <c r="E589" s="261"/>
      <c r="F589" s="153"/>
      <c r="G589" s="153"/>
      <c r="H589" s="153"/>
      <c r="I589" s="20"/>
      <c r="J589" s="153"/>
      <c r="K589" s="247"/>
    </row>
    <row r="590" spans="1:11">
      <c r="A590" s="153">
        <v>1</v>
      </c>
      <c r="B590" s="734" t="s">
        <v>1964</v>
      </c>
      <c r="C590" s="238" t="s">
        <v>1965</v>
      </c>
      <c r="D590" s="261">
        <v>136583.29999999999</v>
      </c>
      <c r="E590" s="261">
        <v>138917.5</v>
      </c>
      <c r="F590" s="261">
        <f>E590-D590</f>
        <v>2334.2000000000116</v>
      </c>
      <c r="G590" s="153">
        <v>2000</v>
      </c>
      <c r="H590" s="244">
        <f>F590*G590</f>
        <v>4668400.0000000233</v>
      </c>
      <c r="I590" s="14"/>
      <c r="J590" s="244">
        <f>SUM(H590:I590)</f>
        <v>4668400.0000000233</v>
      </c>
      <c r="K590" s="247"/>
    </row>
    <row r="591" spans="1:11">
      <c r="A591" s="153">
        <v>2</v>
      </c>
      <c r="B591" s="734" t="s">
        <v>1776</v>
      </c>
      <c r="C591" s="238" t="s">
        <v>1966</v>
      </c>
      <c r="D591" s="261">
        <v>151867.1</v>
      </c>
      <c r="E591" s="261">
        <v>151871.9</v>
      </c>
      <c r="F591" s="261">
        <f>E591-D591</f>
        <v>4.7999999999883585</v>
      </c>
      <c r="G591" s="153">
        <v>1500</v>
      </c>
      <c r="H591" s="153">
        <f>F591*G591</f>
        <v>7199.9999999825377</v>
      </c>
      <c r="I591" s="20"/>
      <c r="J591" s="244">
        <f>SUM(H591:I591)</f>
        <v>7199.9999999825377</v>
      </c>
      <c r="K591" s="247"/>
    </row>
    <row r="592" spans="1:11">
      <c r="A592" s="153">
        <v>2</v>
      </c>
      <c r="B592" s="734" t="s">
        <v>1776</v>
      </c>
      <c r="C592" s="238" t="s">
        <v>1966</v>
      </c>
      <c r="D592" s="261">
        <v>51</v>
      </c>
      <c r="E592" s="261">
        <v>51</v>
      </c>
      <c r="F592" s="261">
        <f>E592-D592</f>
        <v>0</v>
      </c>
      <c r="G592" s="153">
        <v>2000</v>
      </c>
      <c r="H592" s="153">
        <f>F592*G592</f>
        <v>0</v>
      </c>
      <c r="I592" s="14">
        <v>590000</v>
      </c>
      <c r="J592" s="244">
        <f>SUM(H592:I592)</f>
        <v>590000</v>
      </c>
      <c r="K592" s="247"/>
    </row>
    <row r="593" spans="1:11">
      <c r="A593" s="153"/>
      <c r="B593" s="734" t="s">
        <v>1363</v>
      </c>
      <c r="C593" s="238"/>
      <c r="D593" s="261"/>
      <c r="E593" s="261"/>
      <c r="F593" s="261"/>
      <c r="G593" s="153"/>
      <c r="H593" s="153"/>
      <c r="I593" s="14"/>
      <c r="J593" s="244">
        <f>J590+J591-J592</f>
        <v>4085600.0000000056</v>
      </c>
      <c r="K593" s="247"/>
    </row>
    <row r="594" spans="1:11">
      <c r="A594" s="153"/>
      <c r="B594" s="733" t="s">
        <v>1767</v>
      </c>
      <c r="C594" s="238"/>
      <c r="D594" s="261"/>
      <c r="E594" s="261"/>
      <c r="F594" s="261"/>
      <c r="G594" s="153"/>
      <c r="H594" s="261"/>
      <c r="I594" s="20"/>
      <c r="J594" s="244"/>
      <c r="K594" s="153"/>
    </row>
    <row r="595" spans="1:11">
      <c r="A595" s="153">
        <v>25</v>
      </c>
      <c r="B595" s="238" t="s">
        <v>1967</v>
      </c>
      <c r="C595" s="153" t="s">
        <v>1968</v>
      </c>
      <c r="D595" s="247">
        <v>5386.33</v>
      </c>
      <c r="E595" s="247">
        <v>5386.33</v>
      </c>
      <c r="F595" s="261">
        <f>E595-D595</f>
        <v>0</v>
      </c>
      <c r="G595" s="153">
        <v>12000</v>
      </c>
      <c r="H595" s="153">
        <f>F595*G595</f>
        <v>0</v>
      </c>
      <c r="I595" s="20">
        <v>90120.12</v>
      </c>
      <c r="J595" s="244">
        <f>SUM(H595:I595)</f>
        <v>90120.12</v>
      </c>
      <c r="K595" s="247"/>
    </row>
    <row r="596" spans="1:11">
      <c r="A596" s="153">
        <v>26</v>
      </c>
      <c r="B596" s="238" t="s">
        <v>1969</v>
      </c>
      <c r="C596" s="14" t="s">
        <v>1970</v>
      </c>
      <c r="D596" s="261">
        <v>661325</v>
      </c>
      <c r="E596" s="261">
        <v>681684.5</v>
      </c>
      <c r="F596" s="261">
        <f>E596-D596</f>
        <v>20359.5</v>
      </c>
      <c r="G596" s="153">
        <v>60</v>
      </c>
      <c r="H596" s="153">
        <f>F596*G596</f>
        <v>1221570</v>
      </c>
      <c r="I596" s="14"/>
      <c r="J596" s="244">
        <f>SUM(H596:I596)</f>
        <v>1221570</v>
      </c>
      <c r="K596" s="153"/>
    </row>
    <row r="597" spans="1:11">
      <c r="A597" s="153">
        <v>27</v>
      </c>
      <c r="B597" s="238" t="s">
        <v>1971</v>
      </c>
      <c r="C597" s="153" t="s">
        <v>1972</v>
      </c>
      <c r="D597" s="261">
        <v>99345.3</v>
      </c>
      <c r="E597" s="261">
        <v>100055.2</v>
      </c>
      <c r="F597" s="261">
        <f>E597-D597</f>
        <v>709.89999999999418</v>
      </c>
      <c r="G597" s="153">
        <v>2000</v>
      </c>
      <c r="H597" s="153">
        <f>F597*G597</f>
        <v>1419799.9999999884</v>
      </c>
      <c r="I597" s="14"/>
      <c r="J597" s="244">
        <f>SUM(H597:I597)</f>
        <v>1419799.9999999884</v>
      </c>
      <c r="K597" s="153"/>
    </row>
    <row r="598" spans="1:11">
      <c r="A598" s="153"/>
      <c r="B598" s="238" t="s">
        <v>1973</v>
      </c>
      <c r="C598" s="153" t="s">
        <v>1974</v>
      </c>
      <c r="D598" s="247">
        <v>1593667.5</v>
      </c>
      <c r="E598" s="247">
        <v>1625721.5</v>
      </c>
      <c r="F598" s="261">
        <f>E598-D598</f>
        <v>32054</v>
      </c>
      <c r="G598" s="153">
        <v>40</v>
      </c>
      <c r="H598" s="244">
        <f>F598*G598</f>
        <v>1282160</v>
      </c>
      <c r="I598" s="20"/>
      <c r="J598" s="244">
        <f>SUM(H598:I598)</f>
        <v>1282160</v>
      </c>
      <c r="K598" s="153"/>
    </row>
    <row r="599" spans="1:11">
      <c r="A599" s="153"/>
      <c r="B599" s="238"/>
      <c r="C599" s="238"/>
      <c r="D599" s="247"/>
      <c r="E599" s="247"/>
      <c r="F599" s="261"/>
      <c r="G599" s="153"/>
      <c r="H599" s="153"/>
      <c r="I599" s="20"/>
      <c r="J599" s="244">
        <f>SUM(J595:J598)</f>
        <v>4013650.1199999885</v>
      </c>
      <c r="K599" s="743">
        <f>(J593-J599)/J593</f>
        <v>1.7610603093797E-2</v>
      </c>
    </row>
    <row r="600" spans="1:11">
      <c r="A600" s="95">
        <v>6</v>
      </c>
      <c r="B600" s="239" t="s">
        <v>1975</v>
      </c>
      <c r="C600" s="238"/>
      <c r="D600" s="153"/>
      <c r="E600" s="153"/>
      <c r="F600" s="153"/>
      <c r="G600" s="153"/>
      <c r="H600" s="153"/>
      <c r="I600" s="20"/>
      <c r="J600" s="244"/>
      <c r="K600" s="247"/>
    </row>
    <row r="601" spans="1:11">
      <c r="A601" s="153">
        <v>1</v>
      </c>
      <c r="B601" s="734" t="s">
        <v>1776</v>
      </c>
      <c r="C601" s="238" t="s">
        <v>1976</v>
      </c>
      <c r="D601" s="153">
        <v>232755.1</v>
      </c>
      <c r="E601" s="153">
        <v>234382.8</v>
      </c>
      <c r="F601" s="261">
        <f>E601-D601</f>
        <v>1627.6999999999825</v>
      </c>
      <c r="G601" s="153">
        <v>2000</v>
      </c>
      <c r="H601" s="153">
        <f>F601*G601</f>
        <v>3255399.9999999651</v>
      </c>
      <c r="I601" s="14"/>
      <c r="J601" s="244">
        <f>H601+I601</f>
        <v>3255399.9999999651</v>
      </c>
      <c r="K601" s="247"/>
    </row>
    <row r="602" spans="1:11">
      <c r="A602" s="153"/>
      <c r="B602" s="734" t="s">
        <v>1977</v>
      </c>
      <c r="C602" s="238" t="s">
        <v>1976</v>
      </c>
      <c r="D602" s="153">
        <v>767.9</v>
      </c>
      <c r="E602" s="153">
        <v>767.9</v>
      </c>
      <c r="F602" s="261">
        <f>E602-D602</f>
        <v>0</v>
      </c>
      <c r="G602" s="153">
        <v>2000</v>
      </c>
      <c r="H602" s="153">
        <f>F602*G602</f>
        <v>0</v>
      </c>
      <c r="I602" s="14"/>
      <c r="J602" s="244">
        <f>H602+I602</f>
        <v>0</v>
      </c>
      <c r="K602" s="247"/>
    </row>
    <row r="603" spans="1:11">
      <c r="A603" s="153"/>
      <c r="B603" s="238" t="s">
        <v>1363</v>
      </c>
      <c r="C603" s="238"/>
      <c r="D603" s="153"/>
      <c r="E603" s="153"/>
      <c r="F603" s="261"/>
      <c r="G603" s="153"/>
      <c r="H603" s="153"/>
      <c r="I603" s="20"/>
      <c r="J603" s="244">
        <f>SUM(J601+J602)</f>
        <v>3255399.9999999651</v>
      </c>
      <c r="K603" s="247"/>
    </row>
    <row r="604" spans="1:11">
      <c r="A604" s="153"/>
      <c r="B604" s="733" t="s">
        <v>1767</v>
      </c>
      <c r="C604" s="238"/>
      <c r="D604" s="153"/>
      <c r="E604" s="153"/>
      <c r="F604" s="261"/>
      <c r="G604" s="153"/>
      <c r="H604" s="153"/>
      <c r="I604" s="14"/>
      <c r="J604" s="244"/>
      <c r="K604" s="247"/>
    </row>
    <row r="605" spans="1:11">
      <c r="A605" s="153">
        <v>29</v>
      </c>
      <c r="B605" s="238" t="s">
        <v>1978</v>
      </c>
      <c r="C605" s="238" t="s">
        <v>1979</v>
      </c>
      <c r="D605" s="153">
        <v>39186.1</v>
      </c>
      <c r="E605" s="153">
        <v>39624.9</v>
      </c>
      <c r="F605" s="261">
        <f>E605-D605</f>
        <v>438.80000000000291</v>
      </c>
      <c r="G605" s="153">
        <v>2000</v>
      </c>
      <c r="H605" s="153">
        <f>F605*G605</f>
        <v>877600.00000000582</v>
      </c>
      <c r="I605" s="14"/>
      <c r="J605" s="244">
        <f>SUM(H605:I605)</f>
        <v>877600.00000000582</v>
      </c>
      <c r="K605" s="247"/>
    </row>
    <row r="606" spans="1:11">
      <c r="A606" s="153">
        <v>30</v>
      </c>
      <c r="B606" s="238" t="s">
        <v>1980</v>
      </c>
      <c r="C606" s="238" t="s">
        <v>1981</v>
      </c>
      <c r="D606" s="153">
        <v>4980.75</v>
      </c>
      <c r="E606" s="153">
        <v>5108.3</v>
      </c>
      <c r="F606" s="261">
        <f>E606-D606</f>
        <v>127.55000000000018</v>
      </c>
      <c r="G606" s="153">
        <v>6000</v>
      </c>
      <c r="H606" s="153">
        <f>F606*G606</f>
        <v>765300.00000000105</v>
      </c>
      <c r="I606" s="20"/>
      <c r="J606" s="244">
        <f>SUM(H606:I606)</f>
        <v>765300.00000000105</v>
      </c>
      <c r="K606" s="247"/>
    </row>
    <row r="607" spans="1:11">
      <c r="A607" s="153">
        <v>31</v>
      </c>
      <c r="B607" s="238" t="s">
        <v>1982</v>
      </c>
      <c r="C607" s="238" t="s">
        <v>1983</v>
      </c>
      <c r="D607" s="153">
        <v>69378.2</v>
      </c>
      <c r="E607" s="153">
        <v>69378.2</v>
      </c>
      <c r="F607" s="261">
        <f>E607-D607</f>
        <v>0</v>
      </c>
      <c r="G607" s="153">
        <v>2000</v>
      </c>
      <c r="H607" s="153">
        <f>F607*G607</f>
        <v>0</v>
      </c>
      <c r="I607" s="14">
        <v>1584240.23</v>
      </c>
      <c r="J607" s="244">
        <f>SUM(H607:I607)</f>
        <v>1584240.23</v>
      </c>
      <c r="K607" s="153"/>
    </row>
    <row r="608" spans="1:11">
      <c r="A608" s="153"/>
      <c r="B608" s="238"/>
      <c r="C608" s="238"/>
      <c r="D608" s="153"/>
      <c r="E608" s="153"/>
      <c r="F608" s="153"/>
      <c r="G608" s="153"/>
      <c r="H608" s="153"/>
      <c r="I608" s="14"/>
      <c r="J608" s="244">
        <f>SUM(J605+J606+J607)</f>
        <v>3227140.230000007</v>
      </c>
      <c r="K608" s="743">
        <f>(J603-J608)/J603</f>
        <v>8.6808902131714719E-3</v>
      </c>
    </row>
    <row r="609" spans="1:11">
      <c r="A609" s="95">
        <v>7</v>
      </c>
      <c r="B609" s="741" t="s">
        <v>1984</v>
      </c>
      <c r="C609" s="238"/>
      <c r="D609" s="153"/>
      <c r="E609" s="153"/>
      <c r="F609" s="153"/>
      <c r="G609" s="153"/>
      <c r="H609" s="153"/>
      <c r="I609" s="14"/>
      <c r="J609" s="244"/>
      <c r="K609" s="247"/>
    </row>
    <row r="610" spans="1:11">
      <c r="A610" s="153">
        <v>1</v>
      </c>
      <c r="B610" s="238" t="s">
        <v>1985</v>
      </c>
      <c r="C610" s="238" t="s">
        <v>1986</v>
      </c>
      <c r="D610" s="153">
        <v>1463.85</v>
      </c>
      <c r="E610" s="153">
        <v>1463.85</v>
      </c>
      <c r="F610" s="247">
        <f>E610-D610</f>
        <v>0</v>
      </c>
      <c r="G610" s="153">
        <v>80000</v>
      </c>
      <c r="H610" s="153">
        <f>F610*G610</f>
        <v>0</v>
      </c>
      <c r="I610" s="14"/>
      <c r="J610" s="244">
        <f>SUM(H610:I610)</f>
        <v>0</v>
      </c>
      <c r="K610" s="247"/>
    </row>
    <row r="611" spans="1:11">
      <c r="A611" s="153">
        <v>2</v>
      </c>
      <c r="B611" s="238" t="s">
        <v>1987</v>
      </c>
      <c r="C611" s="238" t="s">
        <v>1988</v>
      </c>
      <c r="D611" s="153">
        <v>139940.79999999999</v>
      </c>
      <c r="E611" s="153">
        <v>139940.79999999999</v>
      </c>
      <c r="F611" s="261">
        <f>E611-D611</f>
        <v>0</v>
      </c>
      <c r="G611" s="153">
        <v>2000</v>
      </c>
      <c r="H611" s="153">
        <f>F611*G611</f>
        <v>0</v>
      </c>
      <c r="I611" s="14">
        <v>4254000</v>
      </c>
      <c r="J611" s="244">
        <f>SUM(H611:I611)</f>
        <v>4254000</v>
      </c>
      <c r="K611" s="247"/>
    </row>
    <row r="612" spans="1:11">
      <c r="A612" s="153"/>
      <c r="B612" s="238" t="s">
        <v>1363</v>
      </c>
      <c r="C612" s="238"/>
      <c r="D612" s="153"/>
      <c r="E612" s="153"/>
      <c r="F612" s="261"/>
      <c r="G612" s="153"/>
      <c r="H612" s="153"/>
      <c r="I612" s="14"/>
      <c r="J612" s="244">
        <f>SUM(J610+J611)</f>
        <v>4254000</v>
      </c>
      <c r="K612" s="247"/>
    </row>
    <row r="613" spans="1:11">
      <c r="A613" s="153"/>
      <c r="B613" s="733" t="s">
        <v>1767</v>
      </c>
      <c r="C613" s="238"/>
      <c r="D613" s="153"/>
      <c r="E613" s="153"/>
      <c r="F613" s="153"/>
      <c r="G613" s="153"/>
      <c r="H613" s="153"/>
      <c r="I613" s="14"/>
      <c r="J613" s="244"/>
      <c r="K613" s="247" t="s">
        <v>15</v>
      </c>
    </row>
    <row r="614" spans="1:11">
      <c r="A614" s="153">
        <v>32</v>
      </c>
      <c r="B614" s="238" t="s">
        <v>1989</v>
      </c>
      <c r="C614" s="153" t="s">
        <v>1990</v>
      </c>
      <c r="D614" s="153">
        <v>11321.2</v>
      </c>
      <c r="E614" s="153">
        <v>11946.7</v>
      </c>
      <c r="F614" s="261">
        <f t="shared" ref="F614:F619" si="36">E614-D614</f>
        <v>625.5</v>
      </c>
      <c r="G614" s="155">
        <v>1600</v>
      </c>
      <c r="H614" s="153">
        <f t="shared" ref="H614:H619" si="37">F614*G614</f>
        <v>1000800</v>
      </c>
      <c r="I614" s="834">
        <f>-I620</f>
        <v>-50000</v>
      </c>
      <c r="J614" s="244">
        <f t="shared" ref="J614:J619" si="38">SUM(H614:I614)</f>
        <v>950800</v>
      </c>
      <c r="K614" s="247"/>
    </row>
    <row r="615" spans="1:11">
      <c r="A615" s="153">
        <v>33</v>
      </c>
      <c r="B615" s="238" t="s">
        <v>1991</v>
      </c>
      <c r="C615" s="153" t="s">
        <v>1992</v>
      </c>
      <c r="D615" s="153">
        <v>22255.1</v>
      </c>
      <c r="E615" s="153">
        <v>22555.9</v>
      </c>
      <c r="F615" s="261">
        <f t="shared" si="36"/>
        <v>300.80000000000291</v>
      </c>
      <c r="G615" s="153">
        <v>2000</v>
      </c>
      <c r="H615" s="153">
        <f t="shared" si="37"/>
        <v>601600.00000000582</v>
      </c>
      <c r="I615" s="14"/>
      <c r="J615" s="244">
        <f t="shared" si="38"/>
        <v>601600.00000000582</v>
      </c>
      <c r="K615" s="247"/>
    </row>
    <row r="616" spans="1:11">
      <c r="A616" s="153">
        <v>34</v>
      </c>
      <c r="B616" s="238" t="s">
        <v>1993</v>
      </c>
      <c r="C616" s="153" t="s">
        <v>1994</v>
      </c>
      <c r="D616" s="153">
        <v>24702.799999999999</v>
      </c>
      <c r="E616" s="153">
        <v>25209.4</v>
      </c>
      <c r="F616" s="261">
        <f t="shared" si="36"/>
        <v>506.60000000000218</v>
      </c>
      <c r="G616" s="153">
        <v>2000</v>
      </c>
      <c r="H616" s="153">
        <f t="shared" si="37"/>
        <v>1013200.0000000044</v>
      </c>
      <c r="I616" s="20">
        <v>108401.559999996</v>
      </c>
      <c r="J616" s="244">
        <f t="shared" si="38"/>
        <v>1121601.5600000005</v>
      </c>
      <c r="K616" s="247"/>
    </row>
    <row r="617" spans="1:11">
      <c r="A617" s="153"/>
      <c r="B617" s="734" t="s">
        <v>1995</v>
      </c>
      <c r="C617" s="153" t="s">
        <v>1996</v>
      </c>
      <c r="D617" s="153">
        <v>42586.9</v>
      </c>
      <c r="E617" s="153">
        <v>42930.7</v>
      </c>
      <c r="F617" s="261">
        <f t="shared" si="36"/>
        <v>343.79999999999563</v>
      </c>
      <c r="G617" s="153">
        <v>2000</v>
      </c>
      <c r="H617" s="153">
        <f t="shared" si="37"/>
        <v>687599.99999999127</v>
      </c>
      <c r="I617" s="14"/>
      <c r="J617" s="244">
        <f t="shared" si="38"/>
        <v>687599.99999999127</v>
      </c>
      <c r="K617" s="247"/>
    </row>
    <row r="618" spans="1:11">
      <c r="A618" s="153">
        <v>36</v>
      </c>
      <c r="B618" s="734" t="s">
        <v>1997</v>
      </c>
      <c r="C618" s="153" t="s">
        <v>1998</v>
      </c>
      <c r="D618" s="153">
        <v>2380.6</v>
      </c>
      <c r="E618" s="153">
        <v>2415.6</v>
      </c>
      <c r="F618" s="261">
        <f t="shared" si="36"/>
        <v>35</v>
      </c>
      <c r="G618" s="153">
        <v>2000</v>
      </c>
      <c r="H618" s="153">
        <f t="shared" si="37"/>
        <v>70000</v>
      </c>
      <c r="I618" s="20">
        <v>28439.93</v>
      </c>
      <c r="J618" s="244">
        <f t="shared" si="38"/>
        <v>98439.93</v>
      </c>
      <c r="K618" s="247"/>
    </row>
    <row r="619" spans="1:11">
      <c r="A619" s="153">
        <v>37</v>
      </c>
      <c r="B619" s="734" t="s">
        <v>1999</v>
      </c>
      <c r="C619" s="153" t="s">
        <v>2000</v>
      </c>
      <c r="D619" s="153">
        <v>4530</v>
      </c>
      <c r="E619" s="153">
        <v>4727.71</v>
      </c>
      <c r="F619" s="261">
        <f t="shared" si="36"/>
        <v>197.71000000000004</v>
      </c>
      <c r="G619" s="153">
        <v>4000</v>
      </c>
      <c r="H619" s="153">
        <f t="shared" si="37"/>
        <v>790840.00000000012</v>
      </c>
      <c r="I619" s="14"/>
      <c r="J619" s="244">
        <f t="shared" si="38"/>
        <v>790840.00000000012</v>
      </c>
      <c r="K619" s="153"/>
    </row>
    <row r="620" spans="1:11">
      <c r="A620" s="153"/>
      <c r="B620" s="734" t="s">
        <v>2001</v>
      </c>
      <c r="C620" s="153"/>
      <c r="D620" s="153"/>
      <c r="E620" s="153"/>
      <c r="F620" s="261"/>
      <c r="G620" s="153"/>
      <c r="H620" s="153"/>
      <c r="I620" s="14">
        <v>50000</v>
      </c>
      <c r="J620" s="244"/>
      <c r="K620" s="153"/>
    </row>
    <row r="621" spans="1:11">
      <c r="A621" s="153"/>
      <c r="B621" s="238"/>
      <c r="C621" s="238"/>
      <c r="D621" s="153"/>
      <c r="E621" s="153"/>
      <c r="F621" s="153"/>
      <c r="G621" s="153"/>
      <c r="H621" s="153"/>
      <c r="I621" s="20"/>
      <c r="J621" s="244">
        <f>SUM(J614+J615+J616+J617+J618+J619+J620)</f>
        <v>4250881.4899999974</v>
      </c>
      <c r="K621" s="743">
        <f>(J612-J621)/J612</f>
        <v>7.3307710390281393E-4</v>
      </c>
    </row>
    <row r="622" spans="1:11">
      <c r="A622" s="95">
        <v>8</v>
      </c>
      <c r="B622" s="741" t="s">
        <v>2002</v>
      </c>
      <c r="C622" s="238"/>
      <c r="D622" s="153"/>
      <c r="E622" s="153"/>
      <c r="F622" s="153"/>
      <c r="G622" s="153"/>
      <c r="H622" s="153"/>
      <c r="I622" s="20"/>
      <c r="J622" s="244"/>
      <c r="K622" s="153"/>
    </row>
    <row r="623" spans="1:11">
      <c r="A623" s="153">
        <v>1</v>
      </c>
      <c r="B623" s="734" t="s">
        <v>2003</v>
      </c>
      <c r="C623" s="238">
        <v>3300083</v>
      </c>
      <c r="D623" s="153">
        <v>2506.1999999999998</v>
      </c>
      <c r="E623" s="153">
        <v>71451.100000000006</v>
      </c>
      <c r="F623" s="261">
        <v>20228.7</v>
      </c>
      <c r="G623" s="153">
        <v>80</v>
      </c>
      <c r="H623" s="153">
        <f>F623*G623</f>
        <v>1618296</v>
      </c>
      <c r="I623" s="20">
        <v>1468000</v>
      </c>
      <c r="J623" s="244">
        <f>SUM(H623:I623)</f>
        <v>3086296</v>
      </c>
      <c r="K623" s="153"/>
    </row>
    <row r="624" spans="1:11">
      <c r="A624" s="153">
        <v>2</v>
      </c>
      <c r="B624" s="748" t="s">
        <v>2003</v>
      </c>
      <c r="C624" s="238" t="s">
        <v>2004</v>
      </c>
      <c r="D624" s="153">
        <v>67046.7</v>
      </c>
      <c r="E624" s="153">
        <v>68221.2</v>
      </c>
      <c r="F624" s="261">
        <f>E624-D624</f>
        <v>1174.5</v>
      </c>
      <c r="G624" s="153">
        <v>2000</v>
      </c>
      <c r="H624" s="153">
        <f>F624*G624</f>
        <v>2349000</v>
      </c>
      <c r="I624" s="14"/>
      <c r="J624" s="769">
        <f>SUM(H624:I624)</f>
        <v>2349000</v>
      </c>
      <c r="K624" s="153"/>
    </row>
    <row r="625" spans="1:11">
      <c r="A625" s="153"/>
      <c r="B625" s="238"/>
      <c r="C625" s="238"/>
      <c r="D625" s="153"/>
      <c r="E625" s="153"/>
      <c r="F625" s="261"/>
      <c r="G625" s="153"/>
      <c r="H625" s="153"/>
      <c r="I625" s="14"/>
      <c r="J625" s="244">
        <f>SUM(J623:J624)</f>
        <v>5435296</v>
      </c>
      <c r="K625" s="247"/>
    </row>
    <row r="626" spans="1:11">
      <c r="A626" s="153"/>
      <c r="B626" s="733" t="s">
        <v>1767</v>
      </c>
      <c r="C626" s="238"/>
      <c r="D626" s="153"/>
      <c r="E626" s="153"/>
      <c r="F626" s="244"/>
      <c r="G626" s="153"/>
      <c r="H626" s="153"/>
      <c r="I626" s="14"/>
      <c r="J626" s="153"/>
      <c r="K626" s="247"/>
    </row>
    <row r="627" spans="1:11">
      <c r="A627" s="153">
        <v>38</v>
      </c>
      <c r="B627" s="734" t="s">
        <v>2005</v>
      </c>
      <c r="C627" s="238" t="s">
        <v>2006</v>
      </c>
      <c r="D627" s="153">
        <v>3121.6</v>
      </c>
      <c r="E627" s="153">
        <v>3169.85</v>
      </c>
      <c r="F627" s="247">
        <f>E627-D627</f>
        <v>48.25</v>
      </c>
      <c r="G627" s="153">
        <v>20000</v>
      </c>
      <c r="H627" s="153">
        <f>F627*G627</f>
        <v>965000</v>
      </c>
      <c r="I627" s="14"/>
      <c r="J627" s="244">
        <f>SUM(H627:I627)</f>
        <v>965000</v>
      </c>
      <c r="K627" s="247"/>
    </row>
    <row r="628" spans="1:11">
      <c r="A628" s="153">
        <v>39</v>
      </c>
      <c r="B628" s="734" t="s">
        <v>2007</v>
      </c>
      <c r="C628" s="238" t="s">
        <v>2008</v>
      </c>
      <c r="D628" s="153">
        <v>38040.5</v>
      </c>
      <c r="E628" s="153">
        <v>38074.6</v>
      </c>
      <c r="F628" s="261">
        <f>E628-D628</f>
        <v>34.099999999998545</v>
      </c>
      <c r="G628" s="153">
        <v>2000</v>
      </c>
      <c r="H628" s="153">
        <f>F628*G628</f>
        <v>68199.99999999709</v>
      </c>
      <c r="I628" s="20">
        <v>1280159.3799999999</v>
      </c>
      <c r="J628" s="244">
        <f>SUM(H628:I628)</f>
        <v>1348359.3799999971</v>
      </c>
      <c r="K628" s="247"/>
    </row>
    <row r="629" spans="1:11">
      <c r="A629" s="153">
        <v>40</v>
      </c>
      <c r="B629" s="734" t="s">
        <v>2009</v>
      </c>
      <c r="C629" s="238" t="s">
        <v>2010</v>
      </c>
      <c r="D629" s="261">
        <v>4799.04</v>
      </c>
      <c r="E629" s="261">
        <v>4985.6499999999996</v>
      </c>
      <c r="F629" s="261">
        <f>E629-D629</f>
        <v>186.60999999999967</v>
      </c>
      <c r="G629" s="153">
        <v>6000</v>
      </c>
      <c r="H629" s="153">
        <f>F629*G629</f>
        <v>1119659.9999999981</v>
      </c>
      <c r="I629" s="14"/>
      <c r="J629" s="244">
        <f>SUM(H629:I629)</f>
        <v>1119659.9999999981</v>
      </c>
      <c r="K629" s="247"/>
    </row>
    <row r="630" spans="1:11">
      <c r="A630" s="153">
        <v>41</v>
      </c>
      <c r="B630" s="748" t="s">
        <v>931</v>
      </c>
      <c r="C630" s="238" t="s">
        <v>2011</v>
      </c>
      <c r="D630" s="153">
        <v>35145.5</v>
      </c>
      <c r="E630" s="153">
        <v>35736.800000000003</v>
      </c>
      <c r="F630" s="261">
        <f>E630-D630</f>
        <v>591.30000000000291</v>
      </c>
      <c r="G630" s="153">
        <v>2000</v>
      </c>
      <c r="H630" s="153">
        <f>F630*G630</f>
        <v>1182600.0000000058</v>
      </c>
      <c r="I630" s="14"/>
      <c r="J630" s="769">
        <f>SUM(H630:I630)</f>
        <v>1182600.0000000058</v>
      </c>
      <c r="K630" s="247"/>
    </row>
    <row r="631" spans="1:11">
      <c r="A631" s="153">
        <v>42</v>
      </c>
      <c r="B631" s="748" t="s">
        <v>2012</v>
      </c>
      <c r="C631" s="238" t="s">
        <v>2013</v>
      </c>
      <c r="D631" s="153">
        <v>3001.71</v>
      </c>
      <c r="E631" s="153">
        <v>3135.05</v>
      </c>
      <c r="F631" s="261">
        <f>E631-D631</f>
        <v>133.34000000000015</v>
      </c>
      <c r="G631" s="153">
        <v>6000</v>
      </c>
      <c r="H631" s="153">
        <f>F631*G631</f>
        <v>800040.00000000093</v>
      </c>
      <c r="I631" s="14"/>
      <c r="J631" s="769">
        <f>SUM(H631:I631)</f>
        <v>800040.00000000093</v>
      </c>
      <c r="K631" s="247"/>
    </row>
    <row r="632" spans="1:11">
      <c r="A632" s="153"/>
      <c r="B632" s="238"/>
      <c r="C632" s="238"/>
      <c r="D632" s="244"/>
      <c r="E632" s="244"/>
      <c r="F632" s="153"/>
      <c r="G632" s="153"/>
      <c r="H632" s="153"/>
      <c r="I632" s="14"/>
      <c r="J632" s="244">
        <f>SUM(J627:J631)</f>
        <v>5415659.3800000018</v>
      </c>
      <c r="K632" s="743">
        <f>(J625-J632)/J625</f>
        <v>3.6127968007626907E-3</v>
      </c>
    </row>
    <row r="633" spans="1:11">
      <c r="A633" s="95">
        <v>9</v>
      </c>
      <c r="B633" s="732" t="s">
        <v>2014</v>
      </c>
      <c r="C633" s="238"/>
      <c r="D633" s="261"/>
      <c r="E633" s="261"/>
      <c r="F633" s="153"/>
      <c r="G633" s="153"/>
      <c r="H633" s="153"/>
      <c r="I633" s="14"/>
      <c r="J633" s="244"/>
      <c r="K633" s="244"/>
    </row>
    <row r="634" spans="1:11">
      <c r="A634" s="153">
        <v>1</v>
      </c>
      <c r="B634" s="734" t="s">
        <v>1776</v>
      </c>
      <c r="C634" s="238" t="s">
        <v>2015</v>
      </c>
      <c r="D634" s="835">
        <v>190337</v>
      </c>
      <c r="E634" s="835">
        <v>191111.9</v>
      </c>
      <c r="F634" s="261">
        <f>E634-D634</f>
        <v>774.89999999999418</v>
      </c>
      <c r="G634" s="153">
        <v>1000</v>
      </c>
      <c r="H634" s="153">
        <f>F634*G634</f>
        <v>774899.99999999418</v>
      </c>
      <c r="I634" s="14"/>
      <c r="J634" s="244">
        <f>SUM(H634:I634)</f>
        <v>774899.99999999418</v>
      </c>
      <c r="K634" s="153"/>
    </row>
    <row r="635" spans="1:11">
      <c r="A635" s="836">
        <v>2</v>
      </c>
      <c r="B635" s="751" t="s">
        <v>1776</v>
      </c>
      <c r="C635" s="752" t="s">
        <v>2016</v>
      </c>
      <c r="D635" s="155">
        <v>269.27999999999997</v>
      </c>
      <c r="E635" s="155">
        <v>326.58999999999997</v>
      </c>
      <c r="F635" s="837">
        <f>E635-D635</f>
        <v>57.31</v>
      </c>
      <c r="G635" s="155">
        <v>1000</v>
      </c>
      <c r="H635" s="155">
        <f>F635*G635</f>
        <v>57310</v>
      </c>
      <c r="I635" s="40">
        <v>1690000</v>
      </c>
      <c r="J635" s="158">
        <f>SUM(H635:I635)</f>
        <v>1747310</v>
      </c>
      <c r="K635" s="161"/>
    </row>
    <row r="636" spans="1:11">
      <c r="A636" s="734"/>
      <c r="B636" s="734"/>
      <c r="C636" s="734"/>
      <c r="D636" s="734"/>
      <c r="E636" s="734"/>
      <c r="F636" s="734"/>
      <c r="G636" s="734"/>
      <c r="H636" s="734"/>
      <c r="I636" s="734"/>
      <c r="J636" s="734"/>
      <c r="K636" s="161"/>
    </row>
    <row r="637" spans="1:11">
      <c r="A637" s="153"/>
      <c r="B637" s="734"/>
      <c r="C637" s="238"/>
      <c r="D637" s="261"/>
      <c r="E637" s="261"/>
      <c r="F637" s="261"/>
      <c r="G637" s="153"/>
      <c r="H637" s="153"/>
      <c r="I637" s="14"/>
      <c r="J637" s="244">
        <f>SUM(J634+J635)</f>
        <v>2522209.9999999944</v>
      </c>
      <c r="K637" s="153"/>
    </row>
    <row r="638" spans="1:11">
      <c r="A638" s="153"/>
      <c r="B638" s="733" t="s">
        <v>1767</v>
      </c>
      <c r="C638" s="238"/>
      <c r="D638" s="261"/>
      <c r="E638" s="261"/>
      <c r="F638" s="261"/>
      <c r="G638" s="153"/>
      <c r="H638" s="153"/>
      <c r="I638" s="14"/>
      <c r="J638" s="244"/>
      <c r="K638" s="244"/>
    </row>
    <row r="639" spans="1:11">
      <c r="A639" s="153">
        <v>43</v>
      </c>
      <c r="B639" s="734" t="s">
        <v>2017</v>
      </c>
      <c r="C639" s="238" t="s">
        <v>2018</v>
      </c>
      <c r="D639" s="261">
        <v>25182.5</v>
      </c>
      <c r="E639" s="261">
        <v>25745.7</v>
      </c>
      <c r="F639" s="261">
        <f>E639-D639</f>
        <v>563.20000000000073</v>
      </c>
      <c r="G639" s="153">
        <v>2000</v>
      </c>
      <c r="H639" s="153">
        <f>F639*G639</f>
        <v>1126400.0000000014</v>
      </c>
      <c r="I639" s="20"/>
      <c r="J639" s="244">
        <f>SUM(H639:I639)</f>
        <v>1126400.0000000014</v>
      </c>
      <c r="K639" s="244"/>
    </row>
    <row r="640" spans="1:11">
      <c r="A640" s="153">
        <v>44</v>
      </c>
      <c r="B640" s="734" t="s">
        <v>1213</v>
      </c>
      <c r="C640" s="238" t="s">
        <v>2019</v>
      </c>
      <c r="D640" s="261">
        <v>53824</v>
      </c>
      <c r="E640" s="261">
        <v>54320.800000000003</v>
      </c>
      <c r="F640" s="261">
        <f>E640-D640</f>
        <v>496.80000000000291</v>
      </c>
      <c r="G640" s="153">
        <v>2000</v>
      </c>
      <c r="H640" s="153">
        <f>F640*G640</f>
        <v>993600.00000000582</v>
      </c>
      <c r="I640" s="14"/>
      <c r="J640" s="244">
        <f>SUM(H640:I640)</f>
        <v>993600.00000000582</v>
      </c>
      <c r="K640" s="244"/>
    </row>
    <row r="641" spans="1:11">
      <c r="A641" s="153">
        <v>45</v>
      </c>
      <c r="B641" s="734" t="s">
        <v>2020</v>
      </c>
      <c r="C641" s="238" t="s">
        <v>2021</v>
      </c>
      <c r="D641" s="261">
        <v>3854.7</v>
      </c>
      <c r="E641" s="261">
        <v>3888.7</v>
      </c>
      <c r="F641" s="261">
        <f>E641-D641</f>
        <v>34</v>
      </c>
      <c r="G641" s="153">
        <v>2000</v>
      </c>
      <c r="H641" s="153">
        <f>F641*G641</f>
        <v>68000</v>
      </c>
      <c r="I641" s="14"/>
      <c r="J641" s="244">
        <f>SUM(H641:I641)</f>
        <v>68000</v>
      </c>
      <c r="K641" s="153"/>
    </row>
    <row r="642" spans="1:11">
      <c r="A642" s="153"/>
      <c r="B642" s="734" t="s">
        <v>1570</v>
      </c>
      <c r="C642" s="238" t="s">
        <v>2022</v>
      </c>
      <c r="D642" s="261">
        <v>42.02</v>
      </c>
      <c r="E642" s="261">
        <v>44.29</v>
      </c>
      <c r="F642" s="261">
        <f>E642-D642</f>
        <v>2.269999999999996</v>
      </c>
      <c r="G642" s="153">
        <v>18000</v>
      </c>
      <c r="H642" s="153">
        <f>F642*G642</f>
        <v>40859.999999999927</v>
      </c>
      <c r="I642" s="20">
        <v>268139.81</v>
      </c>
      <c r="J642" s="244">
        <f>SUM(H642:I642)</f>
        <v>308999.80999999994</v>
      </c>
      <c r="K642" s="153"/>
    </row>
    <row r="643" spans="1:11">
      <c r="A643" s="153"/>
      <c r="B643" s="734"/>
      <c r="C643" s="238"/>
      <c r="D643" s="241"/>
      <c r="E643" s="241"/>
      <c r="F643" s="261"/>
      <c r="G643" s="153"/>
      <c r="H643" s="153"/>
      <c r="I643" s="20"/>
      <c r="J643" s="244">
        <f>J639+J640+J641+J642</f>
        <v>2496999.8100000075</v>
      </c>
      <c r="K643" s="743">
        <f>(J637-J643)/J637</f>
        <v>9.9952779506809353E-3</v>
      </c>
    </row>
    <row r="644" spans="1:11">
      <c r="A644" s="95">
        <v>10</v>
      </c>
      <c r="B644" s="732" t="s">
        <v>2023</v>
      </c>
      <c r="C644" s="238"/>
      <c r="D644" s="261"/>
      <c r="E644" s="261"/>
      <c r="F644" s="153"/>
      <c r="G644" s="153"/>
      <c r="H644" s="153"/>
      <c r="I644" s="20"/>
      <c r="J644" s="244"/>
      <c r="K644" s="244"/>
    </row>
    <row r="645" spans="1:11" ht="15.75">
      <c r="A645" s="153">
        <v>1</v>
      </c>
      <c r="B645" s="734" t="s">
        <v>2003</v>
      </c>
      <c r="C645" s="238" t="s">
        <v>2024</v>
      </c>
      <c r="D645" s="838">
        <v>90080.1</v>
      </c>
      <c r="E645" s="838">
        <v>91288.5</v>
      </c>
      <c r="F645" s="261">
        <f>E645-D645</f>
        <v>1208.3999999999942</v>
      </c>
      <c r="G645" s="153">
        <v>2000</v>
      </c>
      <c r="H645" s="153">
        <f>F645*G645</f>
        <v>2416799.9999999884</v>
      </c>
      <c r="I645" s="14"/>
      <c r="J645" s="244">
        <f>SUM(H645:I645)</f>
        <v>2416799.9999999884</v>
      </c>
      <c r="K645" s="153"/>
    </row>
    <row r="646" spans="1:11">
      <c r="A646" s="153"/>
      <c r="B646" s="238"/>
      <c r="C646" s="238"/>
      <c r="D646" s="261"/>
      <c r="E646" s="261"/>
      <c r="F646" s="261"/>
      <c r="G646" s="153"/>
      <c r="H646" s="153"/>
      <c r="I646" s="14"/>
      <c r="J646" s="244">
        <f>SUM(J645:J645)</f>
        <v>2416799.9999999884</v>
      </c>
      <c r="K646" s="153"/>
    </row>
    <row r="647" spans="1:11">
      <c r="A647" s="153"/>
      <c r="B647" s="733" t="s">
        <v>1767</v>
      </c>
      <c r="C647" s="238"/>
      <c r="D647" s="241"/>
      <c r="E647" s="241"/>
      <c r="F647" s="153"/>
      <c r="G647" s="153"/>
      <c r="H647" s="153"/>
      <c r="I647" s="14"/>
      <c r="J647" s="244"/>
      <c r="K647" s="244"/>
    </row>
    <row r="648" spans="1:11">
      <c r="A648" s="153">
        <v>46</v>
      </c>
      <c r="B648" s="734" t="s">
        <v>2025</v>
      </c>
      <c r="C648" s="238" t="s">
        <v>2026</v>
      </c>
      <c r="D648" s="261">
        <v>31597.200000000001</v>
      </c>
      <c r="E648" s="261">
        <v>32062.7</v>
      </c>
      <c r="F648" s="261">
        <f>E648-D648</f>
        <v>465.5</v>
      </c>
      <c r="G648" s="153">
        <v>2000</v>
      </c>
      <c r="H648" s="153">
        <f>F648*G648</f>
        <v>931000</v>
      </c>
      <c r="I648" s="14"/>
      <c r="J648" s="244">
        <f>SUM(H648:I648)</f>
        <v>931000</v>
      </c>
      <c r="K648" s="244"/>
    </row>
    <row r="649" spans="1:11">
      <c r="A649" s="153">
        <v>47</v>
      </c>
      <c r="B649" s="734" t="s">
        <v>2027</v>
      </c>
      <c r="C649" s="238" t="s">
        <v>2028</v>
      </c>
      <c r="D649" s="261">
        <v>30512.3</v>
      </c>
      <c r="E649" s="261">
        <v>31035.4</v>
      </c>
      <c r="F649" s="261">
        <f>E649-D649</f>
        <v>523.10000000000218</v>
      </c>
      <c r="G649" s="153">
        <v>2000</v>
      </c>
      <c r="H649" s="153">
        <f>F649*G649</f>
        <v>1046200.0000000044</v>
      </c>
      <c r="I649" s="14"/>
      <c r="J649" s="244">
        <f>SUM(H649:I649)</f>
        <v>1046200.0000000044</v>
      </c>
      <c r="K649" s="244"/>
    </row>
    <row r="650" spans="1:11">
      <c r="A650" s="153">
        <v>48</v>
      </c>
      <c r="B650" s="734" t="s">
        <v>2029</v>
      </c>
      <c r="C650" s="238" t="s">
        <v>2030</v>
      </c>
      <c r="D650" s="261">
        <v>16530.2</v>
      </c>
      <c r="E650" s="261">
        <v>16745.2</v>
      </c>
      <c r="F650" s="261">
        <f>E650-D650</f>
        <v>215</v>
      </c>
      <c r="G650" s="153">
        <v>2000</v>
      </c>
      <c r="H650" s="153">
        <f>F650*G650</f>
        <v>430000</v>
      </c>
      <c r="I650" s="20"/>
      <c r="J650" s="244">
        <f>SUM(H650:I650)</f>
        <v>430000</v>
      </c>
      <c r="K650" s="153"/>
    </row>
    <row r="651" spans="1:11">
      <c r="A651" s="153"/>
      <c r="B651" s="331"/>
      <c r="C651" s="238"/>
      <c r="D651" s="331"/>
      <c r="E651" s="331"/>
      <c r="F651" s="261"/>
      <c r="G651" s="153"/>
      <c r="H651" s="153"/>
      <c r="I651" s="14"/>
      <c r="J651" s="244">
        <f>SUM(J648:J650)</f>
        <v>2407200.0000000047</v>
      </c>
      <c r="K651" s="743">
        <f>(J646-J651)/J646</f>
        <v>3.9721946375305146E-3</v>
      </c>
    </row>
    <row r="652" spans="1:11">
      <c r="A652" s="95">
        <v>11</v>
      </c>
      <c r="B652" s="732" t="s">
        <v>2031</v>
      </c>
      <c r="C652" s="238"/>
      <c r="D652" s="261"/>
      <c r="E652" s="261"/>
      <c r="F652" s="153"/>
      <c r="G652" s="153"/>
      <c r="H652" s="153"/>
      <c r="I652" s="14"/>
      <c r="J652" s="244"/>
      <c r="K652" s="244"/>
    </row>
    <row r="653" spans="1:11">
      <c r="A653" s="153">
        <v>1</v>
      </c>
      <c r="B653" s="734" t="s">
        <v>2032</v>
      </c>
      <c r="C653" s="238" t="s">
        <v>2033</v>
      </c>
      <c r="D653" s="247">
        <v>41802.5</v>
      </c>
      <c r="E653" s="247">
        <v>42777.9</v>
      </c>
      <c r="F653" s="261">
        <f>E653-D653</f>
        <v>975.40000000000146</v>
      </c>
      <c r="G653" s="153">
        <v>2000</v>
      </c>
      <c r="H653" s="153">
        <f>F653*G653</f>
        <v>1950800.0000000028</v>
      </c>
      <c r="I653" s="14"/>
      <c r="J653" s="244">
        <f>SUM(H653:I653)</f>
        <v>1950800.0000000028</v>
      </c>
      <c r="K653" s="153"/>
    </row>
    <row r="654" spans="1:11">
      <c r="A654" s="153"/>
      <c r="B654" s="734"/>
      <c r="C654" s="238"/>
      <c r="D654" s="153"/>
      <c r="E654" s="153"/>
      <c r="F654" s="261"/>
      <c r="G654" s="153"/>
      <c r="H654" s="153"/>
      <c r="I654" s="14"/>
      <c r="J654" s="244">
        <f>SUM(J653:J653)</f>
        <v>1950800.0000000028</v>
      </c>
      <c r="K654" s="153"/>
    </row>
    <row r="655" spans="1:11">
      <c r="A655" s="153"/>
      <c r="B655" s="733" t="s">
        <v>1767</v>
      </c>
      <c r="C655" s="238"/>
      <c r="D655" s="331"/>
      <c r="E655" s="331"/>
      <c r="F655" s="153"/>
      <c r="G655" s="153"/>
      <c r="H655" s="153"/>
      <c r="I655" s="14"/>
      <c r="J655" s="244"/>
      <c r="K655" s="244"/>
    </row>
    <row r="656" spans="1:11">
      <c r="A656" s="153">
        <v>49</v>
      </c>
      <c r="B656" s="734" t="s">
        <v>1238</v>
      </c>
      <c r="C656" s="238" t="s">
        <v>2034</v>
      </c>
      <c r="D656" s="247">
        <v>14182.4</v>
      </c>
      <c r="E656" s="247">
        <v>14689.2</v>
      </c>
      <c r="F656" s="261">
        <f>E656-D656</f>
        <v>506.80000000000109</v>
      </c>
      <c r="G656" s="153">
        <v>2000</v>
      </c>
      <c r="H656" s="153">
        <f>F656*G656</f>
        <v>1013600.0000000022</v>
      </c>
      <c r="I656" s="14"/>
      <c r="J656" s="244">
        <f>SUM(H656:I656)</f>
        <v>1013600.0000000022</v>
      </c>
      <c r="K656" s="244"/>
    </row>
    <row r="657" spans="1:11">
      <c r="A657" s="153">
        <v>50</v>
      </c>
      <c r="B657" s="734" t="s">
        <v>2035</v>
      </c>
      <c r="C657" s="238" t="s">
        <v>2036</v>
      </c>
      <c r="D657" s="247">
        <v>11450</v>
      </c>
      <c r="E657" s="247">
        <v>11671.3</v>
      </c>
      <c r="F657" s="261">
        <f>E657-D657</f>
        <v>221.29999999999927</v>
      </c>
      <c r="G657" s="153">
        <v>2000</v>
      </c>
      <c r="H657" s="153">
        <f>F657*G657</f>
        <v>442599.99999999854</v>
      </c>
      <c r="I657" s="14"/>
      <c r="J657" s="244">
        <f>SUM(H657:I657)</f>
        <v>442599.99999999854</v>
      </c>
      <c r="K657" s="244"/>
    </row>
    <row r="658" spans="1:11">
      <c r="A658" s="153">
        <v>51</v>
      </c>
      <c r="B658" s="734" t="s">
        <v>2037</v>
      </c>
      <c r="C658" s="238" t="s">
        <v>2038</v>
      </c>
      <c r="D658" s="247">
        <v>15785.84</v>
      </c>
      <c r="E658" s="247">
        <v>16026.67</v>
      </c>
      <c r="F658" s="261">
        <f>E658-D658</f>
        <v>240.82999999999993</v>
      </c>
      <c r="G658" s="153">
        <v>2000</v>
      </c>
      <c r="H658" s="153">
        <f>F658*G658</f>
        <v>481659.99999999988</v>
      </c>
      <c r="I658" s="14"/>
      <c r="J658" s="244">
        <f>SUM(H658:I658)</f>
        <v>481659.99999999988</v>
      </c>
      <c r="K658" s="153"/>
    </row>
    <row r="659" spans="1:11">
      <c r="A659" s="153"/>
      <c r="B659" s="734"/>
      <c r="C659" s="734"/>
      <c r="D659" s="331"/>
      <c r="E659" s="331"/>
      <c r="F659" s="261"/>
      <c r="G659" s="153"/>
      <c r="H659" s="153"/>
      <c r="I659" s="14"/>
      <c r="J659" s="244">
        <f>J656+J657+J658</f>
        <v>1937860.0000000005</v>
      </c>
      <c r="K659" s="743">
        <f>(J654-J659)/J654</f>
        <v>6.633176132869751E-3</v>
      </c>
    </row>
    <row r="660" spans="1:11">
      <c r="A660" s="95">
        <v>12</v>
      </c>
      <c r="B660" s="732" t="s">
        <v>2039</v>
      </c>
      <c r="C660" s="238"/>
      <c r="D660" s="261"/>
      <c r="E660" s="261"/>
      <c r="F660" s="153"/>
      <c r="G660" s="153"/>
      <c r="H660" s="153"/>
      <c r="I660" s="20"/>
      <c r="J660" s="244"/>
      <c r="K660" s="244"/>
    </row>
    <row r="661" spans="1:11" ht="15.75">
      <c r="A661" s="153">
        <v>1</v>
      </c>
      <c r="B661" s="734" t="s">
        <v>261</v>
      </c>
      <c r="C661" s="238" t="s">
        <v>2040</v>
      </c>
      <c r="D661" s="838">
        <v>1559.7</v>
      </c>
      <c r="E661" s="838">
        <v>1754.7</v>
      </c>
      <c r="F661" s="261">
        <f>E661-D661</f>
        <v>195</v>
      </c>
      <c r="G661" s="153">
        <v>100</v>
      </c>
      <c r="H661" s="153">
        <f>F661*G661</f>
        <v>19500</v>
      </c>
      <c r="I661" s="20">
        <v>15200</v>
      </c>
      <c r="J661" s="244">
        <f>SUM(H661:I661)</f>
        <v>34700</v>
      </c>
      <c r="K661" s="153"/>
    </row>
    <row r="662" spans="1:11" ht="15.75">
      <c r="A662" s="153">
        <v>1</v>
      </c>
      <c r="B662" s="734" t="s">
        <v>261</v>
      </c>
      <c r="C662" s="238" t="s">
        <v>2041</v>
      </c>
      <c r="D662" s="838">
        <v>63.7</v>
      </c>
      <c r="E662" s="838">
        <v>63.7</v>
      </c>
      <c r="F662" s="261">
        <f>E662-D662</f>
        <v>0</v>
      </c>
      <c r="G662" s="153">
        <v>1000</v>
      </c>
      <c r="H662" s="153">
        <f>F662*G662</f>
        <v>0</v>
      </c>
      <c r="I662" s="14"/>
      <c r="J662" s="244">
        <f>SUM(H662:I662)</f>
        <v>0</v>
      </c>
      <c r="K662" s="153"/>
    </row>
    <row r="663" spans="1:11">
      <c r="A663" s="153"/>
      <c r="B663" s="734"/>
      <c r="C663" s="238"/>
      <c r="D663" s="153"/>
      <c r="E663" s="153"/>
      <c r="F663" s="261"/>
      <c r="G663" s="153"/>
      <c r="H663" s="153"/>
      <c r="I663" s="14"/>
      <c r="J663" s="244">
        <f>SUM(J661:J661)</f>
        <v>34700</v>
      </c>
      <c r="K663" s="153"/>
    </row>
    <row r="664" spans="1:11">
      <c r="A664" s="153"/>
      <c r="B664" s="733" t="s">
        <v>1767</v>
      </c>
      <c r="C664" s="238"/>
      <c r="D664" s="331"/>
      <c r="E664" s="331"/>
      <c r="F664" s="153"/>
      <c r="G664" s="153"/>
      <c r="H664" s="153"/>
      <c r="I664" s="14"/>
      <c r="J664" s="244"/>
      <c r="K664" s="244"/>
    </row>
    <row r="665" spans="1:11">
      <c r="A665" s="153">
        <v>52</v>
      </c>
      <c r="B665" s="734" t="s">
        <v>1451</v>
      </c>
      <c r="C665" s="238" t="s">
        <v>2042</v>
      </c>
      <c r="D665" s="153">
        <v>803.1</v>
      </c>
      <c r="E665" s="153">
        <v>921.9</v>
      </c>
      <c r="F665" s="261">
        <f>E665-D665</f>
        <v>118.79999999999995</v>
      </c>
      <c r="G665" s="153">
        <v>66.665999999999997</v>
      </c>
      <c r="H665" s="244">
        <f>F665*G665</f>
        <v>7919.9207999999962</v>
      </c>
      <c r="I665" s="20">
        <v>5260.0792000000001</v>
      </c>
      <c r="J665" s="244">
        <f>SUM(H665:I665)</f>
        <v>13179.999999999996</v>
      </c>
      <c r="K665" s="244" t="s">
        <v>2044</v>
      </c>
    </row>
    <row r="666" spans="1:11">
      <c r="A666" s="153">
        <v>53</v>
      </c>
      <c r="B666" s="734" t="s">
        <v>1452</v>
      </c>
      <c r="C666" s="238" t="s">
        <v>2043</v>
      </c>
      <c r="D666" s="261">
        <v>357.4</v>
      </c>
      <c r="E666" s="261">
        <v>392.9</v>
      </c>
      <c r="F666" s="261">
        <f>E666-D666</f>
        <v>35.5</v>
      </c>
      <c r="G666" s="153">
        <v>66.665999999999997</v>
      </c>
      <c r="H666" s="244">
        <f>F666*G666</f>
        <v>2366.643</v>
      </c>
      <c r="I666" s="20">
        <f>8420-H666</f>
        <v>6053.357</v>
      </c>
      <c r="J666" s="244">
        <f>SUM(H666:I666)</f>
        <v>8420</v>
      </c>
      <c r="K666" s="244"/>
    </row>
    <row r="667" spans="1:11">
      <c r="A667" s="153">
        <v>54</v>
      </c>
      <c r="B667" s="734" t="s">
        <v>2045</v>
      </c>
      <c r="C667" s="238" t="s">
        <v>2046</v>
      </c>
      <c r="D667" s="261">
        <v>155836</v>
      </c>
      <c r="E667" s="261">
        <v>155838.79999999999</v>
      </c>
      <c r="F667" s="261">
        <f>E667-D667</f>
        <v>2.7999999999883585</v>
      </c>
      <c r="G667" s="153">
        <v>1500</v>
      </c>
      <c r="H667" s="153">
        <f>F667*G667</f>
        <v>4199.9999999825377</v>
      </c>
      <c r="I667" s="20">
        <f>J668</f>
        <v>8250</v>
      </c>
      <c r="J667" s="244">
        <f>SUM(H667:I667)</f>
        <v>12449.999999982538</v>
      </c>
      <c r="K667" s="153"/>
    </row>
    <row r="668" spans="1:11">
      <c r="A668" s="153"/>
      <c r="B668" s="734" t="s">
        <v>2045</v>
      </c>
      <c r="C668" s="238" t="s">
        <v>2046</v>
      </c>
      <c r="D668" s="261">
        <v>1139.3</v>
      </c>
      <c r="E668" s="261">
        <v>1144.8</v>
      </c>
      <c r="F668" s="261">
        <f>E668-D668</f>
        <v>5.5</v>
      </c>
      <c r="G668" s="153">
        <v>1500</v>
      </c>
      <c r="H668" s="153">
        <f>F668*G668</f>
        <v>8250</v>
      </c>
      <c r="I668" s="14"/>
      <c r="J668" s="244">
        <f>SUM(H668:I668)</f>
        <v>8250</v>
      </c>
      <c r="K668" s="153"/>
    </row>
    <row r="669" spans="1:11">
      <c r="A669" s="153"/>
      <c r="B669" s="734"/>
      <c r="C669" s="238"/>
      <c r="D669" s="331"/>
      <c r="E669" s="331"/>
      <c r="F669" s="261"/>
      <c r="G669" s="153"/>
      <c r="H669" s="153"/>
      <c r="I669" s="14"/>
      <c r="J669" s="244">
        <f>J665+J666+J667</f>
        <v>34049.999999982538</v>
      </c>
      <c r="K669" s="743">
        <f>(J663-J669)/J663</f>
        <v>1.8731988473125714E-2</v>
      </c>
    </row>
    <row r="670" spans="1:11">
      <c r="A670" s="95">
        <v>12</v>
      </c>
      <c r="B670" s="732" t="s">
        <v>2047</v>
      </c>
      <c r="C670" s="238"/>
      <c r="D670" s="331"/>
      <c r="E670" s="331"/>
      <c r="F670" s="261"/>
      <c r="G670" s="153"/>
      <c r="H670" s="153"/>
      <c r="I670" s="14"/>
      <c r="J670" s="244"/>
      <c r="K670" s="743"/>
    </row>
    <row r="671" spans="1:11" ht="15.75">
      <c r="A671" s="153"/>
      <c r="B671" s="734" t="s">
        <v>2048</v>
      </c>
      <c r="C671" s="238" t="s">
        <v>2049</v>
      </c>
      <c r="D671" s="838">
        <v>1806.84</v>
      </c>
      <c r="E671" s="838">
        <v>1944.04</v>
      </c>
      <c r="F671" s="261">
        <f>E671-D671</f>
        <v>137.20000000000005</v>
      </c>
      <c r="G671" s="153">
        <v>24000</v>
      </c>
      <c r="H671" s="153">
        <f>F671*G671</f>
        <v>3292800.0000000009</v>
      </c>
      <c r="I671" s="14">
        <v>0</v>
      </c>
      <c r="J671" s="244">
        <f>SUM(H671:I671)</f>
        <v>3292800.0000000009</v>
      </c>
      <c r="K671" s="743"/>
    </row>
    <row r="672" spans="1:11">
      <c r="A672" s="153"/>
      <c r="B672" s="734"/>
      <c r="C672" s="238"/>
      <c r="D672" s="153"/>
      <c r="E672" s="153"/>
      <c r="F672" s="261"/>
      <c r="G672" s="153"/>
      <c r="H672" s="153"/>
      <c r="I672" s="14"/>
      <c r="J672" s="244">
        <f>SUM(J671:J671)</f>
        <v>3292800.0000000009</v>
      </c>
      <c r="K672" s="743"/>
    </row>
    <row r="673" spans="1:11">
      <c r="A673" s="153"/>
      <c r="B673" s="733" t="s">
        <v>1767</v>
      </c>
      <c r="C673" s="238"/>
      <c r="D673" s="331"/>
      <c r="E673" s="331"/>
      <c r="F673" s="261"/>
      <c r="G673" s="153"/>
      <c r="H673" s="153"/>
      <c r="I673" s="14"/>
      <c r="J673" s="244"/>
      <c r="K673" s="743"/>
    </row>
    <row r="674" spans="1:11">
      <c r="A674" s="153"/>
      <c r="B674" s="734" t="s">
        <v>2050</v>
      </c>
      <c r="C674" s="238" t="s">
        <v>2051</v>
      </c>
      <c r="D674" s="153">
        <v>3668.32</v>
      </c>
      <c r="E674" s="153">
        <v>3990.76</v>
      </c>
      <c r="F674" s="261">
        <f>E674-D674</f>
        <v>322.44000000000005</v>
      </c>
      <c r="G674" s="153">
        <v>6000</v>
      </c>
      <c r="H674" s="153">
        <f>F674*G674</f>
        <v>1934640.0000000002</v>
      </c>
      <c r="I674" s="20"/>
      <c r="J674" s="244">
        <f>SUM(H674:I674)</f>
        <v>1934640.0000000002</v>
      </c>
      <c r="K674" s="244" t="s">
        <v>2044</v>
      </c>
    </row>
    <row r="675" spans="1:11">
      <c r="A675" s="153"/>
      <c r="B675" s="734" t="s">
        <v>2052</v>
      </c>
      <c r="C675" s="238" t="s">
        <v>2053</v>
      </c>
      <c r="D675" s="261">
        <v>1496.6</v>
      </c>
      <c r="E675" s="261">
        <v>1571.88</v>
      </c>
      <c r="F675" s="261">
        <f>E675-D675</f>
        <v>75.2800000000002</v>
      </c>
      <c r="G675" s="153">
        <v>6000</v>
      </c>
      <c r="H675" s="153">
        <f>F675*G675</f>
        <v>451680.00000000122</v>
      </c>
      <c r="I675" s="20">
        <v>40819.999999998799</v>
      </c>
      <c r="J675" s="244">
        <f>SUM(H675:I675)</f>
        <v>492500</v>
      </c>
      <c r="K675" s="244"/>
    </row>
    <row r="676" spans="1:11">
      <c r="A676" s="153"/>
      <c r="B676" s="734" t="s">
        <v>2054</v>
      </c>
      <c r="C676" s="238" t="s">
        <v>2055</v>
      </c>
      <c r="D676" s="261">
        <v>72.3</v>
      </c>
      <c r="E676" s="261">
        <v>129.81</v>
      </c>
      <c r="F676" s="261">
        <f>E676-D676</f>
        <v>57.510000000000005</v>
      </c>
      <c r="G676" s="153">
        <v>6000</v>
      </c>
      <c r="H676" s="153">
        <f>F676*G676</f>
        <v>345060.00000000006</v>
      </c>
      <c r="I676" s="20">
        <v>457319.97</v>
      </c>
      <c r="J676" s="244">
        <f>SUM(H676:I676)</f>
        <v>802379.97</v>
      </c>
      <c r="K676" s="244"/>
    </row>
    <row r="677" spans="1:11">
      <c r="A677" s="153"/>
      <c r="B677" s="734"/>
      <c r="C677" s="238"/>
      <c r="D677" s="261"/>
      <c r="E677" s="261"/>
      <c r="F677" s="261"/>
      <c r="G677" s="153"/>
      <c r="H677" s="153"/>
      <c r="I677" s="20"/>
      <c r="J677" s="244">
        <f>SUM(J674:J676)</f>
        <v>3229519.9699999997</v>
      </c>
      <c r="K677" s="743">
        <f>(J671-J677)/J671</f>
        <v>1.9217696185617462E-2</v>
      </c>
    </row>
    <row r="678" spans="1:11">
      <c r="A678" s="95">
        <v>12</v>
      </c>
      <c r="B678" s="732" t="s">
        <v>2056</v>
      </c>
      <c r="C678" s="238"/>
      <c r="D678" s="261"/>
      <c r="E678" s="261"/>
      <c r="F678" s="153"/>
      <c r="G678" s="153"/>
      <c r="H678" s="153"/>
      <c r="I678" s="20"/>
      <c r="J678" s="244"/>
      <c r="K678" s="244"/>
    </row>
    <row r="679" spans="1:11" ht="15.75">
      <c r="A679" s="153">
        <v>1</v>
      </c>
      <c r="B679" s="734" t="s">
        <v>2057</v>
      </c>
      <c r="C679" s="153" t="s">
        <v>2058</v>
      </c>
      <c r="D679" s="838">
        <v>3823</v>
      </c>
      <c r="E679" s="838">
        <v>5230</v>
      </c>
      <c r="F679" s="261">
        <f>E679-D679</f>
        <v>1407</v>
      </c>
      <c r="G679" s="153">
        <v>60</v>
      </c>
      <c r="H679" s="153">
        <f>F679*G679</f>
        <v>84420</v>
      </c>
      <c r="I679" s="14">
        <v>1450000</v>
      </c>
      <c r="J679" s="244">
        <f>SUM(H679:I679)</f>
        <v>1534420</v>
      </c>
      <c r="K679" s="153"/>
    </row>
    <row r="680" spans="1:11" ht="15.75">
      <c r="A680" s="153">
        <v>1</v>
      </c>
      <c r="B680" s="734" t="s">
        <v>2059</v>
      </c>
      <c r="C680" s="153" t="s">
        <v>2060</v>
      </c>
      <c r="D680" s="838">
        <v>0</v>
      </c>
      <c r="E680" s="838">
        <v>0</v>
      </c>
      <c r="F680" s="261">
        <f>E680-D680</f>
        <v>0</v>
      </c>
      <c r="G680" s="153">
        <v>60</v>
      </c>
      <c r="H680" s="153">
        <f>F680*G680</f>
        <v>0</v>
      </c>
      <c r="I680" s="14"/>
      <c r="J680" s="244">
        <f>SUM(H680:I680)</f>
        <v>0</v>
      </c>
      <c r="K680" s="153"/>
    </row>
    <row r="681" spans="1:11">
      <c r="A681" s="153"/>
      <c r="B681" s="734"/>
      <c r="C681" s="238"/>
      <c r="D681" s="153"/>
      <c r="E681" s="153"/>
      <c r="F681" s="261"/>
      <c r="G681" s="153"/>
      <c r="H681" s="153"/>
      <c r="I681" s="14"/>
      <c r="J681" s="244">
        <f>SUM(J679:J679)</f>
        <v>1534420</v>
      </c>
      <c r="K681" s="153"/>
    </row>
    <row r="682" spans="1:11">
      <c r="A682" s="153"/>
      <c r="B682" s="733" t="s">
        <v>1767</v>
      </c>
      <c r="C682" s="238"/>
      <c r="D682" s="331"/>
      <c r="E682" s="331"/>
      <c r="F682" s="153"/>
      <c r="G682" s="153"/>
      <c r="H682" s="153"/>
      <c r="I682" s="14"/>
      <c r="J682" s="244"/>
      <c r="K682" s="244"/>
    </row>
    <row r="683" spans="1:11">
      <c r="A683" s="153">
        <v>52</v>
      </c>
      <c r="B683" s="734" t="s">
        <v>1451</v>
      </c>
      <c r="C683" s="153" t="s">
        <v>2061</v>
      </c>
      <c r="D683" s="153">
        <v>0</v>
      </c>
      <c r="E683" s="153">
        <v>1172</v>
      </c>
      <c r="F683" s="261">
        <f>E683-D683</f>
        <v>1172</v>
      </c>
      <c r="G683" s="153">
        <v>40</v>
      </c>
      <c r="H683" s="244">
        <f>F683*G683</f>
        <v>46880</v>
      </c>
      <c r="I683" s="20">
        <v>1304940.1499968001</v>
      </c>
      <c r="J683" s="244">
        <f>SUM(H683:I683)</f>
        <v>1351820.1499968001</v>
      </c>
      <c r="K683" s="244" t="s">
        <v>2044</v>
      </c>
    </row>
    <row r="684" spans="1:11">
      <c r="A684" s="153">
        <v>53</v>
      </c>
      <c r="B684" s="734" t="s">
        <v>1452</v>
      </c>
      <c r="C684" s="153" t="s">
        <v>2062</v>
      </c>
      <c r="D684" s="261">
        <v>0</v>
      </c>
      <c r="E684" s="261">
        <v>0</v>
      </c>
      <c r="F684" s="261">
        <f>E684-D684</f>
        <v>0</v>
      </c>
      <c r="G684" s="153">
        <v>40</v>
      </c>
      <c r="H684" s="244">
        <f>F684*G684</f>
        <v>0</v>
      </c>
      <c r="I684" s="14"/>
      <c r="J684" s="244">
        <f>SUM(H684:I684)</f>
        <v>0</v>
      </c>
      <c r="K684" s="244"/>
    </row>
    <row r="685" spans="1:11">
      <c r="A685" s="153">
        <v>54</v>
      </c>
      <c r="B685" s="734" t="s">
        <v>2045</v>
      </c>
      <c r="C685" s="153" t="s">
        <v>2063</v>
      </c>
      <c r="D685" s="261">
        <v>0</v>
      </c>
      <c r="E685" s="261">
        <v>56.5</v>
      </c>
      <c r="F685" s="261">
        <f>E685-D685</f>
        <v>56.5</v>
      </c>
      <c r="G685" s="153">
        <v>40</v>
      </c>
      <c r="H685" s="153">
        <f>F685*G685</f>
        <v>2260</v>
      </c>
      <c r="I685" s="20">
        <v>51603.814400000003</v>
      </c>
      <c r="J685" s="244">
        <f>SUM(H685:I685)</f>
        <v>53863.814400000003</v>
      </c>
      <c r="K685" s="153"/>
    </row>
    <row r="686" spans="1:11">
      <c r="A686" s="153"/>
      <c r="B686" s="734" t="s">
        <v>2045</v>
      </c>
      <c r="C686" s="153" t="s">
        <v>2063</v>
      </c>
      <c r="D686" s="261">
        <v>0</v>
      </c>
      <c r="E686" s="261">
        <v>26</v>
      </c>
      <c r="F686" s="261">
        <f>E686-D686</f>
        <v>26</v>
      </c>
      <c r="G686" s="153">
        <v>40</v>
      </c>
      <c r="H686" s="153">
        <f>F686*G686</f>
        <v>1040</v>
      </c>
      <c r="I686" s="20"/>
      <c r="J686" s="244"/>
      <c r="K686" s="153"/>
    </row>
    <row r="687" spans="1:11">
      <c r="A687" s="153"/>
      <c r="B687" s="734" t="s">
        <v>2064</v>
      </c>
      <c r="C687" s="153" t="s">
        <v>2065</v>
      </c>
      <c r="D687" s="261">
        <v>0</v>
      </c>
      <c r="E687" s="261">
        <v>137.5</v>
      </c>
      <c r="F687" s="261">
        <f>E687-D687</f>
        <v>137.5</v>
      </c>
      <c r="G687" s="153">
        <v>40</v>
      </c>
      <c r="H687" s="153">
        <f>F687*G687</f>
        <v>5500</v>
      </c>
      <c r="I687" s="20">
        <v>102227.62880000001</v>
      </c>
      <c r="J687" s="244">
        <f>SUM(H687:I687)</f>
        <v>107727.62880000001</v>
      </c>
      <c r="K687" s="153"/>
    </row>
    <row r="688" spans="1:11">
      <c r="A688" s="153"/>
      <c r="B688" s="734"/>
      <c r="C688" s="238"/>
      <c r="D688" s="331"/>
      <c r="E688" s="331"/>
      <c r="F688" s="261"/>
      <c r="G688" s="153"/>
      <c r="H688" s="153"/>
      <c r="I688" s="14"/>
      <c r="J688" s="244">
        <f>J683+J684+J685+J687</f>
        <v>1513411.5931968002</v>
      </c>
      <c r="K688" s="743">
        <f>(J681-J688)/J681</f>
        <v>1.3691431813453806E-2</v>
      </c>
    </row>
    <row r="689" spans="1:11">
      <c r="A689" s="153" t="s">
        <v>2068</v>
      </c>
      <c r="B689" s="734" t="s">
        <v>2069</v>
      </c>
      <c r="C689" s="238">
        <v>3628907</v>
      </c>
      <c r="D689" s="839">
        <v>441220.3</v>
      </c>
      <c r="E689" s="839">
        <v>441220.3</v>
      </c>
      <c r="F689" s="261">
        <f>E689-D689</f>
        <v>0</v>
      </c>
      <c r="G689" s="153">
        <v>1</v>
      </c>
      <c r="H689" s="244">
        <f>F689*G689</f>
        <v>0</v>
      </c>
      <c r="I689" s="153">
        <v>0</v>
      </c>
      <c r="J689" s="244">
        <f>H689+I689</f>
        <v>0</v>
      </c>
      <c r="K689" s="153"/>
    </row>
    <row r="690" spans="1:11">
      <c r="A690" s="153"/>
      <c r="B690" s="734" t="s">
        <v>5</v>
      </c>
      <c r="C690" s="238"/>
      <c r="D690" s="839"/>
      <c r="E690" s="839"/>
      <c r="F690" s="261"/>
      <c r="G690" s="153"/>
      <c r="H690" s="153"/>
      <c r="I690" s="14"/>
      <c r="J690" s="153"/>
      <c r="K690" s="247"/>
    </row>
    <row r="691" spans="1:11">
      <c r="A691" s="153">
        <v>1</v>
      </c>
      <c r="B691" s="840" t="s">
        <v>2070</v>
      </c>
      <c r="C691" s="238" t="s">
        <v>338</v>
      </c>
      <c r="D691" s="153">
        <v>31050</v>
      </c>
      <c r="E691" s="153">
        <v>34510</v>
      </c>
      <c r="F691" s="261">
        <f>E691-D691</f>
        <v>3460</v>
      </c>
      <c r="G691" s="153">
        <v>20</v>
      </c>
      <c r="H691" s="153">
        <f>F691*G691</f>
        <v>69200</v>
      </c>
      <c r="I691" s="14"/>
      <c r="J691" s="244">
        <f>SUM(H691:I691)</f>
        <v>69200</v>
      </c>
      <c r="K691" s="247"/>
    </row>
    <row r="692" spans="1:11">
      <c r="A692" s="153">
        <v>2</v>
      </c>
      <c r="B692" s="734" t="s">
        <v>2071</v>
      </c>
      <c r="C692" s="238" t="s">
        <v>2072</v>
      </c>
      <c r="D692" s="153">
        <v>26601.3</v>
      </c>
      <c r="E692" s="153">
        <v>26601.3</v>
      </c>
      <c r="F692" s="153">
        <f>E692-D692</f>
        <v>0</v>
      </c>
      <c r="G692" s="153">
        <v>2000</v>
      </c>
      <c r="H692" s="153">
        <f>F692*G692</f>
        <v>0</v>
      </c>
      <c r="I692" s="244">
        <v>308040.00000000099</v>
      </c>
      <c r="J692" s="244">
        <f>H692+I692</f>
        <v>308040.00000000099</v>
      </c>
      <c r="K692" s="153"/>
    </row>
    <row r="693" spans="1:11">
      <c r="A693" s="153">
        <v>3</v>
      </c>
      <c r="B693" s="734" t="s">
        <v>2073</v>
      </c>
      <c r="C693" s="238" t="s">
        <v>2074</v>
      </c>
      <c r="D693" s="261">
        <v>47960.5</v>
      </c>
      <c r="E693" s="261">
        <v>47960.5</v>
      </c>
      <c r="F693" s="153">
        <f>E693-D693</f>
        <v>0</v>
      </c>
      <c r="G693" s="153">
        <v>2000</v>
      </c>
      <c r="H693" s="153">
        <f>F693*G693</f>
        <v>0</v>
      </c>
      <c r="I693" s="153"/>
      <c r="J693" s="153">
        <f>H693+I693</f>
        <v>0</v>
      </c>
      <c r="K693" s="244"/>
    </row>
    <row r="694" spans="1:11">
      <c r="A694" s="153"/>
      <c r="B694" s="734" t="s">
        <v>2001</v>
      </c>
      <c r="C694" s="238"/>
      <c r="D694" s="261"/>
      <c r="E694" s="261"/>
      <c r="F694" s="153"/>
      <c r="G694" s="153"/>
      <c r="H694" s="153"/>
      <c r="I694" s="153"/>
      <c r="J694" s="244">
        <f>J620</f>
        <v>0</v>
      </c>
      <c r="K694" s="244"/>
    </row>
    <row r="695" spans="1:11">
      <c r="A695" s="153"/>
      <c r="B695" s="238"/>
      <c r="C695" s="238"/>
      <c r="D695" s="153"/>
      <c r="E695" s="153"/>
      <c r="F695" s="153"/>
      <c r="G695" s="153"/>
      <c r="H695" s="153"/>
      <c r="I695" s="14"/>
      <c r="J695" s="349">
        <f>SUM(J691:J694)</f>
        <v>377240.00000000099</v>
      </c>
      <c r="K695" s="153"/>
    </row>
    <row r="696" spans="1:11">
      <c r="A696" s="153"/>
      <c r="B696" s="238" t="s">
        <v>2075</v>
      </c>
      <c r="C696" s="238"/>
      <c r="D696" s="153"/>
      <c r="E696" s="153"/>
      <c r="F696" s="153"/>
      <c r="G696" s="153"/>
      <c r="H696" s="153"/>
      <c r="I696" s="20"/>
      <c r="J696" s="244">
        <f>J538+J552+J566+J576+J593+J603+J612+J625+J637+J646+J654+J663+J689+J672-J695</f>
        <v>52863001.999999948</v>
      </c>
      <c r="K696" s="743">
        <f>(J696-J697)/J696</f>
        <v>1.0026696190426903E-2</v>
      </c>
    </row>
    <row r="697" spans="1:11">
      <c r="A697" s="153"/>
      <c r="B697" s="238" t="s">
        <v>2076</v>
      </c>
      <c r="C697" s="238"/>
      <c r="D697" s="153"/>
      <c r="E697" s="153"/>
      <c r="F697" s="841"/>
      <c r="G697" s="153"/>
      <c r="H697" s="153"/>
      <c r="I697" s="153"/>
      <c r="J697" s="349">
        <f>J545+J562+J571+J588+J599+J608+J621+J632+J643+J651+J659+J669+J689+J677-J695</f>
        <v>52332960.739232019</v>
      </c>
      <c r="K697" s="153"/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E29"/>
  <sheetViews>
    <sheetView zoomScaleNormal="100" workbookViewId="0">
      <selection activeCell="D2" sqref="A2:E29"/>
    </sheetView>
  </sheetViews>
  <sheetFormatPr defaultRowHeight="15"/>
  <cols>
    <col min="1" max="1" width="5.7109375" customWidth="1"/>
    <col min="2" max="2" width="11.28515625" customWidth="1"/>
    <col min="3" max="3" width="46.85546875" customWidth="1"/>
    <col min="4" max="4" width="8.7109375" customWidth="1"/>
    <col min="5" max="5" width="22" customWidth="1"/>
    <col min="6" max="1025" width="8.7109375" customWidth="1"/>
  </cols>
  <sheetData>
    <row r="1" spans="1:5" ht="20.25">
      <c r="A1" s="1374" t="s">
        <v>15</v>
      </c>
      <c r="B1" s="1374"/>
      <c r="C1" s="1374"/>
      <c r="D1" s="1374"/>
      <c r="E1" s="1374"/>
    </row>
    <row r="2" spans="1:5">
      <c r="A2" s="12"/>
      <c r="B2" s="12"/>
      <c r="C2" s="1063"/>
      <c r="D2" s="1375" t="s">
        <v>2794</v>
      </c>
      <c r="E2" s="1375"/>
    </row>
    <row r="3" spans="1:5" ht="15.75">
      <c r="A3" s="1376" t="s">
        <v>2795</v>
      </c>
      <c r="B3" s="1376"/>
      <c r="C3" s="1376"/>
      <c r="D3" s="1064"/>
      <c r="E3" s="1065" t="str">
        <f>'CIRCLE INPUT'!Q3</f>
        <v>OCT.2024</v>
      </c>
    </row>
    <row r="4" spans="1:5">
      <c r="A4" s="1377"/>
      <c r="B4" s="1377"/>
      <c r="C4" s="1063"/>
      <c r="D4" s="1066" t="s">
        <v>2796</v>
      </c>
      <c r="E4" s="12"/>
    </row>
    <row r="5" spans="1:5" ht="15" customHeight="1">
      <c r="A5" s="1369" t="s">
        <v>888</v>
      </c>
      <c r="B5" s="1369" t="s">
        <v>2797</v>
      </c>
      <c r="C5" s="1373" t="s">
        <v>2798</v>
      </c>
      <c r="D5" s="1369" t="s">
        <v>2799</v>
      </c>
      <c r="E5" s="1369" t="s">
        <v>2800</v>
      </c>
    </row>
    <row r="6" spans="1:5">
      <c r="A6" s="1369"/>
      <c r="B6" s="1369"/>
      <c r="C6" s="1373"/>
      <c r="D6" s="1369"/>
      <c r="E6" s="1369"/>
    </row>
    <row r="7" spans="1:5">
      <c r="A7" s="1067"/>
      <c r="B7" s="1067"/>
      <c r="C7" s="1068"/>
      <c r="D7" s="1067"/>
      <c r="E7" s="1067"/>
    </row>
    <row r="8" spans="1:5">
      <c r="A8" s="1067"/>
      <c r="B8" s="1067"/>
      <c r="C8" s="1068"/>
      <c r="D8" s="1067"/>
      <c r="E8" s="1067"/>
    </row>
    <row r="9" spans="1:5">
      <c r="A9" s="220">
        <v>1</v>
      </c>
      <c r="B9" s="220">
        <v>2</v>
      </c>
      <c r="C9" s="8">
        <v>3</v>
      </c>
      <c r="D9" s="8">
        <v>4</v>
      </c>
      <c r="E9" s="8">
        <v>5</v>
      </c>
    </row>
    <row r="10" spans="1:5" ht="25.5" customHeight="1">
      <c r="A10" s="327">
        <v>1</v>
      </c>
      <c r="B10" s="1372" t="s">
        <v>2801</v>
      </c>
      <c r="C10" s="1069" t="s">
        <v>2802</v>
      </c>
      <c r="D10" s="1070">
        <f>MIS!C14</f>
        <v>1509.4821267000002</v>
      </c>
      <c r="E10" s="327"/>
    </row>
    <row r="11" spans="1:5">
      <c r="A11" s="327">
        <v>2</v>
      </c>
      <c r="B11" s="1372"/>
      <c r="C11" s="1069" t="s">
        <v>2803</v>
      </c>
      <c r="D11" s="1070">
        <f>MIS!H14</f>
        <v>156.57211999999998</v>
      </c>
      <c r="E11" s="327"/>
    </row>
    <row r="12" spans="1:5" ht="25.5">
      <c r="A12" s="327">
        <v>3</v>
      </c>
      <c r="B12" s="1372"/>
      <c r="C12" s="1069" t="s">
        <v>2804</v>
      </c>
      <c r="D12" s="1070">
        <f>MIS!F14</f>
        <v>1330.4583199999981</v>
      </c>
      <c r="E12" s="327"/>
    </row>
    <row r="13" spans="1:5">
      <c r="A13" s="327">
        <v>4</v>
      </c>
      <c r="B13" s="1372"/>
      <c r="C13" s="1069" t="s">
        <v>2805</v>
      </c>
      <c r="D13" s="1070">
        <f>D10-(D11+D12)</f>
        <v>22.451686700002028</v>
      </c>
      <c r="E13" s="327"/>
    </row>
    <row r="14" spans="1:5">
      <c r="A14" s="220">
        <v>5</v>
      </c>
      <c r="B14" s="1372"/>
      <c r="C14" s="1069" t="s">
        <v>2806</v>
      </c>
      <c r="D14" s="1070">
        <f>SUM(D13*100/D10)</f>
        <v>1.487376783260459</v>
      </c>
      <c r="E14" s="327"/>
    </row>
    <row r="15" spans="1:5">
      <c r="A15" s="1071"/>
      <c r="B15" s="1072"/>
      <c r="C15" s="281"/>
      <c r="D15" s="1073"/>
      <c r="E15" s="1072"/>
    </row>
    <row r="16" spans="1:5" ht="30">
      <c r="A16" s="1074"/>
      <c r="B16" s="1074"/>
      <c r="C16" s="1075"/>
      <c r="D16" s="1076" t="s">
        <v>2807</v>
      </c>
      <c r="E16" s="1077"/>
    </row>
    <row r="17" spans="1:5" ht="15" customHeight="1">
      <c r="A17" s="1369" t="s">
        <v>1058</v>
      </c>
      <c r="B17" s="1369" t="s">
        <v>2797</v>
      </c>
      <c r="C17" s="1373" t="s">
        <v>2798</v>
      </c>
      <c r="D17" s="1369" t="s">
        <v>2799</v>
      </c>
      <c r="E17" s="1369" t="s">
        <v>2800</v>
      </c>
    </row>
    <row r="18" spans="1:5">
      <c r="A18" s="1369"/>
      <c r="B18" s="1369"/>
      <c r="C18" s="1373"/>
      <c r="D18" s="1369"/>
      <c r="E18" s="1369"/>
    </row>
    <row r="19" spans="1:5">
      <c r="A19" s="220">
        <v>1</v>
      </c>
      <c r="B19" s="220">
        <v>2</v>
      </c>
      <c r="C19" s="326">
        <v>3</v>
      </c>
      <c r="D19" s="7">
        <v>4</v>
      </c>
      <c r="E19" s="7">
        <v>5</v>
      </c>
    </row>
    <row r="20" spans="1:5" ht="15" customHeight="1">
      <c r="A20" s="327">
        <v>1</v>
      </c>
      <c r="B20" s="1262" t="s">
        <v>2801</v>
      </c>
      <c r="C20" s="1262" t="s">
        <v>2808</v>
      </c>
      <c r="D20" s="1370">
        <f>D12</f>
        <v>1330.4583199999981</v>
      </c>
      <c r="E20" s="1078"/>
    </row>
    <row r="21" spans="1:5">
      <c r="A21" s="1371">
        <v>2</v>
      </c>
      <c r="B21" s="1262"/>
      <c r="C21" s="1262"/>
      <c r="D21" s="1370"/>
      <c r="E21" s="327"/>
    </row>
    <row r="22" spans="1:5" ht="15" customHeight="1">
      <c r="A22" s="1371"/>
      <c r="B22" s="1262"/>
      <c r="C22" s="1262" t="s">
        <v>2809</v>
      </c>
      <c r="D22" s="1370">
        <v>0</v>
      </c>
      <c r="E22" s="327"/>
    </row>
    <row r="23" spans="1:5">
      <c r="A23" s="1371"/>
      <c r="B23" s="1262"/>
      <c r="C23" s="1262"/>
      <c r="D23" s="1370"/>
      <c r="E23" s="327"/>
    </row>
    <row r="24" spans="1:5">
      <c r="A24" s="327">
        <v>3</v>
      </c>
      <c r="B24" s="1262"/>
      <c r="C24" s="231" t="s">
        <v>2810</v>
      </c>
      <c r="D24" s="1070">
        <f>SUM(D20:D23)</f>
        <v>1330.4583199999981</v>
      </c>
      <c r="E24" s="327"/>
    </row>
    <row r="25" spans="1:5">
      <c r="A25" s="327">
        <v>4</v>
      </c>
      <c r="B25" s="1262"/>
      <c r="C25" s="231" t="s">
        <v>2811</v>
      </c>
      <c r="D25" s="1070">
        <f>MIS!I14</f>
        <v>41.656800000000004</v>
      </c>
      <c r="E25" s="327"/>
    </row>
    <row r="26" spans="1:5">
      <c r="A26" s="220">
        <v>5</v>
      </c>
      <c r="B26" s="1262"/>
      <c r="C26" s="231" t="s">
        <v>2812</v>
      </c>
      <c r="D26" s="1070">
        <f>MIS!J14</f>
        <v>797.01818000000003</v>
      </c>
      <c r="E26" s="327"/>
    </row>
    <row r="27" spans="1:5">
      <c r="A27" s="220">
        <v>6</v>
      </c>
      <c r="B27" s="1262"/>
      <c r="C27" s="231" t="s">
        <v>2813</v>
      </c>
      <c r="D27" s="1070">
        <f>SUM(D25+D26)</f>
        <v>838.67498000000001</v>
      </c>
      <c r="E27" s="327"/>
    </row>
    <row r="28" spans="1:5">
      <c r="A28" s="220">
        <v>7</v>
      </c>
      <c r="B28" s="1262"/>
      <c r="C28" s="231" t="s">
        <v>2814</v>
      </c>
      <c r="D28" s="1070">
        <f>SUM(D24-D27)</f>
        <v>491.78333999999813</v>
      </c>
      <c r="E28" s="327"/>
    </row>
    <row r="29" spans="1:5">
      <c r="A29" s="220">
        <v>8</v>
      </c>
      <c r="B29" s="1262"/>
      <c r="C29" s="231" t="s">
        <v>2815</v>
      </c>
      <c r="D29" s="1070">
        <f>SUM(D28*100/D24)</f>
        <v>36.963453315846742</v>
      </c>
      <c r="E29" s="327"/>
    </row>
  </sheetData>
  <mergeCells count="21">
    <mergeCell ref="A1:E1"/>
    <mergeCell ref="D2:E2"/>
    <mergeCell ref="A3:C3"/>
    <mergeCell ref="A4:B4"/>
    <mergeCell ref="A5:A6"/>
    <mergeCell ref="B5:B6"/>
    <mergeCell ref="C5:C6"/>
    <mergeCell ref="D5:D6"/>
    <mergeCell ref="E5:E6"/>
    <mergeCell ref="B10:B14"/>
    <mergeCell ref="A17:A18"/>
    <mergeCell ref="B17:B18"/>
    <mergeCell ref="C17:C18"/>
    <mergeCell ref="D17:D18"/>
    <mergeCell ref="E17:E18"/>
    <mergeCell ref="B20:B29"/>
    <mergeCell ref="C20:C21"/>
    <mergeCell ref="D20:D21"/>
    <mergeCell ref="A21:A23"/>
    <mergeCell ref="C22:C23"/>
    <mergeCell ref="D22:D23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921"/>
  <sheetViews>
    <sheetView topLeftCell="B1" zoomScaleNormal="100" workbookViewId="0">
      <selection activeCell="E4" sqref="E4"/>
    </sheetView>
  </sheetViews>
  <sheetFormatPr defaultRowHeight="15"/>
  <cols>
    <col min="1" max="1" width="5.5703125" customWidth="1"/>
    <col min="2" max="2" width="33.85546875" customWidth="1"/>
    <col min="3" max="3" width="29.42578125" customWidth="1"/>
    <col min="4" max="4" width="10.85546875" customWidth="1"/>
    <col min="5" max="6" width="9" customWidth="1"/>
    <col min="7" max="7" width="12.42578125" customWidth="1"/>
    <col min="8" max="8" width="5" customWidth="1"/>
    <col min="9" max="9" width="7" customWidth="1"/>
    <col min="10" max="10" width="10.28515625" customWidth="1"/>
    <col min="11" max="11" width="10.42578125" customWidth="1"/>
    <col min="12" max="1025" width="8.7109375" customWidth="1"/>
  </cols>
  <sheetData>
    <row r="1" spans="1:11" ht="18">
      <c r="A1" s="1378" t="s">
        <v>2816</v>
      </c>
      <c r="B1" s="1378"/>
      <c r="C1" s="1378"/>
      <c r="D1" s="1378"/>
      <c r="E1" s="1378"/>
      <c r="F1" s="1378"/>
      <c r="G1" s="1378"/>
      <c r="H1" s="1378"/>
      <c r="I1" s="1378"/>
      <c r="J1" s="1378"/>
      <c r="K1" s="1378"/>
    </row>
    <row r="2" spans="1:11">
      <c r="A2" s="1379" t="s">
        <v>1350</v>
      </c>
      <c r="B2" s="1379"/>
      <c r="C2" s="1379"/>
      <c r="D2" s="1379"/>
      <c r="E2" s="1380" t="str">
        <f>'CIRCLE INPUT'!Q3</f>
        <v>OCT.2024</v>
      </c>
      <c r="F2" s="1380"/>
      <c r="G2" s="152"/>
      <c r="H2" s="152"/>
      <c r="I2" s="152"/>
      <c r="J2" s="152"/>
      <c r="K2" s="152"/>
    </row>
    <row r="3" spans="1:11" s="1074" customFormat="1" ht="25.5" customHeight="1">
      <c r="A3" s="11" t="s">
        <v>345</v>
      </c>
      <c r="B3" s="11" t="s">
        <v>2817</v>
      </c>
      <c r="C3" s="11" t="s">
        <v>898</v>
      </c>
      <c r="D3" s="6" t="s">
        <v>1351</v>
      </c>
      <c r="E3" s="1262" t="s">
        <v>1352</v>
      </c>
      <c r="F3" s="1262"/>
      <c r="G3" s="6" t="s">
        <v>1353</v>
      </c>
      <c r="H3" s="11" t="s">
        <v>135</v>
      </c>
      <c r="I3" s="11" t="s">
        <v>13</v>
      </c>
      <c r="J3" s="1079" t="s">
        <v>292</v>
      </c>
      <c r="K3" s="6" t="s">
        <v>291</v>
      </c>
    </row>
    <row r="4" spans="1:11">
      <c r="A4" s="220">
        <v>1</v>
      </c>
      <c r="B4" s="220" t="str">
        <f>'SS INPUT'!B30</f>
        <v>33/11 KV BARAGHATA S/S</v>
      </c>
      <c r="C4" s="220" t="str">
        <f>'SS INPUT'!B36</f>
        <v>INDUSTRIAL</v>
      </c>
      <c r="D4" s="220" t="str">
        <f>'SS INPUT'!C36</f>
        <v>MPE24441</v>
      </c>
      <c r="E4" s="220">
        <f>'SS INPUT'!D36</f>
        <v>53961.2</v>
      </c>
      <c r="F4" s="220">
        <f>'SS INPUT'!E36</f>
        <v>54256.3</v>
      </c>
      <c r="G4" s="220">
        <f>'SS INPUT'!F36</f>
        <v>295.10000000000582</v>
      </c>
      <c r="H4" s="220">
        <f>'SS INPUT'!G36</f>
        <v>2000</v>
      </c>
      <c r="I4" s="220">
        <f>'SS INPUT'!H36</f>
        <v>590200.00000001164</v>
      </c>
      <c r="J4" s="220">
        <f>'SS INPUT'!I36</f>
        <v>0</v>
      </c>
      <c r="K4" s="220">
        <f>'SS INPUT'!J36</f>
        <v>590200.00000001164</v>
      </c>
    </row>
    <row r="5" spans="1:11">
      <c r="A5" s="220">
        <v>2</v>
      </c>
      <c r="B5" s="220" t="str">
        <f>'SS INPUT'!B122</f>
        <v>33/11 KV INDUSTRIAL AREA CHIRWAI</v>
      </c>
      <c r="C5" s="220" t="str">
        <f>'SS INPUT'!B126</f>
        <v>CHIRWAI INDUSTRIAL FDR NO. 1</v>
      </c>
      <c r="D5" s="220">
        <f>'SS INPUT'!C126</f>
        <v>3310877</v>
      </c>
      <c r="E5" s="220">
        <f>'SS INPUT'!D126</f>
        <v>172651</v>
      </c>
      <c r="F5" s="220">
        <f>'SS INPUT'!E126</f>
        <v>172651</v>
      </c>
      <c r="G5" s="220">
        <f>'SS INPUT'!F126</f>
        <v>0</v>
      </c>
      <c r="H5" s="220">
        <f>'SS INPUT'!G126</f>
        <v>30</v>
      </c>
      <c r="I5" s="220">
        <f>'SS INPUT'!H126</f>
        <v>0</v>
      </c>
      <c r="J5" s="220">
        <f>'SS INPUT'!I126</f>
        <v>54100.000000000007</v>
      </c>
      <c r="K5" s="220">
        <f>'SS INPUT'!J126</f>
        <v>54100.000000000007</v>
      </c>
    </row>
    <row r="6" spans="1:11">
      <c r="A6" s="220">
        <v>3</v>
      </c>
      <c r="B6" s="220" t="str">
        <f>'SS INPUT'!B122</f>
        <v>33/11 KV INDUSTRIAL AREA CHIRWAI</v>
      </c>
      <c r="C6" s="220" t="str">
        <f>'SS INPUT'!B127</f>
        <v>CHIRWAI INDUSTRIAL FDR NO. 2</v>
      </c>
      <c r="D6" s="220" t="str">
        <f>'SS INPUT'!C127</f>
        <v>Q0588876</v>
      </c>
      <c r="E6" s="220">
        <f>'SS INPUT'!D127</f>
        <v>21621.8</v>
      </c>
      <c r="F6" s="220">
        <f>'SS INPUT'!E127</f>
        <v>21621.8</v>
      </c>
      <c r="G6" s="220">
        <f>'SS INPUT'!F127</f>
        <v>0</v>
      </c>
      <c r="H6" s="220">
        <f>'SS INPUT'!G127</f>
        <v>0</v>
      </c>
      <c r="I6" s="220">
        <f>'SS INPUT'!H127</f>
        <v>0</v>
      </c>
      <c r="J6" s="220">
        <f>'SS INPUT'!I127</f>
        <v>382839</v>
      </c>
      <c r="K6" s="220">
        <f>'SS INPUT'!J127</f>
        <v>382839</v>
      </c>
    </row>
    <row r="7" spans="1:11">
      <c r="A7" s="220">
        <v>4</v>
      </c>
      <c r="B7" s="220" t="str">
        <f>'SS INPUT'!B339</f>
        <v>33/11 KV MAHARAJPURA S/S</v>
      </c>
      <c r="C7" s="220" t="str">
        <f>'SS INPUT'!B353</f>
        <v>INDUSTRIAL-1</v>
      </c>
      <c r="D7" s="220">
        <f>'SS INPUT'!C353</f>
        <v>3300079</v>
      </c>
      <c r="E7" s="220">
        <f>'SS INPUT'!D353</f>
        <v>82645</v>
      </c>
      <c r="F7" s="220">
        <f>'SS INPUT'!E353</f>
        <v>100783.8</v>
      </c>
      <c r="G7" s="220">
        <f>'SS INPUT'!F353</f>
        <v>20149.900000000001</v>
      </c>
      <c r="H7" s="220">
        <f>'SS INPUT'!G353</f>
        <v>20</v>
      </c>
      <c r="I7" s="220">
        <f>'SS INPUT'!H353</f>
        <v>402998</v>
      </c>
      <c r="J7" s="220">
        <f>'SS INPUT'!I353</f>
        <v>0</v>
      </c>
      <c r="K7" s="220">
        <f>'SS INPUT'!J353</f>
        <v>402998</v>
      </c>
    </row>
    <row r="8" spans="1:11">
      <c r="A8" s="220">
        <v>5</v>
      </c>
      <c r="B8" s="220" t="str">
        <f>'SS INPUT'!B339</f>
        <v>33/11 KV MAHARAJPURA S/S</v>
      </c>
      <c r="C8" s="220" t="str">
        <f>'SS INPUT'!B356</f>
        <v>INDUSTRIAL-2 (VAYU NAGAR)</v>
      </c>
      <c r="D8" s="220" t="str">
        <f>'SS INPUT'!C356</f>
        <v>MPE24390</v>
      </c>
      <c r="E8" s="220">
        <f>'SS INPUT'!D356</f>
        <v>72046.5</v>
      </c>
      <c r="F8" s="220">
        <f>'SS INPUT'!E356</f>
        <v>72411.3</v>
      </c>
      <c r="G8" s="220">
        <f>'SS INPUT'!F356</f>
        <v>364.80000000000291</v>
      </c>
      <c r="H8" s="220">
        <f>'SS INPUT'!G356</f>
        <v>2000</v>
      </c>
      <c r="I8" s="220">
        <f>'SS INPUT'!H356</f>
        <v>729600.00000000582</v>
      </c>
      <c r="J8" s="220">
        <f>'SS INPUT'!I356</f>
        <v>0</v>
      </c>
      <c r="K8" s="220">
        <f>'SS INPUT'!J356</f>
        <v>729600.00000000582</v>
      </c>
    </row>
    <row r="9" spans="1:11">
      <c r="A9" s="220">
        <v>6</v>
      </c>
      <c r="B9" s="220" t="str">
        <f>'SS INPUT'!B600</f>
        <v>33/11 KV IND. ESTATE B.NGR</v>
      </c>
      <c r="C9" s="220" t="str">
        <f>'SS INPUT'!B606</f>
        <v>E.S.I. INDUSTRIAL</v>
      </c>
      <c r="D9" s="220" t="str">
        <f>'SS INPUT'!C606</f>
        <v>X0976375</v>
      </c>
      <c r="E9" s="220">
        <f>'SS INPUT'!D606</f>
        <v>5568.05</v>
      </c>
      <c r="F9" s="220">
        <f>'SS INPUT'!E606</f>
        <v>5682.79</v>
      </c>
      <c r="G9" s="220">
        <f>'SS INPUT'!F606</f>
        <v>114.73999999999978</v>
      </c>
      <c r="H9" s="220">
        <f>'SS INPUT'!G606</f>
        <v>6000</v>
      </c>
      <c r="I9" s="220">
        <f>'SS INPUT'!H606</f>
        <v>688439.99999999872</v>
      </c>
      <c r="J9" s="220">
        <f>'SS INPUT'!I606</f>
        <v>0</v>
      </c>
      <c r="K9" s="220">
        <f>'SS INPUT'!J606</f>
        <v>688439.99999999872</v>
      </c>
    </row>
    <row r="10" spans="1:11">
      <c r="A10" s="1080"/>
      <c r="B10" s="1080"/>
    </row>
    <row r="11" spans="1:11">
      <c r="A11" s="1080"/>
      <c r="B11" s="1080"/>
    </row>
    <row r="12" spans="1:11">
      <c r="A12" s="1080"/>
      <c r="B12" s="1080"/>
    </row>
    <row r="13" spans="1:11">
      <c r="A13" s="1080"/>
      <c r="B13" s="1080"/>
    </row>
    <row r="14" spans="1:11">
      <c r="A14" s="1080"/>
      <c r="B14" s="1080"/>
    </row>
    <row r="15" spans="1:11">
      <c r="A15" s="1080"/>
      <c r="B15" s="1080"/>
    </row>
    <row r="16" spans="1:11">
      <c r="A16" s="1080"/>
      <c r="B16" s="1080"/>
    </row>
    <row r="17" spans="1:2">
      <c r="A17" s="1080"/>
      <c r="B17" s="1080"/>
    </row>
    <row r="18" spans="1:2">
      <c r="A18" s="1080"/>
      <c r="B18" s="1080"/>
    </row>
    <row r="19" spans="1:2">
      <c r="A19" s="1080"/>
      <c r="B19" s="1080"/>
    </row>
    <row r="20" spans="1:2">
      <c r="A20" s="1080"/>
      <c r="B20" s="1080"/>
    </row>
    <row r="31" spans="1:2">
      <c r="A31" s="1081"/>
      <c r="B31" s="1081"/>
    </row>
    <row r="32" spans="1:2">
      <c r="A32" s="1081"/>
      <c r="B32" s="1081"/>
    </row>
    <row r="33" spans="1:2">
      <c r="A33" s="1081"/>
      <c r="B33" s="1081"/>
    </row>
    <row r="34" spans="1:2">
      <c r="A34" s="1081"/>
      <c r="B34" s="1081"/>
    </row>
    <row r="35" spans="1:2">
      <c r="A35" s="1081"/>
      <c r="B35" s="1081"/>
    </row>
    <row r="36" spans="1:2">
      <c r="A36" s="1081"/>
      <c r="B36" s="1081"/>
    </row>
    <row r="37" spans="1:2">
      <c r="A37" s="1081"/>
      <c r="B37" s="1081"/>
    </row>
    <row r="38" spans="1:2">
      <c r="A38" s="1081"/>
      <c r="B38" s="1081"/>
    </row>
    <row r="39" spans="1:2">
      <c r="A39" s="1081"/>
      <c r="B39" s="1081"/>
    </row>
    <row r="40" spans="1:2">
      <c r="A40" s="1081"/>
      <c r="B40" s="1081"/>
    </row>
    <row r="41" spans="1:2">
      <c r="A41" s="1081"/>
      <c r="B41" s="1081"/>
    </row>
    <row r="42" spans="1:2">
      <c r="A42" s="1081"/>
      <c r="B42" s="1081"/>
    </row>
    <row r="43" spans="1:2">
      <c r="A43" s="1081"/>
      <c r="B43" s="1081"/>
    </row>
    <row r="44" spans="1:2">
      <c r="A44" s="1081"/>
      <c r="B44" s="1081"/>
    </row>
    <row r="45" spans="1:2">
      <c r="A45" s="1081"/>
      <c r="B45" s="1081"/>
    </row>
    <row r="46" spans="1:2">
      <c r="A46" s="1081"/>
      <c r="B46" s="1081"/>
    </row>
    <row r="47" spans="1:2">
      <c r="A47" s="1081"/>
      <c r="B47" s="1081"/>
    </row>
    <row r="48" spans="1:2">
      <c r="A48" s="1081"/>
      <c r="B48" s="1081"/>
    </row>
    <row r="69" spans="1:2">
      <c r="A69" s="1080"/>
      <c r="B69" s="1080"/>
    </row>
    <row r="70" spans="1:2">
      <c r="A70" s="1080"/>
      <c r="B70" s="1080"/>
    </row>
    <row r="71" spans="1:2">
      <c r="A71" s="1080"/>
      <c r="B71" s="1080"/>
    </row>
    <row r="72" spans="1:2">
      <c r="A72" s="1080"/>
      <c r="B72" s="1080"/>
    </row>
    <row r="73" spans="1:2">
      <c r="A73" s="1080"/>
      <c r="B73" s="1080"/>
    </row>
    <row r="74" spans="1:2">
      <c r="A74" s="1080"/>
      <c r="B74" s="1080"/>
    </row>
    <row r="75" spans="1:2">
      <c r="A75" s="1080"/>
      <c r="B75" s="1080"/>
    </row>
    <row r="76" spans="1:2">
      <c r="A76" s="1080"/>
      <c r="B76" s="1080"/>
    </row>
    <row r="77" spans="1:2">
      <c r="A77" s="1080"/>
      <c r="B77" s="1080"/>
    </row>
    <row r="78" spans="1:2">
      <c r="A78" s="1080"/>
      <c r="B78" s="1080"/>
    </row>
    <row r="79" spans="1:2">
      <c r="A79" s="1080"/>
      <c r="B79" s="1080"/>
    </row>
    <row r="80" spans="1:2">
      <c r="A80" s="1080"/>
      <c r="B80" s="1080"/>
    </row>
    <row r="81" spans="1:2">
      <c r="A81" s="1080"/>
      <c r="B81" s="1080"/>
    </row>
    <row r="82" spans="1:2">
      <c r="A82" s="1080"/>
      <c r="B82" s="1080"/>
    </row>
    <row r="83" spans="1:2">
      <c r="A83" s="1080"/>
      <c r="B83" s="1080"/>
    </row>
    <row r="84" spans="1:2">
      <c r="A84" s="1080"/>
      <c r="B84" s="1080"/>
    </row>
    <row r="85" spans="1:2">
      <c r="A85" s="1080"/>
      <c r="B85" s="1080"/>
    </row>
    <row r="86" spans="1:2">
      <c r="A86" s="1080"/>
      <c r="B86" s="1080"/>
    </row>
    <row r="87" spans="1:2">
      <c r="A87" s="1080"/>
      <c r="B87" s="1080"/>
    </row>
    <row r="88" spans="1:2">
      <c r="A88" s="1080"/>
      <c r="B88" s="1080"/>
    </row>
    <row r="89" spans="1:2">
      <c r="A89" s="1080"/>
      <c r="B89" s="1080"/>
    </row>
    <row r="90" spans="1:2">
      <c r="A90" s="1080"/>
      <c r="B90" s="1080"/>
    </row>
    <row r="91" spans="1:2">
      <c r="A91" s="1080"/>
      <c r="B91" s="1080"/>
    </row>
    <row r="92" spans="1:2">
      <c r="A92" s="1080"/>
      <c r="B92" s="1080"/>
    </row>
    <row r="93" spans="1:2">
      <c r="A93" s="1080"/>
      <c r="B93" s="1080"/>
    </row>
    <row r="94" spans="1:2">
      <c r="A94" s="1080"/>
      <c r="B94" s="1080"/>
    </row>
    <row r="145" spans="1:2">
      <c r="A145" s="1081"/>
      <c r="B145" s="1081"/>
    </row>
    <row r="242" spans="1:2">
      <c r="A242" s="1081"/>
      <c r="B242" s="1081"/>
    </row>
    <row r="339" spans="1:2">
      <c r="A339" s="1081"/>
      <c r="B339" s="1081"/>
    </row>
    <row r="436" spans="1:2">
      <c r="A436" s="1081"/>
      <c r="B436" s="1081"/>
    </row>
    <row r="533" spans="1:2">
      <c r="A533" s="1081"/>
      <c r="B533" s="1081"/>
    </row>
    <row r="630" spans="1:2">
      <c r="A630" s="1081"/>
      <c r="B630" s="1081"/>
    </row>
    <row r="727" spans="1:2">
      <c r="A727" s="1081"/>
      <c r="B727" s="1081"/>
    </row>
    <row r="824" spans="1:2">
      <c r="A824" s="1081"/>
      <c r="B824" s="1081"/>
    </row>
    <row r="921" spans="1:2">
      <c r="A921" s="1081"/>
      <c r="B921" s="1081"/>
    </row>
  </sheetData>
  <mergeCells count="4">
    <mergeCell ref="A1:K1"/>
    <mergeCell ref="A2:D2"/>
    <mergeCell ref="E2:F2"/>
    <mergeCell ref="E3:F3"/>
  </mergeCells>
  <pageMargins left="0" right="0" top="1.5" bottom="0" header="0.51180555555555496" footer="0.51180555555555496"/>
  <pageSetup firstPageNumber="0" orientation="landscape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MK87"/>
  <sheetViews>
    <sheetView topLeftCell="B7" zoomScaleNormal="100" workbookViewId="0">
      <selection activeCell="C14" sqref="C14"/>
    </sheetView>
  </sheetViews>
  <sheetFormatPr defaultRowHeight="15.75"/>
  <cols>
    <col min="1" max="1" width="7.85546875" style="965" customWidth="1"/>
    <col min="2" max="2" width="15.28515625" style="965" customWidth="1"/>
    <col min="3" max="3" width="25.7109375" style="965" customWidth="1"/>
    <col min="4" max="4" width="18.28515625" style="1082" customWidth="1"/>
    <col min="5" max="5" width="11.140625" style="965" customWidth="1"/>
    <col min="6" max="6" width="14.5703125" style="965" customWidth="1"/>
    <col min="7" max="7" width="7.85546875" style="965" hidden="1" customWidth="1"/>
    <col min="8" max="8" width="8.28515625" style="965" hidden="1" customWidth="1"/>
    <col min="9" max="9" width="18.85546875" style="1083" customWidth="1"/>
    <col min="10" max="10" width="19.28515625" style="1083" customWidth="1"/>
    <col min="11" max="11" width="19" style="1083" customWidth="1"/>
    <col min="12" max="12" width="18.140625" style="1083" customWidth="1"/>
    <col min="13" max="13" width="15" style="1083" customWidth="1"/>
    <col min="14" max="14" width="10.85546875" style="1083" hidden="1" customWidth="1"/>
    <col min="15" max="15" width="15" style="1083" customWidth="1"/>
    <col min="16" max="16" width="10.5703125" style="1083" customWidth="1"/>
    <col min="17" max="18" width="9.140625" style="1083" customWidth="1"/>
    <col min="19" max="19" width="15.28515625" style="1083" customWidth="1"/>
    <col min="20" max="1025" width="9.140625" style="965" customWidth="1"/>
  </cols>
  <sheetData>
    <row r="1" spans="1:21" ht="15.75" customHeight="1">
      <c r="A1" s="1383" t="s">
        <v>2818</v>
      </c>
      <c r="B1" s="1383" t="s">
        <v>2819</v>
      </c>
      <c r="C1" s="1383"/>
      <c r="D1" s="1084"/>
      <c r="E1" s="1084"/>
      <c r="F1" s="1084"/>
      <c r="G1" s="1084"/>
      <c r="H1" s="1084"/>
      <c r="I1" s="1085"/>
      <c r="J1" s="1085"/>
      <c r="K1" s="1085"/>
      <c r="L1" s="1085"/>
      <c r="M1" s="1085"/>
      <c r="N1" s="1085"/>
      <c r="O1" s="1086"/>
      <c r="P1" s="1086"/>
      <c r="Q1" s="1086"/>
    </row>
    <row r="2" spans="1:21">
      <c r="A2" s="1383"/>
      <c r="B2" s="1383"/>
      <c r="C2" s="1383"/>
      <c r="D2" s="1087"/>
      <c r="E2" s="1087"/>
      <c r="F2" s="1087"/>
      <c r="G2" s="1087"/>
      <c r="H2" s="1087"/>
      <c r="I2" s="1086"/>
      <c r="J2" s="1086"/>
      <c r="K2" s="1086"/>
      <c r="L2" s="1086"/>
      <c r="M2" s="1086"/>
      <c r="N2" s="1086"/>
      <c r="O2" s="1086"/>
      <c r="P2" s="1086"/>
      <c r="Q2" s="1086"/>
    </row>
    <row r="3" spans="1:21">
      <c r="A3" s="1383"/>
      <c r="B3" s="1383"/>
      <c r="C3" s="1383"/>
      <c r="D3" s="1087"/>
      <c r="E3" s="1087"/>
      <c r="F3" s="1087"/>
      <c r="G3" s="1087"/>
      <c r="H3" s="1087"/>
      <c r="I3" s="1086"/>
      <c r="J3" s="1086"/>
      <c r="K3" s="1086"/>
      <c r="L3" s="1086"/>
      <c r="M3" s="1086"/>
      <c r="N3" s="1086"/>
      <c r="O3" s="1086"/>
      <c r="P3" s="1086"/>
      <c r="Q3" s="1086"/>
    </row>
    <row r="4" spans="1:21">
      <c r="A4" s="1383"/>
      <c r="B4" s="1383"/>
      <c r="C4" s="1383"/>
      <c r="D4" s="1087"/>
      <c r="E4" s="1087"/>
      <c r="F4" s="1087"/>
      <c r="G4" s="1087"/>
      <c r="H4" s="1087"/>
      <c r="I4" s="1086"/>
      <c r="J4" s="1086"/>
      <c r="K4" s="1086"/>
      <c r="L4" s="1086"/>
      <c r="M4" s="1086"/>
      <c r="N4" s="1086"/>
      <c r="O4" s="1086"/>
      <c r="P4" s="1086"/>
      <c r="Q4" s="1086"/>
    </row>
    <row r="5" spans="1:21">
      <c r="A5" s="1383"/>
      <c r="B5" s="1383"/>
      <c r="C5" s="1383"/>
      <c r="D5" s="1087"/>
      <c r="E5" s="1087"/>
      <c r="F5" s="1087"/>
      <c r="G5" s="1087"/>
      <c r="H5" s="1087"/>
      <c r="I5" s="1086"/>
      <c r="J5" s="1086"/>
      <c r="K5" s="1086"/>
      <c r="L5" s="1086"/>
      <c r="M5" s="1086"/>
      <c r="N5" s="1086"/>
      <c r="O5" s="1086"/>
      <c r="P5" s="1086"/>
      <c r="Q5" s="1086"/>
    </row>
    <row r="6" spans="1:21">
      <c r="A6" s="1383"/>
      <c r="B6" s="1383"/>
      <c r="C6" s="1383"/>
      <c r="D6" s="1087" t="s">
        <v>2820</v>
      </c>
      <c r="E6" s="1087" t="s">
        <v>2821</v>
      </c>
      <c r="F6" s="1087"/>
      <c r="G6" s="1087"/>
      <c r="H6" s="1087"/>
      <c r="I6" s="1086"/>
      <c r="J6" s="1086"/>
      <c r="K6" s="1086"/>
      <c r="L6" s="1086"/>
      <c r="M6" s="1086"/>
      <c r="N6" s="1086"/>
      <c r="O6" s="1086"/>
      <c r="P6" s="1086"/>
      <c r="Q6" s="1086"/>
    </row>
    <row r="7" spans="1:21">
      <c r="A7" s="965">
        <v>2</v>
      </c>
      <c r="D7" s="794"/>
      <c r="E7" s="794"/>
      <c r="F7" s="794"/>
      <c r="G7" s="794"/>
      <c r="H7" s="794"/>
      <c r="I7" s="794"/>
      <c r="J7" s="794"/>
      <c r="K7" s="794"/>
      <c r="L7" s="1088" t="str">
        <f>'CIRCLE INPUT'!Q3</f>
        <v>OCT.2024</v>
      </c>
      <c r="M7" s="794"/>
      <c r="N7" s="794"/>
      <c r="O7" s="794"/>
      <c r="P7" s="794"/>
      <c r="Q7" s="794"/>
      <c r="R7" s="794"/>
      <c r="S7" s="794"/>
    </row>
    <row r="8" spans="1:21" ht="45">
      <c r="C8" s="1089" t="s">
        <v>2822</v>
      </c>
      <c r="D8" s="1090"/>
      <c r="E8" s="623"/>
      <c r="F8" s="623" t="s">
        <v>2823</v>
      </c>
      <c r="G8" s="882" t="s">
        <v>2824</v>
      </c>
      <c r="H8" s="882" t="s">
        <v>2825</v>
      </c>
      <c r="I8" s="615"/>
      <c r="J8" s="615"/>
      <c r="K8" s="615"/>
      <c r="L8" s="1091"/>
      <c r="M8" s="615"/>
      <c r="N8" s="615"/>
      <c r="O8" s="615"/>
      <c r="P8" s="615"/>
      <c r="Q8" s="615"/>
      <c r="R8" s="615"/>
      <c r="S8" s="615"/>
    </row>
    <row r="9" spans="1:21" s="1092" customFormat="1" ht="15">
      <c r="D9" s="794"/>
      <c r="E9" s="615"/>
      <c r="F9" s="615"/>
      <c r="G9" s="615"/>
      <c r="H9" s="615"/>
      <c r="I9" s="615" t="s">
        <v>1289</v>
      </c>
      <c r="J9" s="615" t="s">
        <v>2826</v>
      </c>
      <c r="K9" s="615" t="s">
        <v>2827</v>
      </c>
      <c r="L9" s="1091" t="s">
        <v>2828</v>
      </c>
      <c r="M9" s="615" t="s">
        <v>1295</v>
      </c>
      <c r="N9" s="615"/>
      <c r="O9" s="615" t="s">
        <v>1195</v>
      </c>
      <c r="P9" s="615"/>
      <c r="Q9" s="615"/>
      <c r="R9" s="615"/>
      <c r="S9" s="615"/>
    </row>
    <row r="10" spans="1:21">
      <c r="C10" s="1093" t="s">
        <v>2829</v>
      </c>
      <c r="D10" s="1094">
        <f>'IMP-EXP'!J10</f>
        <v>3677400.0000000233</v>
      </c>
      <c r="E10" s="1095">
        <f>D10/100000</f>
        <v>36.774000000000235</v>
      </c>
      <c r="F10" s="1095">
        <f>'33 KV HT'!N4:N4/100000</f>
        <v>9.1450700000000005</v>
      </c>
      <c r="G10" s="615"/>
      <c r="H10" s="615"/>
      <c r="I10" s="1096">
        <f>'SS INPUT'!J104/100000</f>
        <v>0.64754999999999996</v>
      </c>
      <c r="J10" s="1096">
        <f>'SS INPUT'!J98/100000</f>
        <v>1.7460000000000035</v>
      </c>
      <c r="K10" s="1096">
        <f>'SS INPUT'!J123/100000</f>
        <v>3.9</v>
      </c>
      <c r="L10" s="1096">
        <f>'SS INPUT'!J32/100000</f>
        <v>16.242000000000118</v>
      </c>
      <c r="M10" s="1096">
        <f>'SS INPUT'!J130/100000</f>
        <v>0.23100000000000001</v>
      </c>
      <c r="N10" s="1096"/>
      <c r="O10" s="1096">
        <f>'SS INPUT'!J211/100000</f>
        <v>24.355800000000009</v>
      </c>
      <c r="P10" s="1096"/>
      <c r="Q10" s="1096">
        <f>SUM(F10:P10)</f>
        <v>56.267420000000136</v>
      </c>
      <c r="R10" s="1096"/>
      <c r="S10" s="1096">
        <f>(E10-Q10)/E10</f>
        <v>-0.53008701800184299</v>
      </c>
      <c r="U10" s="1097">
        <f>S10*100</f>
        <v>-53.008701800184298</v>
      </c>
    </row>
    <row r="11" spans="1:21">
      <c r="C11" s="967"/>
      <c r="D11" s="1094"/>
      <c r="E11" s="1098"/>
      <c r="F11" s="1095"/>
      <c r="G11" s="615"/>
      <c r="H11" s="615"/>
      <c r="I11" s="1096" t="s">
        <v>1176</v>
      </c>
      <c r="J11" s="1096" t="s">
        <v>1525</v>
      </c>
      <c r="K11" s="1096"/>
      <c r="L11" s="1096"/>
      <c r="M11" s="1096"/>
      <c r="N11" s="1096"/>
      <c r="O11" s="1099"/>
      <c r="P11" s="1099"/>
      <c r="Q11" s="1096"/>
      <c r="R11" s="1096"/>
      <c r="S11" s="1100"/>
      <c r="U11" s="1097"/>
    </row>
    <row r="12" spans="1:21">
      <c r="C12" s="1093" t="s">
        <v>2830</v>
      </c>
      <c r="D12" s="1094">
        <f>'IMP-EXP'!J11</f>
        <v>3498400.0000000233</v>
      </c>
      <c r="E12" s="1095">
        <f t="shared" ref="E12:E43" si="0">D12/100000</f>
        <v>34.984000000000236</v>
      </c>
      <c r="F12" s="1095">
        <f>'33 KV HT'!N38:N38/100000</f>
        <v>0.86229999999999996</v>
      </c>
      <c r="G12" s="1095"/>
      <c r="H12" s="1095"/>
      <c r="I12" s="1096">
        <f>('SS INPUT'!J189-'SS INPUT'!J187)/100000</f>
        <v>33.929346759999433</v>
      </c>
      <c r="J12" s="1096">
        <f>'SS INPUT'!J221/100000</f>
        <v>14.558999999999942</v>
      </c>
      <c r="K12" s="1096"/>
      <c r="L12" s="1096"/>
      <c r="M12" s="1096"/>
      <c r="N12" s="1096"/>
      <c r="O12" s="1096"/>
      <c r="P12" s="1096"/>
      <c r="Q12" s="1096">
        <f>SUM(F12:P12)</f>
        <v>49.350646759999371</v>
      </c>
      <c r="R12" s="1101"/>
      <c r="S12" s="1096">
        <f>(E12-Q12)/E12</f>
        <v>-0.4106633535330162</v>
      </c>
      <c r="U12" s="1097">
        <f>S12*100</f>
        <v>-41.066335353301618</v>
      </c>
    </row>
    <row r="13" spans="1:21" s="1102" customFormat="1">
      <c r="C13" s="1103"/>
      <c r="D13" s="1104"/>
      <c r="E13" s="1105">
        <f t="shared" si="0"/>
        <v>0</v>
      </c>
      <c r="F13" s="1105"/>
      <c r="G13" s="186"/>
      <c r="H13" s="186"/>
      <c r="I13" s="1101" t="s">
        <v>1287</v>
      </c>
      <c r="J13" s="1101" t="s">
        <v>2093</v>
      </c>
      <c r="K13" s="1101" t="s">
        <v>927</v>
      </c>
      <c r="L13" s="1101"/>
      <c r="M13" s="1101"/>
      <c r="N13" s="1101"/>
      <c r="O13" s="1101"/>
      <c r="P13" s="1101"/>
      <c r="Q13" s="1101"/>
      <c r="R13" s="1101"/>
      <c r="S13" s="1106"/>
      <c r="U13" s="1097"/>
    </row>
    <row r="14" spans="1:21" ht="33.75" customHeight="1">
      <c r="B14" s="1381" t="s">
        <v>904</v>
      </c>
      <c r="C14" s="1107" t="s">
        <v>2831</v>
      </c>
      <c r="D14" s="1094">
        <f>'33KV FEEDER INPUT'!H15</f>
        <v>5027599.9999999534</v>
      </c>
      <c r="E14" s="1095">
        <f t="shared" si="0"/>
        <v>50.275999999999534</v>
      </c>
      <c r="F14" s="1108"/>
      <c r="G14" s="1109"/>
      <c r="H14" s="1109"/>
      <c r="I14" s="1101">
        <f>'SS INPUT'!J81/100000</f>
        <v>15.937999999999883</v>
      </c>
      <c r="J14" s="1101">
        <f>'SS INPUT'!J24/100000</f>
        <v>17.658640000000037</v>
      </c>
      <c r="K14" s="1110">
        <f>'SS INPUT'!J469/100000</f>
        <v>14.901600000000036</v>
      </c>
      <c r="L14" s="1101"/>
      <c r="M14" s="1101"/>
      <c r="N14" s="1110"/>
      <c r="O14" s="1096"/>
      <c r="P14" s="1096"/>
      <c r="Q14" s="1096">
        <f>SUM(F14:P14)</f>
        <v>48.49823999999996</v>
      </c>
      <c r="R14" s="1096"/>
      <c r="S14" s="1096">
        <f>(E14-Q14)/E14</f>
        <v>3.5360012729723743E-2</v>
      </c>
      <c r="U14" s="1097">
        <f>S14*100</f>
        <v>3.5360012729723742</v>
      </c>
    </row>
    <row r="15" spans="1:21" s="1102" customFormat="1">
      <c r="B15" s="1381"/>
      <c r="C15" s="1111"/>
      <c r="D15" s="1112"/>
      <c r="E15" s="1105">
        <f t="shared" si="0"/>
        <v>0</v>
      </c>
      <c r="F15" s="1113"/>
      <c r="G15" s="1105"/>
      <c r="H15" s="1105"/>
      <c r="I15" s="1101" t="s">
        <v>1200</v>
      </c>
      <c r="J15" s="1101"/>
      <c r="K15" s="1101" t="s">
        <v>2832</v>
      </c>
      <c r="L15" s="1101" t="s">
        <v>1176</v>
      </c>
      <c r="M15" s="1101"/>
      <c r="N15" s="1101"/>
      <c r="O15" s="1101"/>
      <c r="P15" s="1101"/>
      <c r="Q15" s="1101"/>
      <c r="R15" s="1101"/>
      <c r="S15" s="1106"/>
      <c r="U15" s="1097"/>
    </row>
    <row r="16" spans="1:21" ht="15.75" customHeight="1">
      <c r="B16" s="1381"/>
      <c r="C16" s="1114" t="s">
        <v>2833</v>
      </c>
      <c r="D16" s="1112">
        <f>'33KV FEEDER INPUT'!H16</f>
        <v>4392200.0000000112</v>
      </c>
      <c r="E16" s="1095">
        <f t="shared" si="0"/>
        <v>43.922000000000111</v>
      </c>
      <c r="F16" s="1098"/>
      <c r="G16" s="615"/>
      <c r="H16" s="615"/>
      <c r="I16" s="1101">
        <f>'SS INPUT'!J202/100000</f>
        <v>26.535600000000116</v>
      </c>
      <c r="J16" s="1101"/>
      <c r="K16" s="1101">
        <f>'SS INPUT'!J43/100000</f>
        <v>22.555</v>
      </c>
      <c r="L16" s="1101">
        <f>'SS INPUT'!J187/100000</f>
        <v>1.7736000000000001</v>
      </c>
      <c r="M16" s="1101"/>
      <c r="N16" s="1101"/>
      <c r="O16" s="1101"/>
      <c r="P16" s="1101"/>
      <c r="Q16" s="1096">
        <f>SUM(F16:P16)</f>
        <v>50.864200000000118</v>
      </c>
      <c r="R16" s="1101"/>
      <c r="S16" s="1096">
        <f>(E16-Q16)/E16</f>
        <v>-0.15805746550703495</v>
      </c>
      <c r="U16" s="1097">
        <f>S16*100</f>
        <v>-15.805746550703494</v>
      </c>
    </row>
    <row r="17" spans="1:21">
      <c r="A17" s="1115"/>
      <c r="B17" s="1381"/>
      <c r="C17" s="1093"/>
      <c r="D17" s="1112"/>
      <c r="E17" s="1095">
        <f t="shared" si="0"/>
        <v>0</v>
      </c>
      <c r="F17" s="1098"/>
      <c r="G17" s="1095"/>
      <c r="H17" s="1095"/>
      <c r="I17" s="1101" t="s">
        <v>156</v>
      </c>
      <c r="J17" s="1101" t="s">
        <v>1291</v>
      </c>
      <c r="K17" s="1101" t="s">
        <v>2093</v>
      </c>
      <c r="L17" s="1099"/>
      <c r="M17" s="1099"/>
      <c r="N17" s="1099"/>
      <c r="O17" s="1099"/>
      <c r="P17" s="1099"/>
      <c r="Q17" s="1096"/>
      <c r="R17" s="1096"/>
      <c r="S17" s="1100"/>
      <c r="U17" s="1097"/>
    </row>
    <row r="18" spans="1:21" s="1102" customFormat="1">
      <c r="B18" s="1381"/>
      <c r="C18" s="1116" t="s">
        <v>156</v>
      </c>
      <c r="D18" s="1112">
        <f>'33KV FEEDER INPUT'!H17</f>
        <v>3938399.9999999944</v>
      </c>
      <c r="E18" s="1105">
        <f t="shared" si="0"/>
        <v>39.383999999999943</v>
      </c>
      <c r="F18" s="1113">
        <f>'33 KV HT'!N24/100000</f>
        <v>2.3118599999999998</v>
      </c>
      <c r="G18" s="186"/>
      <c r="H18" s="186"/>
      <c r="I18" s="1101">
        <f>('SS INPUT'!J12-'SS INPUT'!J6)/100000</f>
        <v>17</v>
      </c>
      <c r="J18" s="1101">
        <f>'SS INPUT'!J115/100000</f>
        <v>22.602199999999915</v>
      </c>
      <c r="K18" s="1101">
        <v>0</v>
      </c>
      <c r="L18" s="1101"/>
      <c r="M18" s="1101"/>
      <c r="N18" s="1101"/>
      <c r="O18" s="1101"/>
      <c r="P18" s="1101"/>
      <c r="Q18" s="1096">
        <f>SUM(F18:P18)</f>
        <v>41.914059999999914</v>
      </c>
      <c r="R18" s="1101"/>
      <c r="S18" s="1096">
        <f>(E18-Q18)/E18</f>
        <v>-6.4240808450131373E-2</v>
      </c>
      <c r="U18" s="1097">
        <f>S18*100</f>
        <v>-6.4240808450131377</v>
      </c>
    </row>
    <row r="19" spans="1:21" s="1102" customFormat="1">
      <c r="B19" s="1381"/>
      <c r="C19" s="1111"/>
      <c r="D19" s="1112"/>
      <c r="E19" s="1105">
        <f t="shared" si="0"/>
        <v>0</v>
      </c>
      <c r="F19" s="1113"/>
      <c r="G19" s="1105"/>
      <c r="H19" s="1105"/>
      <c r="I19" s="1101" t="s">
        <v>973</v>
      </c>
      <c r="J19" s="1101" t="s">
        <v>973</v>
      </c>
      <c r="K19" s="1101"/>
      <c r="L19" s="1101"/>
      <c r="M19" s="1101"/>
      <c r="N19" s="1101"/>
      <c r="O19" s="1101"/>
      <c r="P19" s="1101"/>
      <c r="Q19" s="1101"/>
      <c r="R19" s="1101"/>
      <c r="S19" s="1106"/>
      <c r="U19" s="1097"/>
    </row>
    <row r="20" spans="1:21">
      <c r="B20" s="1381"/>
      <c r="C20" s="1116" t="s">
        <v>158</v>
      </c>
      <c r="D20" s="1090">
        <f>'33KV FEEDER INPUT'!H18</f>
        <v>4409200.0000000112</v>
      </c>
      <c r="E20" s="1095">
        <f t="shared" si="0"/>
        <v>44.092000000000112</v>
      </c>
      <c r="F20" s="1098">
        <f>('33 KV HT'!N62+'33 KV HT'!N61)/100000</f>
        <v>8.6686800000000002</v>
      </c>
      <c r="G20" s="615"/>
      <c r="H20" s="615"/>
      <c r="I20" s="1101">
        <f>'SS INPUT'!J90/100000</f>
        <v>13.146000000000049</v>
      </c>
      <c r="J20" s="1101">
        <f>('SS INPUT'!J540+'SS INPUT'!J543)/100000</f>
        <v>11.242799999999951</v>
      </c>
      <c r="K20" s="1101"/>
      <c r="L20" s="1101"/>
      <c r="M20" s="1101"/>
      <c r="N20" s="1101"/>
      <c r="O20" s="1096"/>
      <c r="P20" s="1096"/>
      <c r="Q20" s="1096">
        <f>SUM(F20:P20)</f>
        <v>33.057479999999998</v>
      </c>
      <c r="R20" s="1101"/>
      <c r="S20" s="1096">
        <f>(E20-Q20)/E20</f>
        <v>0.2502612718860584</v>
      </c>
      <c r="U20" s="1097">
        <f>S20*100</f>
        <v>25.026127188605841</v>
      </c>
    </row>
    <row r="21" spans="1:21">
      <c r="B21" s="1381"/>
      <c r="C21" s="1093"/>
      <c r="D21" s="1112"/>
      <c r="E21" s="1095">
        <f t="shared" si="0"/>
        <v>0</v>
      </c>
      <c r="F21" s="1098"/>
      <c r="G21" s="1095"/>
      <c r="H21" s="1095"/>
      <c r="I21" s="1101" t="s">
        <v>973</v>
      </c>
      <c r="J21" s="1099"/>
      <c r="K21" s="1096"/>
      <c r="L21" s="1096"/>
      <c r="M21" s="1096"/>
      <c r="N21" s="1096"/>
      <c r="O21" s="1096"/>
      <c r="P21" s="1096"/>
      <c r="Q21" s="1096"/>
      <c r="R21" s="1096"/>
      <c r="S21" s="1100"/>
      <c r="U21" s="1097"/>
    </row>
    <row r="22" spans="1:21">
      <c r="B22" s="1381"/>
      <c r="C22" s="1093" t="s">
        <v>2834</v>
      </c>
      <c r="D22" s="1112">
        <f>'33KV FEEDER INPUT'!H28</f>
        <v>4865400.0000000233</v>
      </c>
      <c r="E22" s="1095">
        <f t="shared" si="0"/>
        <v>48.654000000000231</v>
      </c>
      <c r="F22" s="1098"/>
      <c r="G22" s="1095"/>
      <c r="H22" s="1095"/>
      <c r="I22" s="1101">
        <f>'SS INPUT'!J535/100000</f>
        <v>20.079999999999998</v>
      </c>
      <c r="J22" s="1101"/>
      <c r="K22" s="1096"/>
      <c r="L22" s="1096"/>
      <c r="M22" s="1096"/>
      <c r="N22" s="1096"/>
      <c r="O22" s="1096"/>
      <c r="P22" s="1096"/>
      <c r="Q22" s="1096">
        <f>SUM(F22:P22)</f>
        <v>20.079999999999998</v>
      </c>
      <c r="R22" s="1101"/>
      <c r="S22" s="1096">
        <f>(E22-Q22)/E22</f>
        <v>0.58728984256176464</v>
      </c>
      <c r="U22" s="1097">
        <f>S22*100</f>
        <v>58.728984256176467</v>
      </c>
    </row>
    <row r="23" spans="1:21">
      <c r="B23" s="1381"/>
      <c r="C23" s="1093"/>
      <c r="D23" s="1112"/>
      <c r="E23" s="1095">
        <f t="shared" si="0"/>
        <v>0</v>
      </c>
      <c r="F23" s="1098"/>
      <c r="G23" s="1095"/>
      <c r="H23" s="1095"/>
      <c r="I23" s="1101" t="s">
        <v>1322</v>
      </c>
      <c r="J23" s="1099"/>
      <c r="K23" s="1096"/>
      <c r="L23" s="1096"/>
      <c r="M23" s="1096"/>
      <c r="N23" s="1096"/>
      <c r="O23" s="1096"/>
      <c r="P23" s="1096"/>
      <c r="Q23" s="1096"/>
      <c r="R23" s="1096"/>
      <c r="S23" s="1100"/>
      <c r="U23" s="1097"/>
    </row>
    <row r="24" spans="1:21">
      <c r="B24" s="1381"/>
      <c r="C24" s="1093" t="s">
        <v>2835</v>
      </c>
      <c r="D24" s="1112">
        <f>'33KV FEEDER INPUT'!H29</f>
        <v>4879668.0000000019</v>
      </c>
      <c r="E24" s="1095">
        <f t="shared" si="0"/>
        <v>48.796680000000016</v>
      </c>
      <c r="F24" s="1098"/>
      <c r="G24" s="1095"/>
      <c r="H24" s="1095"/>
      <c r="I24" s="1101">
        <f>'SS INPUT'!J262/100000</f>
        <v>17.215999999999912</v>
      </c>
      <c r="J24" s="1101"/>
      <c r="K24" s="1096"/>
      <c r="L24" s="1096"/>
      <c r="M24" s="1096"/>
      <c r="N24" s="1096"/>
      <c r="O24" s="1096"/>
      <c r="P24" s="1096"/>
      <c r="Q24" s="1096">
        <f>SUM(F24:P24)</f>
        <v>17.215999999999912</v>
      </c>
      <c r="R24" s="1101"/>
      <c r="S24" s="1096">
        <f>(E24-Q24)/E24</f>
        <v>0.64718911204614926</v>
      </c>
      <c r="U24" s="1097">
        <f>S24*100</f>
        <v>64.718911204614926</v>
      </c>
    </row>
    <row r="25" spans="1:21">
      <c r="B25" s="1381"/>
      <c r="C25" s="1093"/>
      <c r="D25" s="1112"/>
      <c r="E25" s="1095">
        <f t="shared" si="0"/>
        <v>0</v>
      </c>
      <c r="F25" s="1098"/>
      <c r="G25" s="1095"/>
      <c r="H25" s="1095"/>
      <c r="I25" s="1101" t="s">
        <v>2836</v>
      </c>
      <c r="J25" s="1101" t="s">
        <v>158</v>
      </c>
      <c r="K25" s="1101" t="s">
        <v>162</v>
      </c>
      <c r="L25" s="1096"/>
      <c r="M25" s="1096"/>
      <c r="N25" s="1096"/>
      <c r="O25" s="1096"/>
      <c r="P25" s="1096"/>
      <c r="Q25" s="1096"/>
      <c r="R25" s="1096"/>
      <c r="S25" s="1100"/>
      <c r="U25" s="1097"/>
    </row>
    <row r="26" spans="1:21">
      <c r="B26" s="1381"/>
      <c r="C26" s="1116" t="s">
        <v>160</v>
      </c>
      <c r="D26" s="1090">
        <f>'33KV FEEDER INPUT'!H19</f>
        <v>5207495.9999999739</v>
      </c>
      <c r="E26" s="1095">
        <f t="shared" si="0"/>
        <v>52.074959999999741</v>
      </c>
      <c r="F26" s="1098">
        <f>'33 KV HT'!N75/100000</f>
        <v>3.9991400000000001</v>
      </c>
      <c r="G26" s="615"/>
      <c r="H26" s="615"/>
      <c r="I26" s="1101">
        <f>'SS INPUT'!J432/100000</f>
        <v>11.056999999999972</v>
      </c>
      <c r="J26" s="1101">
        <f>'SS INPUT'!J273/100000</f>
        <v>27.277199999999823</v>
      </c>
      <c r="K26" s="1101">
        <f>('SS INPUT'!J286+'SS INPUT'!J287+'SS INPUT'!J288)/100000</f>
        <v>21.990599999999997</v>
      </c>
      <c r="L26" s="1101"/>
      <c r="M26" s="1101"/>
      <c r="N26" s="1101"/>
      <c r="O26" s="1096"/>
      <c r="P26" s="1096"/>
      <c r="Q26" s="1096">
        <f>SUM(F26:P26)</f>
        <v>64.323939999999794</v>
      </c>
      <c r="R26" s="1101"/>
      <c r="S26" s="1096">
        <f>(E26-Q26)/E26</f>
        <v>-0.23521823156465438</v>
      </c>
      <c r="U26" s="1097">
        <f>S26*100</f>
        <v>-23.521823156465437</v>
      </c>
    </row>
    <row r="27" spans="1:21">
      <c r="B27" s="1381"/>
      <c r="C27" s="1093"/>
      <c r="D27" s="1112"/>
      <c r="E27" s="1095">
        <f t="shared" si="0"/>
        <v>0</v>
      </c>
      <c r="F27" s="1098"/>
      <c r="G27" s="1095"/>
      <c r="H27" s="1095"/>
      <c r="I27" s="1101" t="s">
        <v>162</v>
      </c>
      <c r="J27" s="1101" t="s">
        <v>1323</v>
      </c>
      <c r="K27" s="1101" t="s">
        <v>1812</v>
      </c>
      <c r="L27" s="1101" t="s">
        <v>2673</v>
      </c>
      <c r="M27" s="1101" t="s">
        <v>979</v>
      </c>
      <c r="N27" s="1096"/>
      <c r="O27" s="1096"/>
      <c r="P27" s="1096"/>
      <c r="Q27" s="1096"/>
      <c r="R27" s="1096"/>
      <c r="S27" s="1100"/>
      <c r="U27" s="1097"/>
    </row>
    <row r="28" spans="1:21">
      <c r="B28" s="1381"/>
      <c r="C28" s="1116" t="s">
        <v>162</v>
      </c>
      <c r="D28" s="1090">
        <f>'33KV FEEDER INPUT'!H20</f>
        <v>5981251.999999973</v>
      </c>
      <c r="E28" s="1095">
        <f t="shared" si="0"/>
        <v>59.812519999999729</v>
      </c>
      <c r="F28" s="1098">
        <f>'33 KV HT'!N68/100000</f>
        <v>9.6476900000000008</v>
      </c>
      <c r="G28" s="615"/>
      <c r="H28" s="615"/>
      <c r="I28" s="1101">
        <f>('SS INPUT'!J281)/100000</f>
        <v>5.6849999999999996</v>
      </c>
      <c r="J28" s="1101">
        <f>'SS INPUT'!J296/100000</f>
        <v>32.24</v>
      </c>
      <c r="K28" s="1101">
        <f>'SS INPUT'!J424/100000</f>
        <v>16.95</v>
      </c>
      <c r="L28" s="1101">
        <f>'SS INPUT'!J487/100000</f>
        <v>0.80920000000000003</v>
      </c>
      <c r="M28" s="1101">
        <f>'SS INPUT'!J508/100000</f>
        <v>6.1643999999999943</v>
      </c>
      <c r="N28" s="1101"/>
      <c r="O28" s="1101"/>
      <c r="P28" s="1101"/>
      <c r="Q28" s="1096">
        <f>SUM(F28:P28)</f>
        <v>71.496290000000002</v>
      </c>
      <c r="R28" s="1101"/>
      <c r="S28" s="1096">
        <f>(E28-Q28)/E28</f>
        <v>-0.19533987198667313</v>
      </c>
      <c r="U28" s="1097">
        <f t="shared" ref="U28:U72" si="1">S28*100</f>
        <v>-19.533987198667312</v>
      </c>
    </row>
    <row r="29" spans="1:21">
      <c r="B29" s="1381"/>
      <c r="C29" s="1093"/>
      <c r="D29" s="1112"/>
      <c r="E29" s="1095">
        <f t="shared" si="0"/>
        <v>0</v>
      </c>
      <c r="F29" s="1098"/>
      <c r="G29" s="1095"/>
      <c r="H29" s="1095"/>
      <c r="I29" s="1099"/>
      <c r="J29" s="1099"/>
      <c r="K29" s="1099"/>
      <c r="L29" s="1099"/>
      <c r="M29" s="1099"/>
      <c r="N29" s="1096"/>
      <c r="O29" s="1117"/>
      <c r="P29" s="1117"/>
      <c r="Q29" s="1096"/>
      <c r="R29" s="1096"/>
      <c r="S29" s="1100"/>
      <c r="U29" s="1097">
        <f t="shared" si="1"/>
        <v>0</v>
      </c>
    </row>
    <row r="30" spans="1:21">
      <c r="B30" s="1381"/>
      <c r="C30" s="1116" t="s">
        <v>165</v>
      </c>
      <c r="D30" s="1090">
        <f>'33KV FEEDER INPUT'!H21</f>
        <v>2251975.9999999986</v>
      </c>
      <c r="E30" s="1095">
        <f t="shared" si="0"/>
        <v>22.519759999999987</v>
      </c>
      <c r="F30" s="1098">
        <f>'33 KV HT'!N81/100000</f>
        <v>17.419170000000001</v>
      </c>
      <c r="G30" s="615"/>
      <c r="H30" s="615"/>
      <c r="I30" s="1101"/>
      <c r="J30" s="1101"/>
      <c r="K30" s="1101"/>
      <c r="L30" s="1101"/>
      <c r="M30" s="1101"/>
      <c r="N30" s="1101"/>
      <c r="O30" s="1096"/>
      <c r="P30" s="1096"/>
      <c r="Q30" s="1096">
        <f>SUM(F30:P30)</f>
        <v>17.419170000000001</v>
      </c>
      <c r="R30" s="1101"/>
      <c r="S30" s="1096">
        <f>(E30-Q30)/E30</f>
        <v>0.22649397684522343</v>
      </c>
      <c r="U30" s="1097">
        <f t="shared" si="1"/>
        <v>22.649397684522341</v>
      </c>
    </row>
    <row r="31" spans="1:21">
      <c r="B31" s="1381"/>
      <c r="C31" s="1093"/>
      <c r="D31" s="1112"/>
      <c r="E31" s="1095">
        <f t="shared" si="0"/>
        <v>0</v>
      </c>
      <c r="F31" s="1098"/>
      <c r="G31" s="1095"/>
      <c r="H31" s="1095"/>
      <c r="I31" s="1101" t="s">
        <v>167</v>
      </c>
      <c r="J31" s="1096" t="s">
        <v>1068</v>
      </c>
      <c r="K31" s="1096" t="s">
        <v>2119</v>
      </c>
      <c r="L31" s="1096"/>
      <c r="M31" s="1096"/>
      <c r="N31" s="1096"/>
      <c r="O31" s="1096"/>
      <c r="P31" s="1096"/>
      <c r="Q31" s="1096"/>
      <c r="R31" s="1096"/>
      <c r="S31" s="1100"/>
      <c r="U31" s="1097">
        <f t="shared" si="1"/>
        <v>0</v>
      </c>
    </row>
    <row r="32" spans="1:21">
      <c r="B32" s="1381"/>
      <c r="C32" s="1116" t="s">
        <v>167</v>
      </c>
      <c r="D32" s="1090">
        <f>'33KV FEEDER INPUT'!H22</f>
        <v>5596080</v>
      </c>
      <c r="E32" s="1095">
        <f t="shared" si="0"/>
        <v>55.960799999999999</v>
      </c>
      <c r="F32" s="1098">
        <f>'33 KV HT'!N83/100000</f>
        <v>7.1954900000000004</v>
      </c>
      <c r="G32" s="615"/>
      <c r="H32" s="615"/>
      <c r="I32" s="1101">
        <f>'SS INPUT'!J391/100000</f>
        <v>33.447549999999943</v>
      </c>
      <c r="J32" s="1101">
        <f>'SS INPUT'!J332/100000</f>
        <v>30.8</v>
      </c>
      <c r="K32" s="1101">
        <f>'SS INPUT'!J440/100000</f>
        <v>10.076000000000022</v>
      </c>
      <c r="L32" s="1101"/>
      <c r="M32" s="1101"/>
      <c r="N32" s="1101"/>
      <c r="O32" s="1096"/>
      <c r="P32" s="1096"/>
      <c r="Q32" s="1096">
        <f>SUM(F32:P32)</f>
        <v>81.519039999999961</v>
      </c>
      <c r="R32" s="1101"/>
      <c r="S32" s="1096">
        <f>(E32-Q32)/E32</f>
        <v>-0.45671684464839607</v>
      </c>
      <c r="U32" s="1097">
        <f t="shared" si="1"/>
        <v>-45.671684464839608</v>
      </c>
    </row>
    <row r="33" spans="2:21">
      <c r="B33" s="1381"/>
      <c r="C33" s="1093"/>
      <c r="D33" s="1112"/>
      <c r="E33" s="1095">
        <f t="shared" si="0"/>
        <v>0</v>
      </c>
      <c r="F33" s="1098"/>
      <c r="G33" s="1095"/>
      <c r="H33" s="1095"/>
      <c r="I33" s="1099"/>
      <c r="J33" s="1099"/>
      <c r="K33" s="1099"/>
      <c r="L33" s="1096"/>
      <c r="M33" s="1096"/>
      <c r="N33" s="1096"/>
      <c r="O33" s="1096"/>
      <c r="P33" s="1096"/>
      <c r="Q33" s="1096"/>
      <c r="R33" s="1096"/>
      <c r="S33" s="1100"/>
      <c r="U33" s="1097">
        <f t="shared" si="1"/>
        <v>0</v>
      </c>
    </row>
    <row r="34" spans="2:21">
      <c r="B34" s="1381"/>
      <c r="C34" s="1116" t="s">
        <v>169</v>
      </c>
      <c r="D34" s="1090">
        <f>'33KV FEEDER INPUT'!H23</f>
        <v>74599.999999998545</v>
      </c>
      <c r="E34" s="1095">
        <f t="shared" si="0"/>
        <v>0.74599999999998545</v>
      </c>
      <c r="F34" s="1098">
        <f>'33 KV HT'!N91/100000</f>
        <v>0.85841999999999996</v>
      </c>
      <c r="G34" s="615"/>
      <c r="H34" s="615"/>
      <c r="I34" s="1101"/>
      <c r="J34" s="1101"/>
      <c r="K34" s="1101"/>
      <c r="L34" s="1101"/>
      <c r="M34" s="1101"/>
      <c r="N34" s="1101"/>
      <c r="O34" s="1096"/>
      <c r="P34" s="1096"/>
      <c r="Q34" s="1096">
        <f>SUM(F34:P34)</f>
        <v>0.85841999999999996</v>
      </c>
      <c r="R34" s="1101"/>
      <c r="S34" s="1096">
        <f>(E34-Q34)/E34</f>
        <v>-0.15069705093836019</v>
      </c>
      <c r="U34" s="1097">
        <f t="shared" si="1"/>
        <v>-15.069705093836019</v>
      </c>
    </row>
    <row r="35" spans="2:21">
      <c r="B35" s="1381"/>
      <c r="C35" s="1093"/>
      <c r="D35" s="1112"/>
      <c r="E35" s="1095">
        <f t="shared" si="0"/>
        <v>0</v>
      </c>
      <c r="F35" s="1098"/>
      <c r="G35" s="1095"/>
      <c r="H35" s="1095"/>
      <c r="I35" s="1096" t="s">
        <v>2837</v>
      </c>
      <c r="J35" s="1096"/>
      <c r="K35" s="1096"/>
      <c r="L35" s="1096"/>
      <c r="M35" s="1096"/>
      <c r="N35" s="1096"/>
      <c r="O35" s="1096"/>
      <c r="P35" s="1096"/>
      <c r="Q35" s="1096"/>
      <c r="R35" s="1096"/>
      <c r="S35" s="1100"/>
      <c r="U35" s="1097">
        <f t="shared" si="1"/>
        <v>0</v>
      </c>
    </row>
    <row r="36" spans="2:21" s="1082" customFormat="1">
      <c r="B36" s="1381"/>
      <c r="C36" s="1118" t="s">
        <v>174</v>
      </c>
      <c r="D36" s="1090">
        <f>'33KV FEEDER INPUT'!H25</f>
        <v>5846600.0000000112</v>
      </c>
      <c r="E36" s="1095">
        <f t="shared" si="0"/>
        <v>58.466000000000115</v>
      </c>
      <c r="F36" s="1098">
        <f>'33 KV HT'!N92/100000</f>
        <v>11.884639999999999</v>
      </c>
      <c r="G36" s="615"/>
      <c r="H36" s="615"/>
      <c r="I36" s="1101">
        <f>'SS INPUT'!J451/100000</f>
        <v>35.791999999999533</v>
      </c>
      <c r="J36" s="1101"/>
      <c r="K36" s="1101"/>
      <c r="L36" s="1101"/>
      <c r="M36" s="1101"/>
      <c r="N36" s="1101"/>
      <c r="O36" s="1096"/>
      <c r="P36" s="1096"/>
      <c r="Q36" s="1096">
        <f>SUM(F36:P36)</f>
        <v>47.67663999999953</v>
      </c>
      <c r="R36" s="1101"/>
      <c r="S36" s="1096">
        <f>(E36-Q36)/E36</f>
        <v>0.18454075873158013</v>
      </c>
      <c r="U36" s="1097">
        <f t="shared" si="1"/>
        <v>18.454075873158011</v>
      </c>
    </row>
    <row r="37" spans="2:21">
      <c r="B37" s="1381"/>
      <c r="C37" s="1093"/>
      <c r="D37" s="1112"/>
      <c r="E37" s="1095">
        <f t="shared" si="0"/>
        <v>0</v>
      </c>
      <c r="F37" s="1098"/>
      <c r="G37" s="1095"/>
      <c r="H37" s="1095"/>
      <c r="I37" s="1101" t="s">
        <v>904</v>
      </c>
      <c r="J37" s="1096"/>
      <c r="K37" s="1096"/>
      <c r="L37" s="1096"/>
      <c r="M37" s="1096"/>
      <c r="N37" s="1096"/>
      <c r="O37" s="1096"/>
      <c r="P37" s="1096"/>
      <c r="Q37" s="1096"/>
      <c r="R37" s="1096"/>
      <c r="S37" s="1100"/>
      <c r="U37" s="1097">
        <f t="shared" si="1"/>
        <v>0</v>
      </c>
    </row>
    <row r="38" spans="2:21">
      <c r="B38" s="1381"/>
      <c r="C38" s="1116" t="s">
        <v>176</v>
      </c>
      <c r="D38" s="1090">
        <f>'33KV FEEDER INPUT'!H26</f>
        <v>2101399.9999999944</v>
      </c>
      <c r="E38" s="1095">
        <f t="shared" si="0"/>
        <v>21.013999999999943</v>
      </c>
      <c r="F38" s="1098"/>
      <c r="G38" s="615"/>
      <c r="H38" s="615"/>
      <c r="I38" s="1101"/>
      <c r="J38" s="1101"/>
      <c r="K38" s="1101"/>
      <c r="L38" s="1101"/>
      <c r="M38" s="1101"/>
      <c r="N38" s="1101"/>
      <c r="O38" s="1096"/>
      <c r="P38" s="1096"/>
      <c r="Q38" s="1096">
        <f>SUM(F38:P38)</f>
        <v>0</v>
      </c>
      <c r="R38" s="1101"/>
      <c r="S38" s="1096">
        <f>(E38-Q38)/E38</f>
        <v>1</v>
      </c>
      <c r="U38" s="1097">
        <f t="shared" si="1"/>
        <v>100</v>
      </c>
    </row>
    <row r="39" spans="2:21">
      <c r="B39" s="1381" t="s">
        <v>931</v>
      </c>
      <c r="C39" s="1093"/>
      <c r="D39" s="1112"/>
      <c r="E39" s="1095">
        <f t="shared" si="0"/>
        <v>0</v>
      </c>
      <c r="F39" s="1098"/>
      <c r="G39" s="1095"/>
      <c r="H39" s="1095"/>
      <c r="I39" s="1101" t="s">
        <v>198</v>
      </c>
      <c r="J39" s="1101" t="s">
        <v>973</v>
      </c>
      <c r="K39" s="1096" t="s">
        <v>156</v>
      </c>
      <c r="L39" s="1096"/>
      <c r="M39" s="1096"/>
      <c r="N39" s="1096"/>
      <c r="O39" s="1096"/>
      <c r="P39" s="1096"/>
      <c r="Q39" s="1096"/>
      <c r="R39" s="1096"/>
      <c r="S39" s="1100"/>
      <c r="U39" s="1097">
        <f t="shared" si="1"/>
        <v>0</v>
      </c>
    </row>
    <row r="40" spans="2:21">
      <c r="B40" s="1381"/>
      <c r="C40" s="1118" t="s">
        <v>198</v>
      </c>
      <c r="D40" s="1090">
        <f>'33KV FEEDER INPUT'!H53</f>
        <v>6381314.3999999892</v>
      </c>
      <c r="E40" s="1095">
        <f t="shared" si="0"/>
        <v>63.813143999999895</v>
      </c>
      <c r="F40" s="1098">
        <f>'33 KV HT'!N32:N32/100000</f>
        <v>5.1305199999999997</v>
      </c>
      <c r="G40" s="1109"/>
      <c r="H40" s="1109"/>
      <c r="I40" s="1096">
        <f>'SS INPUT'!J61/100000</f>
        <v>18.172799999999768</v>
      </c>
      <c r="J40" s="1096"/>
      <c r="K40" s="1096">
        <f>'SS INPUT'!J6/100000</f>
        <v>0</v>
      </c>
      <c r="L40" s="1096">
        <f>'SS INPUT'!J672/100000</f>
        <v>20.512800000000059</v>
      </c>
      <c r="M40" s="1096"/>
      <c r="N40" s="1096"/>
      <c r="O40" s="1096"/>
      <c r="P40" s="1096"/>
      <c r="Q40" s="1096">
        <f>SUM(F40:P40)</f>
        <v>43.816119999999827</v>
      </c>
      <c r="R40" s="1101"/>
      <c r="S40" s="1096">
        <f>(E40-Q40)/E40</f>
        <v>0.31336841826818784</v>
      </c>
      <c r="U40" s="1097">
        <f t="shared" si="1"/>
        <v>31.336841826818784</v>
      </c>
    </row>
    <row r="41" spans="2:21">
      <c r="B41" s="1381"/>
      <c r="C41" s="1093"/>
      <c r="D41" s="1112"/>
      <c r="E41" s="1095">
        <f t="shared" si="0"/>
        <v>0</v>
      </c>
      <c r="F41" s="1098"/>
      <c r="G41" s="1095"/>
      <c r="H41" s="1095"/>
      <c r="I41" s="1099"/>
      <c r="J41" s="1099"/>
      <c r="K41" s="1099"/>
      <c r="L41" s="1099"/>
      <c r="M41" s="1096"/>
      <c r="N41" s="1096"/>
      <c r="O41" s="1099"/>
      <c r="P41" s="1099"/>
      <c r="Q41" s="1096"/>
      <c r="R41" s="1096"/>
      <c r="S41" s="1100"/>
      <c r="U41" s="1097">
        <f t="shared" si="1"/>
        <v>0</v>
      </c>
    </row>
    <row r="42" spans="2:21">
      <c r="B42" s="1381"/>
      <c r="C42" s="1118" t="s">
        <v>214</v>
      </c>
      <c r="D42" s="1090">
        <f>'33KV FEEDER INPUT'!H54</f>
        <v>1140400.0000000233</v>
      </c>
      <c r="E42" s="1095">
        <f t="shared" si="0"/>
        <v>11.404000000000233</v>
      </c>
      <c r="F42" s="1098">
        <f>'33 KV HT'!N60/100000</f>
        <v>10.952400000000001</v>
      </c>
      <c r="G42" s="615"/>
      <c r="H42" s="615"/>
      <c r="I42" s="1096"/>
      <c r="J42" s="1096"/>
      <c r="K42" s="1096"/>
      <c r="L42" s="1096"/>
      <c r="M42" s="1096"/>
      <c r="N42" s="1096"/>
      <c r="O42" s="1096"/>
      <c r="P42" s="1096"/>
      <c r="Q42" s="1096">
        <f>SUM(F42:P42)</f>
        <v>10.952400000000001</v>
      </c>
      <c r="R42" s="1101"/>
      <c r="S42" s="1096">
        <f>(E42-Q42)/E42</f>
        <v>3.9600140301668064E-2</v>
      </c>
      <c r="U42" s="1097">
        <f t="shared" si="1"/>
        <v>3.9600140301668065</v>
      </c>
    </row>
    <row r="43" spans="2:21">
      <c r="B43" s="1381"/>
      <c r="C43" s="1093"/>
      <c r="D43" s="1119"/>
      <c r="E43" s="1095">
        <f t="shared" si="0"/>
        <v>0</v>
      </c>
      <c r="F43" s="1098"/>
      <c r="G43" s="1095"/>
      <c r="H43" s="1095"/>
      <c r="I43" s="1096" t="s">
        <v>202</v>
      </c>
      <c r="J43" s="1096" t="s">
        <v>2216</v>
      </c>
      <c r="K43" s="1101" t="s">
        <v>198</v>
      </c>
      <c r="L43" s="1096"/>
      <c r="M43" s="1096"/>
      <c r="N43" s="1096"/>
      <c r="O43" s="1096"/>
      <c r="P43" s="1096"/>
      <c r="Q43" s="1096"/>
      <c r="R43" s="1096"/>
      <c r="S43" s="1100"/>
      <c r="U43" s="1097">
        <f t="shared" si="1"/>
        <v>0</v>
      </c>
    </row>
    <row r="44" spans="2:21">
      <c r="B44" s="1381"/>
      <c r="C44" s="1118" t="s">
        <v>202</v>
      </c>
      <c r="D44" s="1090">
        <f>'33KV FEEDER INPUT'!H55</f>
        <v>2604000.0000000326</v>
      </c>
      <c r="E44" s="1095">
        <f t="shared" ref="E44:E72" si="2">D44/100000</f>
        <v>26.040000000000326</v>
      </c>
      <c r="F44" s="1098"/>
      <c r="G44" s="615"/>
      <c r="H44" s="615"/>
      <c r="I44" s="1101">
        <f>'SS INPUT'!J70/100000</f>
        <v>32.1</v>
      </c>
      <c r="J44" s="1101">
        <f>'SS INPUT'!J52/100000</f>
        <v>16.399999999999999</v>
      </c>
      <c r="K44" s="1099"/>
      <c r="L44" s="1096"/>
      <c r="M44" s="1096"/>
      <c r="N44" s="1096"/>
      <c r="O44" s="1096"/>
      <c r="P44" s="1096"/>
      <c r="Q44" s="1096">
        <f>SUM(F44:P44)</f>
        <v>48.5</v>
      </c>
      <c r="R44" s="1101"/>
      <c r="S44" s="1096">
        <f>(E44-Q44)/E44</f>
        <v>-0.86251920122885528</v>
      </c>
      <c r="U44" s="1097">
        <f t="shared" si="1"/>
        <v>-86.251920122885522</v>
      </c>
    </row>
    <row r="45" spans="2:21">
      <c r="B45" s="1381"/>
      <c r="C45" s="1093"/>
      <c r="D45" s="1112"/>
      <c r="E45" s="1095">
        <f t="shared" si="2"/>
        <v>0</v>
      </c>
      <c r="F45" s="1098"/>
      <c r="G45" s="1095"/>
      <c r="H45" s="1095"/>
      <c r="I45" s="1101" t="s">
        <v>1310</v>
      </c>
      <c r="J45" s="1099"/>
      <c r="K45" s="1099"/>
      <c r="L45" s="1099"/>
      <c r="M45" s="1096"/>
      <c r="N45" s="1096"/>
      <c r="O45" s="1117"/>
      <c r="P45" s="1117"/>
      <c r="Q45" s="1096"/>
      <c r="R45" s="1096"/>
      <c r="S45" s="1100"/>
      <c r="U45" s="1097">
        <f t="shared" si="1"/>
        <v>0</v>
      </c>
    </row>
    <row r="46" spans="2:21">
      <c r="B46" s="1381"/>
      <c r="C46" s="1118" t="s">
        <v>210</v>
      </c>
      <c r="D46" s="1090">
        <f>'33KV FEEDER INPUT'!H56</f>
        <v>5124000.0000000326</v>
      </c>
      <c r="E46" s="1095">
        <f t="shared" si="2"/>
        <v>51.240000000000329</v>
      </c>
      <c r="F46" s="1098"/>
      <c r="G46" s="615"/>
      <c r="H46" s="615"/>
      <c r="I46" s="1101">
        <f>'SS INPUT'!J548/100000</f>
        <v>50.377999999999304</v>
      </c>
      <c r="J46" s="1099"/>
      <c r="K46" s="1099"/>
      <c r="L46" s="1096"/>
      <c r="M46" s="1096"/>
      <c r="N46" s="1096"/>
      <c r="O46" s="1096"/>
      <c r="P46" s="1096"/>
      <c r="Q46" s="1096">
        <f>SUM(F46:P46)</f>
        <v>50.377999999999304</v>
      </c>
      <c r="R46" s="1101"/>
      <c r="S46" s="1096">
        <f>(E46-Q46)/E46</f>
        <v>1.6822794691667049E-2</v>
      </c>
      <c r="U46" s="1097">
        <f t="shared" si="1"/>
        <v>1.6822794691667049</v>
      </c>
    </row>
    <row r="47" spans="2:21">
      <c r="B47" s="1381"/>
      <c r="C47" s="1093"/>
      <c r="D47" s="1112"/>
      <c r="E47" s="1095">
        <f t="shared" si="2"/>
        <v>0</v>
      </c>
      <c r="F47" s="1098"/>
      <c r="G47" s="1095"/>
      <c r="H47" s="1095"/>
      <c r="I47" s="1101" t="s">
        <v>1310</v>
      </c>
      <c r="J47" s="1101" t="s">
        <v>216</v>
      </c>
      <c r="K47" s="1099"/>
      <c r="L47" s="1099"/>
      <c r="M47" s="1096"/>
      <c r="N47" s="1096"/>
      <c r="O47" s="1096"/>
      <c r="P47" s="1096"/>
      <c r="Q47" s="1096"/>
      <c r="R47" s="1096"/>
      <c r="S47" s="1100"/>
      <c r="U47" s="1097">
        <f t="shared" si="1"/>
        <v>0</v>
      </c>
    </row>
    <row r="48" spans="2:21">
      <c r="B48" s="1381"/>
      <c r="C48" s="1118" t="s">
        <v>216</v>
      </c>
      <c r="D48" s="1090">
        <f>'33KV FEEDER INPUT'!H57</f>
        <v>5196000.0000000214</v>
      </c>
      <c r="E48" s="1095">
        <f t="shared" si="2"/>
        <v>51.960000000000214</v>
      </c>
      <c r="F48" s="1098"/>
      <c r="G48" s="615"/>
      <c r="H48" s="615"/>
      <c r="I48" s="1096">
        <f>'SS INPUT'!J547/100000</f>
        <v>15.86</v>
      </c>
      <c r="J48" s="1096">
        <f>'SS INPUT'!J566/100000</f>
        <v>13.172000000000116</v>
      </c>
      <c r="K48" s="1096"/>
      <c r="L48" s="1096"/>
      <c r="M48" s="1101"/>
      <c r="N48" s="1101"/>
      <c r="O48" s="1096"/>
      <c r="P48" s="1096"/>
      <c r="Q48" s="1096">
        <f>SUM(F48:P48)</f>
        <v>29.032000000000117</v>
      </c>
      <c r="R48" s="1101"/>
      <c r="S48" s="1096">
        <f>(E48-Q48)/E48</f>
        <v>0.44126250962278679</v>
      </c>
      <c r="U48" s="1097">
        <f t="shared" si="1"/>
        <v>44.126250962278682</v>
      </c>
    </row>
    <row r="49" spans="2:21">
      <c r="B49" s="1381"/>
      <c r="C49" s="1093"/>
      <c r="D49" s="1112"/>
      <c r="E49" s="1095">
        <f t="shared" si="2"/>
        <v>0</v>
      </c>
      <c r="F49" s="1098"/>
      <c r="G49" s="1095"/>
      <c r="H49" s="1095"/>
      <c r="I49" s="1101" t="s">
        <v>2838</v>
      </c>
      <c r="J49" s="1099"/>
      <c r="K49" s="1096"/>
      <c r="L49" s="1096"/>
      <c r="M49" s="1096"/>
      <c r="N49" s="1096"/>
      <c r="O49" s="1096"/>
      <c r="P49" s="1096"/>
      <c r="Q49" s="1096"/>
      <c r="R49" s="1096"/>
      <c r="S49" s="1100"/>
      <c r="U49" s="1097">
        <f t="shared" si="1"/>
        <v>0</v>
      </c>
    </row>
    <row r="50" spans="2:21">
      <c r="B50" s="1381"/>
      <c r="C50" s="1118" t="s">
        <v>2839</v>
      </c>
      <c r="D50" s="1090">
        <f>'33KV FEEDER INPUT'!H58</f>
        <v>4560000</v>
      </c>
      <c r="E50" s="1095">
        <f t="shared" si="2"/>
        <v>45.6</v>
      </c>
      <c r="F50" s="1098">
        <f>'33 KV HT'!N50:N50/100000</f>
        <v>2.6141299999999998</v>
      </c>
      <c r="G50" s="615"/>
      <c r="H50" s="615"/>
      <c r="I50" s="1096">
        <f>'SS INPUT'!J162/100000</f>
        <v>42.09</v>
      </c>
      <c r="J50" s="1096"/>
      <c r="K50" s="1096"/>
      <c r="L50" s="1096"/>
      <c r="M50" s="1096"/>
      <c r="N50" s="1096"/>
      <c r="O50" s="1096"/>
      <c r="P50" s="1096"/>
      <c r="Q50" s="1096">
        <f>SUM(F50:P50)</f>
        <v>44.704130000000006</v>
      </c>
      <c r="R50" s="1101"/>
      <c r="S50" s="1096">
        <f>(E50-Q50)/E50</f>
        <v>1.9646271929824453E-2</v>
      </c>
      <c r="U50" s="1097">
        <f t="shared" si="1"/>
        <v>1.9646271929824453</v>
      </c>
    </row>
    <row r="51" spans="2:21">
      <c r="B51" s="1381"/>
      <c r="C51" s="1093"/>
      <c r="D51" s="1112"/>
      <c r="E51" s="1095">
        <f t="shared" si="2"/>
        <v>0</v>
      </c>
      <c r="F51" s="1098"/>
      <c r="G51" s="1095"/>
      <c r="H51" s="1095"/>
      <c r="I51" s="1101" t="s">
        <v>2838</v>
      </c>
      <c r="J51" s="1096" t="s">
        <v>1191</v>
      </c>
      <c r="K51" s="1096" t="s">
        <v>1203</v>
      </c>
      <c r="L51" s="1096"/>
      <c r="M51" s="1096"/>
      <c r="N51" s="1096"/>
      <c r="O51" s="1096"/>
      <c r="P51" s="1096"/>
      <c r="Q51" s="1096"/>
      <c r="R51" s="1096"/>
      <c r="S51" s="1100"/>
      <c r="U51" s="1097">
        <f t="shared" si="1"/>
        <v>0</v>
      </c>
    </row>
    <row r="52" spans="2:21">
      <c r="B52" s="1381"/>
      <c r="C52" s="1118" t="s">
        <v>2840</v>
      </c>
      <c r="D52" s="1090" t="e">
        <f>'IMP-EXP'!#REF!</f>
        <v>#REF!</v>
      </c>
      <c r="E52" s="1095" t="e">
        <f t="shared" si="2"/>
        <v>#REF!</v>
      </c>
      <c r="F52" s="1098">
        <f>'33 KV HT'!N40:N40/100000</f>
        <v>6.5156400000000003</v>
      </c>
      <c r="G52" s="615"/>
      <c r="H52" s="615"/>
      <c r="I52" s="1096">
        <f>'SS INPUT'!J163/100000</f>
        <v>31.853599999999972</v>
      </c>
      <c r="J52" s="1096">
        <f>'SS INPUT'!J230/100000</f>
        <v>33.413999999999866</v>
      </c>
      <c r="K52" s="1096">
        <f>'SS INPUT'!J192/100000</f>
        <v>22.896000000000274</v>
      </c>
      <c r="L52" s="1096"/>
      <c r="M52" s="1096"/>
      <c r="N52" s="1096"/>
      <c r="O52" s="1096"/>
      <c r="P52" s="1096"/>
      <c r="Q52" s="1096">
        <f>SUM(F52:P52)</f>
        <v>94.679240000000107</v>
      </c>
      <c r="R52" s="1101"/>
      <c r="S52" s="1096" t="e">
        <f>(E52-Q52)/E52</f>
        <v>#REF!</v>
      </c>
      <c r="U52" s="1097" t="e">
        <f t="shared" si="1"/>
        <v>#REF!</v>
      </c>
    </row>
    <row r="53" spans="2:21">
      <c r="B53" s="1381"/>
      <c r="C53" s="1093"/>
      <c r="D53" s="1112"/>
      <c r="E53" s="1095">
        <f t="shared" si="2"/>
        <v>0</v>
      </c>
      <c r="F53" s="1098"/>
      <c r="G53" s="1095"/>
      <c r="H53" s="1095"/>
      <c r="I53" s="1101" t="s">
        <v>2035</v>
      </c>
      <c r="J53" s="1101" t="s">
        <v>220</v>
      </c>
      <c r="K53" s="1099"/>
      <c r="L53" s="1096"/>
      <c r="M53" s="1096"/>
      <c r="N53" s="1096"/>
      <c r="O53" s="1096"/>
      <c r="P53" s="1096"/>
      <c r="Q53" s="1096"/>
      <c r="R53" s="1096"/>
      <c r="S53" s="1100"/>
      <c r="U53" s="1097">
        <f t="shared" si="1"/>
        <v>0</v>
      </c>
    </row>
    <row r="54" spans="2:21">
      <c r="B54" s="1381"/>
      <c r="C54" s="1118" t="s">
        <v>218</v>
      </c>
      <c r="D54" s="1090">
        <f>'33KV FEEDER INPUT'!H59</f>
        <v>4584000.0000000056</v>
      </c>
      <c r="E54" s="1095">
        <f t="shared" si="2"/>
        <v>45.840000000000053</v>
      </c>
      <c r="F54" s="1098">
        <f>'33 KV HT'!N37/100000</f>
        <v>0.16916999999999999</v>
      </c>
      <c r="G54" s="615"/>
      <c r="H54" s="615"/>
      <c r="I54" s="1096">
        <f>'SS INPUT'!J654/100000</f>
        <v>13.078000000000028</v>
      </c>
      <c r="J54" s="1096">
        <f>'SS INPUT'!J573/100000</f>
        <v>18.981999999999999</v>
      </c>
      <c r="K54" s="1096"/>
      <c r="L54" s="1096"/>
      <c r="M54" s="1096"/>
      <c r="N54" s="1096"/>
      <c r="O54" s="1096"/>
      <c r="P54" s="1096"/>
      <c r="Q54" s="1096">
        <f>SUM(F54:P54)</f>
        <v>32.229170000000025</v>
      </c>
      <c r="R54" s="1101"/>
      <c r="S54" s="1096">
        <f>(E54-Q54)/E54</f>
        <v>0.29692037521815035</v>
      </c>
      <c r="U54" s="1097">
        <f t="shared" si="1"/>
        <v>29.692037521815035</v>
      </c>
    </row>
    <row r="55" spans="2:21">
      <c r="B55" s="1381"/>
      <c r="C55" s="1093"/>
      <c r="D55" s="1112"/>
      <c r="E55" s="1095">
        <f t="shared" si="2"/>
        <v>0</v>
      </c>
      <c r="F55" s="1120"/>
      <c r="G55" s="1121"/>
      <c r="H55" s="1121"/>
      <c r="I55" s="1101" t="s">
        <v>220</v>
      </c>
      <c r="J55" s="1099"/>
      <c r="K55" s="1096"/>
      <c r="L55" s="1096"/>
      <c r="M55" s="1096"/>
      <c r="N55" s="1096"/>
      <c r="O55" s="1117"/>
      <c r="P55" s="1117"/>
      <c r="Q55" s="1096"/>
      <c r="R55" s="1096"/>
      <c r="S55" s="1100"/>
      <c r="U55" s="1097">
        <f t="shared" si="1"/>
        <v>0</v>
      </c>
    </row>
    <row r="56" spans="2:21">
      <c r="B56" s="1381"/>
      <c r="C56" s="1118" t="s">
        <v>220</v>
      </c>
      <c r="D56" s="1090">
        <f>'33KV FEEDER INPUT'!H60</f>
        <v>4751999.9999999888</v>
      </c>
      <c r="E56" s="1095">
        <f t="shared" si="2"/>
        <v>47.519999999999889</v>
      </c>
      <c r="F56" s="1098">
        <f>'33 KV HT'!N53/100000</f>
        <v>0.32591999999999999</v>
      </c>
      <c r="G56" s="615"/>
      <c r="H56" s="615"/>
      <c r="I56" s="1096">
        <f>'SS INPUT'!J574/100000</f>
        <v>46.538639999999944</v>
      </c>
      <c r="J56" s="1096"/>
      <c r="K56" s="1096"/>
      <c r="L56" s="1096"/>
      <c r="M56" s="1096"/>
      <c r="N56" s="1096"/>
      <c r="O56" s="1096"/>
      <c r="P56" s="1096"/>
      <c r="Q56" s="1096">
        <f>SUM(F56:P56)</f>
        <v>46.86455999999994</v>
      </c>
      <c r="R56" s="1101"/>
      <c r="S56" s="1096">
        <f>(E56-Q56)/E56</f>
        <v>1.379292929292825E-2</v>
      </c>
      <c r="U56" s="1097">
        <f t="shared" si="1"/>
        <v>1.3792929292928251</v>
      </c>
    </row>
    <row r="57" spans="2:21">
      <c r="B57" s="1381"/>
      <c r="C57" s="1093"/>
      <c r="D57" s="1112"/>
      <c r="E57" s="1095">
        <f t="shared" si="2"/>
        <v>0</v>
      </c>
      <c r="F57" s="1098"/>
      <c r="G57" s="1095"/>
      <c r="H57" s="1095"/>
      <c r="I57" s="1101" t="s">
        <v>222</v>
      </c>
      <c r="J57" s="1096"/>
      <c r="K57" s="1096"/>
      <c r="L57" s="1096"/>
      <c r="M57" s="1096"/>
      <c r="N57" s="1096"/>
      <c r="O57" s="1096"/>
      <c r="P57" s="1096"/>
      <c r="Q57" s="1096"/>
      <c r="R57" s="1096"/>
      <c r="S57" s="1100"/>
      <c r="U57" s="1097">
        <f t="shared" si="1"/>
        <v>0</v>
      </c>
    </row>
    <row r="58" spans="2:21">
      <c r="B58" s="1381"/>
      <c r="C58" s="967" t="s">
        <v>222</v>
      </c>
      <c r="D58" s="1094">
        <f>'33KV FEEDER INPUT'!H61</f>
        <v>3516000.0000000219</v>
      </c>
      <c r="E58" s="1095">
        <f t="shared" si="2"/>
        <v>35.160000000000217</v>
      </c>
      <c r="F58" s="1095">
        <f>'33 KV HT'!N133/100000</f>
        <v>0.80218999999999996</v>
      </c>
      <c r="G58" s="615"/>
      <c r="H58" s="615"/>
      <c r="I58" s="1096">
        <f>'SS INPUT'!J612/100000</f>
        <v>30.24600000000013</v>
      </c>
      <c r="J58" s="1096"/>
      <c r="K58" s="1096"/>
      <c r="L58" s="1096"/>
      <c r="M58" s="1096"/>
      <c r="N58" s="1096"/>
      <c r="O58" s="1096"/>
      <c r="P58" s="1096"/>
      <c r="Q58" s="1096">
        <f>SUM(F58:P58)</f>
        <v>31.04819000000013</v>
      </c>
      <c r="R58" s="1101"/>
      <c r="S58" s="1096">
        <f>(E58-Q58)/E58</f>
        <v>0.11694567690557628</v>
      </c>
      <c r="U58" s="1097">
        <f t="shared" si="1"/>
        <v>11.694567690557628</v>
      </c>
    </row>
    <row r="59" spans="2:21">
      <c r="B59" s="1381"/>
      <c r="C59" s="967"/>
      <c r="D59" s="1112"/>
      <c r="E59" s="1095">
        <f t="shared" si="2"/>
        <v>0</v>
      </c>
      <c r="F59" s="1098"/>
      <c r="G59" s="1095"/>
      <c r="H59" s="1095"/>
      <c r="I59" s="1101" t="s">
        <v>1336</v>
      </c>
      <c r="J59" s="1096" t="s">
        <v>1078</v>
      </c>
      <c r="K59" s="1096" t="s">
        <v>57</v>
      </c>
      <c r="L59" s="1096" t="s">
        <v>2841</v>
      </c>
      <c r="M59" s="1096"/>
      <c r="N59" s="1096"/>
      <c r="O59" s="1096"/>
      <c r="P59" s="1096"/>
      <c r="Q59" s="1096"/>
      <c r="R59" s="1096"/>
      <c r="S59" s="1100"/>
      <c r="U59" s="1097">
        <f t="shared" si="1"/>
        <v>0</v>
      </c>
    </row>
    <row r="60" spans="2:21">
      <c r="B60" s="1381" t="s">
        <v>961</v>
      </c>
      <c r="C60" s="1116" t="s">
        <v>1078</v>
      </c>
      <c r="D60" s="1090">
        <f>'33KV FEEDER INPUT'!H87</f>
        <v>5933080</v>
      </c>
      <c r="E60" s="1095">
        <f t="shared" si="2"/>
        <v>59.330800000000004</v>
      </c>
      <c r="F60" s="1098">
        <f>'33 KV HT'!N115/100000</f>
        <v>5.3037099999999997</v>
      </c>
      <c r="G60" s="615"/>
      <c r="H60" s="615"/>
      <c r="I60" s="1096">
        <f>'SS INPUT'!J478/100000</f>
        <v>26.358399999999964</v>
      </c>
      <c r="J60" s="1096">
        <f>('SS INPUT'!J350-'SS INPUT'!J352)/100000</f>
        <v>39.839300000000392</v>
      </c>
      <c r="K60" s="1096">
        <f>'SS INPUT'!J415/100000</f>
        <v>22.814400000000521</v>
      </c>
      <c r="L60" s="1096">
        <f>'SS INPUT'!J494/100000</f>
        <v>4.0271999999999997</v>
      </c>
      <c r="M60" s="1096"/>
      <c r="N60" s="1096"/>
      <c r="O60" s="1096"/>
      <c r="P60" s="1096"/>
      <c r="Q60" s="1096">
        <f>SUM(F60:P60)</f>
        <v>98.343010000000874</v>
      </c>
      <c r="R60" s="1101"/>
      <c r="S60" s="1096">
        <f>(E60-Q60)/E60</f>
        <v>-0.65753723192677105</v>
      </c>
      <c r="U60" s="1097">
        <f t="shared" si="1"/>
        <v>-65.7537231926771</v>
      </c>
    </row>
    <row r="61" spans="2:21">
      <c r="B61" s="1381"/>
      <c r="C61" s="1093"/>
      <c r="D61" s="1112"/>
      <c r="E61" s="1095">
        <f t="shared" si="2"/>
        <v>0</v>
      </c>
      <c r="F61" s="1098"/>
      <c r="G61" s="1095"/>
      <c r="H61" s="1095"/>
      <c r="I61" s="1101" t="s">
        <v>2331</v>
      </c>
      <c r="J61" s="1101" t="s">
        <v>2025</v>
      </c>
      <c r="K61" s="1099"/>
      <c r="L61" s="1096"/>
      <c r="M61" s="1096"/>
      <c r="N61" s="1096"/>
      <c r="O61" s="1096"/>
      <c r="P61" s="1096"/>
      <c r="Q61" s="1096"/>
      <c r="R61" s="1096"/>
      <c r="S61" s="1100"/>
      <c r="U61" s="1097">
        <f t="shared" si="1"/>
        <v>0</v>
      </c>
    </row>
    <row r="62" spans="2:21">
      <c r="B62" s="1381"/>
      <c r="C62" s="1116" t="s">
        <v>964</v>
      </c>
      <c r="D62" s="1090">
        <f>'33KV FEEDER INPUT'!H88</f>
        <v>4017200.0000000698</v>
      </c>
      <c r="E62" s="1095">
        <f t="shared" si="2"/>
        <v>40.1720000000007</v>
      </c>
      <c r="F62" s="1098">
        <f>'33 KV HT'!N55/100000</f>
        <v>21.136659999999999</v>
      </c>
      <c r="G62" s="615"/>
      <c r="H62" s="615"/>
      <c r="I62" s="1096">
        <f>'SS INPUT'!J625/100000</f>
        <v>38.672960000000003</v>
      </c>
      <c r="J62" s="1096">
        <f>'SS INPUT'!J646/100000</f>
        <v>16.36399999999994</v>
      </c>
      <c r="K62" s="1096"/>
      <c r="L62" s="1096"/>
      <c r="M62" s="1096"/>
      <c r="N62" s="1096"/>
      <c r="O62" s="1096"/>
      <c r="P62" s="1096"/>
      <c r="Q62" s="1096">
        <f>SUM(F62:P62)</f>
        <v>76.173619999999943</v>
      </c>
      <c r="R62" s="1101"/>
      <c r="S62" s="1096">
        <f>(E62-Q62)/E62</f>
        <v>-0.89618689634567894</v>
      </c>
      <c r="U62" s="1097">
        <f t="shared" si="1"/>
        <v>-89.6186896345679</v>
      </c>
    </row>
    <row r="63" spans="2:21">
      <c r="B63" s="1381"/>
      <c r="C63" s="1093"/>
      <c r="D63" s="1112"/>
      <c r="E63" s="1095">
        <f t="shared" si="2"/>
        <v>0</v>
      </c>
      <c r="F63" s="1098"/>
      <c r="G63" s="1095"/>
      <c r="H63" s="1095"/>
      <c r="I63" s="1099"/>
      <c r="J63" s="1099"/>
      <c r="K63" s="1096"/>
      <c r="L63" s="1096"/>
      <c r="M63" s="1096"/>
      <c r="N63" s="1096"/>
      <c r="O63" s="1096"/>
      <c r="P63" s="1096"/>
      <c r="Q63" s="1096"/>
      <c r="R63" s="1096"/>
      <c r="S63" s="1100"/>
      <c r="U63" s="1097">
        <f t="shared" si="1"/>
        <v>0</v>
      </c>
    </row>
    <row r="64" spans="2:21">
      <c r="B64" s="1381"/>
      <c r="C64" s="967" t="s">
        <v>960</v>
      </c>
      <c r="D64" s="1090">
        <f>'33KV FEEDER INPUT'!H89</f>
        <v>214600</v>
      </c>
      <c r="E64" s="1095">
        <f t="shared" si="2"/>
        <v>2.1459999999999999</v>
      </c>
      <c r="F64" s="1098">
        <f>'33 KV HT'!N54/100000</f>
        <v>3.1724399999999999</v>
      </c>
      <c r="G64" s="615"/>
      <c r="H64" s="615"/>
      <c r="I64" s="1096"/>
      <c r="J64" s="1096"/>
      <c r="K64" s="1096"/>
      <c r="L64" s="1096"/>
      <c r="M64" s="1096"/>
      <c r="N64" s="1096"/>
      <c r="O64" s="1101"/>
      <c r="P64" s="1101"/>
      <c r="Q64" s="1096">
        <f>SUM(F64:P64)</f>
        <v>3.1724399999999999</v>
      </c>
      <c r="R64" s="1101"/>
      <c r="S64" s="1096">
        <f>(E64-Q64)/E64</f>
        <v>-0.47830382106244179</v>
      </c>
      <c r="U64" s="1097">
        <f t="shared" si="1"/>
        <v>-47.83038210624418</v>
      </c>
    </row>
    <row r="65" spans="2:21">
      <c r="B65" s="1381"/>
      <c r="C65" s="967"/>
      <c r="D65" s="1112"/>
      <c r="E65" s="1095">
        <f t="shared" si="2"/>
        <v>0</v>
      </c>
      <c r="F65" s="1098"/>
      <c r="G65" s="1095"/>
      <c r="H65" s="1095"/>
      <c r="I65" s="1096" t="s">
        <v>2842</v>
      </c>
      <c r="J65" s="1096" t="s">
        <v>2843</v>
      </c>
      <c r="K65" s="1096" t="s">
        <v>1078</v>
      </c>
      <c r="L65" s="1096"/>
      <c r="M65" s="1096"/>
      <c r="N65" s="1096"/>
      <c r="O65" s="1096"/>
      <c r="P65" s="1096"/>
      <c r="Q65" s="1096"/>
      <c r="R65" s="1096"/>
      <c r="S65" s="1100"/>
      <c r="U65" s="1097">
        <f t="shared" si="1"/>
        <v>0</v>
      </c>
    </row>
    <row r="66" spans="2:21">
      <c r="B66" s="1381"/>
      <c r="C66" s="1116" t="s">
        <v>2844</v>
      </c>
      <c r="D66" s="1094">
        <f>'33KV FEEDER INPUT'!H90</f>
        <v>10032920.00000005</v>
      </c>
      <c r="E66" s="1095">
        <f t="shared" si="2"/>
        <v>100.3292000000005</v>
      </c>
      <c r="F66" s="1098">
        <f>('33 KV HT'!N102+'33 KV HT'!N114)/100000</f>
        <v>8.6093700000000002</v>
      </c>
      <c r="G66" s="615"/>
      <c r="H66" s="615"/>
      <c r="I66" s="1096">
        <f>'SS INPUT'!J365/100000</f>
        <v>30.116000000000348</v>
      </c>
      <c r="J66" s="1096">
        <f>'SS INPUT'!J379/100000</f>
        <v>26.025199999999661</v>
      </c>
      <c r="K66" s="1096">
        <f>'SS INPUT'!J352/100000</f>
        <v>7.9320000000001167</v>
      </c>
      <c r="L66" s="1096"/>
      <c r="M66" s="1096"/>
      <c r="N66" s="1096"/>
      <c r="O66" s="1096"/>
      <c r="P66" s="1096"/>
      <c r="Q66" s="1096">
        <f>SUM(F66:P66)</f>
        <v>72.682570000000126</v>
      </c>
      <c r="R66" s="1101"/>
      <c r="S66" s="1096">
        <f>(E66-Q66)/E66</f>
        <v>0.2755591592477587</v>
      </c>
      <c r="U66" s="1097">
        <f t="shared" si="1"/>
        <v>27.555915924775871</v>
      </c>
    </row>
    <row r="67" spans="2:21">
      <c r="B67" s="1381"/>
      <c r="C67" s="1093"/>
      <c r="D67" s="1112"/>
      <c r="E67" s="1095">
        <f t="shared" si="2"/>
        <v>0</v>
      </c>
      <c r="F67" s="1098"/>
      <c r="G67" s="1095"/>
      <c r="H67" s="1095"/>
      <c r="I67" s="1101" t="s">
        <v>210</v>
      </c>
      <c r="J67" s="1096" t="s">
        <v>2837</v>
      </c>
      <c r="K67" s="1099"/>
      <c r="L67" s="1096"/>
      <c r="M67" s="1096"/>
      <c r="N67" s="1096"/>
      <c r="O67" s="1096"/>
      <c r="P67" s="1096"/>
      <c r="Q67" s="1096"/>
      <c r="R67" s="1096"/>
      <c r="S67" s="1100"/>
      <c r="U67" s="1097">
        <f t="shared" si="1"/>
        <v>0</v>
      </c>
    </row>
    <row r="68" spans="2:21">
      <c r="B68" s="1381"/>
      <c r="C68" s="1116" t="s">
        <v>2845</v>
      </c>
      <c r="D68" s="1090">
        <f>'33KV FEEDER INPUT'!H91</f>
        <v>8298199.9999999302</v>
      </c>
      <c r="E68" s="1095">
        <f t="shared" si="2"/>
        <v>82.981999999999303</v>
      </c>
      <c r="F68" s="1098">
        <f>'33 KV HT'!N94/100000</f>
        <v>6.6289800000000003</v>
      </c>
      <c r="G68" s="615"/>
      <c r="H68" s="615"/>
      <c r="I68" s="1096">
        <f>'SS INPUT'!J322/100000</f>
        <v>17.965360000000288</v>
      </c>
      <c r="J68" s="1096"/>
      <c r="K68" s="1096"/>
      <c r="L68" s="1096"/>
      <c r="M68" s="1096"/>
      <c r="N68" s="1096"/>
      <c r="O68" s="1096"/>
      <c r="P68" s="1096"/>
      <c r="Q68" s="1096">
        <f>SUM(F68:P68)</f>
        <v>24.594340000000287</v>
      </c>
      <c r="R68" s="1101"/>
      <c r="S68" s="1096">
        <f>(E68-Q68)/E68</f>
        <v>0.70361837506928615</v>
      </c>
      <c r="U68" s="1097">
        <f t="shared" si="1"/>
        <v>70.361837506928609</v>
      </c>
    </row>
    <row r="69" spans="2:21">
      <c r="B69" s="1381"/>
      <c r="C69" s="1093"/>
      <c r="D69" s="1112"/>
      <c r="E69" s="1095">
        <f t="shared" si="2"/>
        <v>0</v>
      </c>
      <c r="F69" s="1098"/>
      <c r="G69" s="1095"/>
      <c r="H69" s="1095"/>
      <c r="I69" s="1101" t="s">
        <v>1071</v>
      </c>
      <c r="J69" s="1101" t="s">
        <v>1781</v>
      </c>
      <c r="K69" s="1096" t="s">
        <v>2129</v>
      </c>
      <c r="L69" s="1096" t="s">
        <v>2846</v>
      </c>
      <c r="M69" s="1096"/>
      <c r="N69" s="1096"/>
      <c r="O69" s="1099"/>
      <c r="P69" s="1099"/>
      <c r="Q69" s="1096"/>
      <c r="R69" s="1096"/>
      <c r="S69" s="1100"/>
      <c r="U69" s="1097">
        <f t="shared" si="1"/>
        <v>0</v>
      </c>
    </row>
    <row r="70" spans="2:21">
      <c r="B70" s="1381"/>
      <c r="C70" s="1116" t="s">
        <v>253</v>
      </c>
      <c r="D70" s="1090">
        <f>'33KV FEEDER INPUT'!H92</f>
        <v>8474800.0000000466</v>
      </c>
      <c r="E70" s="1095">
        <f t="shared" si="2"/>
        <v>84.748000000000459</v>
      </c>
      <c r="F70" s="1098">
        <f>'33 KV HT'!N125/100000</f>
        <v>7.2904799999999996</v>
      </c>
      <c r="G70" s="615"/>
      <c r="H70" s="615"/>
      <c r="I70" s="1096">
        <f>'SS INPUT'!J462/100000</f>
        <v>10.975</v>
      </c>
      <c r="J70" s="1096">
        <f>'SS INPUT'!J401/100000</f>
        <v>26.48</v>
      </c>
      <c r="K70" s="1096">
        <f>'SS INPUT'!J637/100000</f>
        <v>20.306799999999825</v>
      </c>
      <c r="L70" s="1096">
        <f>'SS INPUT'!J603/100000</f>
        <v>22.183999999999649</v>
      </c>
      <c r="M70" s="1096"/>
      <c r="N70" s="1096"/>
      <c r="O70" s="1096"/>
      <c r="P70" s="1096"/>
      <c r="Q70" s="1096">
        <f>SUM(F70:P70)</f>
        <v>87.236279999999482</v>
      </c>
      <c r="R70" s="1101"/>
      <c r="S70" s="1096">
        <f>(E70-Q70)/E70</f>
        <v>-2.9360928871466102E-2</v>
      </c>
      <c r="U70" s="1097">
        <f t="shared" si="1"/>
        <v>-2.9360928871466103</v>
      </c>
    </row>
    <row r="71" spans="2:21">
      <c r="B71" s="1381"/>
      <c r="C71" s="1093"/>
      <c r="D71" s="1112"/>
      <c r="E71" s="1095">
        <f t="shared" si="2"/>
        <v>0</v>
      </c>
      <c r="F71" s="1120"/>
      <c r="G71" s="1121"/>
      <c r="H71" s="1121"/>
      <c r="I71" s="1122" t="s">
        <v>1045</v>
      </c>
      <c r="J71" s="1101" t="s">
        <v>961</v>
      </c>
      <c r="K71" s="1099"/>
      <c r="L71" s="1099"/>
      <c r="M71" s="1099"/>
      <c r="N71" s="1096"/>
      <c r="O71" s="1099"/>
      <c r="P71" s="1099"/>
      <c r="Q71" s="1096"/>
      <c r="R71" s="1096"/>
      <c r="S71" s="1100"/>
      <c r="U71" s="1097">
        <f t="shared" si="1"/>
        <v>0</v>
      </c>
    </row>
    <row r="72" spans="2:21">
      <c r="B72" s="1381"/>
      <c r="C72" s="1116" t="s">
        <v>261</v>
      </c>
      <c r="D72" s="1090">
        <f>'33KV FEEDER INPUT'!H93</f>
        <v>1837600</v>
      </c>
      <c r="E72" s="1095">
        <f t="shared" si="2"/>
        <v>18.376000000000001</v>
      </c>
      <c r="F72" s="623"/>
      <c r="G72" s="615"/>
      <c r="H72" s="615"/>
      <c r="I72" s="1101">
        <f>'SS INPUT'!J663/100000</f>
        <v>0.3602000000000003</v>
      </c>
      <c r="J72" s="1096">
        <f>'SS INPUT'!J593/100000</f>
        <v>33.780499999999741</v>
      </c>
      <c r="K72" s="1096"/>
      <c r="L72" s="1096"/>
      <c r="M72" s="1096"/>
      <c r="N72" s="1096"/>
      <c r="O72" s="1096"/>
      <c r="P72" s="1096"/>
      <c r="Q72" s="1096">
        <f>SUM(F72:P72)</f>
        <v>34.14069999999974</v>
      </c>
      <c r="R72" s="1101"/>
      <c r="S72" s="1096">
        <f>(E72-Q72)/E72</f>
        <v>-0.8578961689159631</v>
      </c>
      <c r="U72" s="1097">
        <f t="shared" si="1"/>
        <v>-85.78961689159631</v>
      </c>
    </row>
    <row r="73" spans="2:21">
      <c r="B73" s="1123"/>
      <c r="C73" s="967"/>
      <c r="D73" s="1124"/>
      <c r="E73" s="1125"/>
      <c r="F73" s="1125"/>
      <c r="G73" s="1126"/>
      <c r="H73" s="1126"/>
      <c r="I73" s="1127"/>
      <c r="J73" s="1127"/>
      <c r="K73" s="1128"/>
      <c r="L73" s="1128"/>
      <c r="M73" s="1128"/>
      <c r="N73" s="1128"/>
      <c r="O73" s="1128"/>
      <c r="P73" s="1128"/>
      <c r="Q73" s="1128"/>
      <c r="R73" s="1128"/>
      <c r="S73" s="1129"/>
    </row>
    <row r="74" spans="2:21">
      <c r="B74" s="1123"/>
      <c r="E74" s="1125"/>
      <c r="F74" s="1125"/>
      <c r="G74" s="1126"/>
      <c r="H74" s="1130"/>
      <c r="I74" s="1128"/>
      <c r="J74" s="1128"/>
      <c r="K74" s="1128"/>
      <c r="L74" s="1128"/>
      <c r="M74" s="1128"/>
      <c r="N74" s="1128"/>
      <c r="O74" s="1128"/>
      <c r="P74" s="1128"/>
      <c r="Q74" s="1128"/>
      <c r="R74" s="1128"/>
      <c r="S74" s="1131"/>
    </row>
    <row r="75" spans="2:21">
      <c r="B75" s="1123"/>
      <c r="E75" s="1132"/>
      <c r="F75" s="1126">
        <f>SUM(F10:F74)</f>
        <v>150.64407000000003</v>
      </c>
      <c r="G75" s="1132"/>
      <c r="H75" s="1132"/>
      <c r="I75" s="1131"/>
      <c r="J75" s="1131"/>
      <c r="K75" s="1131"/>
      <c r="L75" s="1131"/>
      <c r="M75" s="1131"/>
      <c r="N75" s="1131"/>
      <c r="O75" s="1131"/>
      <c r="P75" s="1131"/>
      <c r="Q75" s="1131"/>
      <c r="R75" s="1131"/>
      <c r="S75" s="1133"/>
    </row>
    <row r="76" spans="2:21">
      <c r="B76" s="1123"/>
      <c r="D76" s="1082" t="s">
        <v>2847</v>
      </c>
      <c r="E76" s="977">
        <f>'CIRCLE INPUT'!F28</f>
        <v>0</v>
      </c>
      <c r="F76" s="1082"/>
      <c r="G76" s="1082"/>
      <c r="H76" s="1082"/>
    </row>
    <row r="77" spans="2:21">
      <c r="D77" s="1082" t="s">
        <v>2848</v>
      </c>
      <c r="E77" s="977">
        <f>'CIRCLE INPUT'!H31</f>
        <v>909837</v>
      </c>
      <c r="F77" s="1082"/>
      <c r="G77" s="1082"/>
      <c r="H77" s="1082"/>
    </row>
    <row r="78" spans="2:21">
      <c r="D78" s="1082" t="s">
        <v>60</v>
      </c>
      <c r="E78" s="977">
        <f>'CIRCLE INPUT'!P35</f>
        <v>362142</v>
      </c>
      <c r="F78" s="1082"/>
      <c r="G78" s="1082"/>
      <c r="H78" s="1082"/>
    </row>
    <row r="79" spans="2:21">
      <c r="D79" s="1082" t="s">
        <v>2849</v>
      </c>
      <c r="E79" s="1134">
        <f>SUM(E76:E78)/100000</f>
        <v>12.71979</v>
      </c>
      <c r="F79" s="1082"/>
      <c r="G79" s="1082"/>
      <c r="H79" s="1082"/>
    </row>
    <row r="80" spans="2:21">
      <c r="C80" s="1382" t="s">
        <v>2850</v>
      </c>
      <c r="D80" s="1382"/>
      <c r="E80" s="1134">
        <f>E74-E79</f>
        <v>-12.71979</v>
      </c>
      <c r="F80" s="1082"/>
      <c r="G80" s="1082"/>
      <c r="H80" s="1082"/>
    </row>
    <row r="81" spans="3:9">
      <c r="D81" s="1082" t="s">
        <v>134</v>
      </c>
      <c r="E81" s="1134">
        <f>'33KV FEEDER INPUT'!L99/100000</f>
        <v>0</v>
      </c>
      <c r="F81" s="1082"/>
      <c r="G81" s="1082"/>
      <c r="H81" s="1082"/>
    </row>
    <row r="82" spans="3:9">
      <c r="C82" s="965" t="s">
        <v>2851</v>
      </c>
      <c r="E82" s="1134">
        <f>E80+E81</f>
        <v>-12.71979</v>
      </c>
      <c r="F82" s="1082"/>
      <c r="G82" s="1082"/>
      <c r="H82" s="1082"/>
    </row>
    <row r="83" spans="3:9">
      <c r="E83" s="1082"/>
      <c r="F83" s="1082"/>
      <c r="G83" s="1082"/>
      <c r="H83" s="1082"/>
    </row>
    <row r="84" spans="3:9">
      <c r="C84" s="965" t="s">
        <v>2852</v>
      </c>
      <c r="E84" s="1134">
        <f>E80-(F74*1.015)</f>
        <v>-12.71979</v>
      </c>
      <c r="F84" s="1082"/>
      <c r="G84" s="1082"/>
      <c r="H84" s="1082"/>
    </row>
    <row r="85" spans="3:9">
      <c r="I85" s="1135"/>
    </row>
    <row r="86" spans="3:9">
      <c r="C86" s="965" t="s">
        <v>2853</v>
      </c>
      <c r="E86" s="1134">
        <f>'SS INPUT'!J704/100000</f>
        <v>1330.4583199999981</v>
      </c>
    </row>
    <row r="87" spans="3:9">
      <c r="C87" s="965" t="s">
        <v>2854</v>
      </c>
      <c r="E87" s="1136">
        <f>(E84-E86)/E84</f>
        <v>105.59750671984351</v>
      </c>
    </row>
  </sheetData>
  <mergeCells count="7">
    <mergeCell ref="B60:B72"/>
    <mergeCell ref="C80:D80"/>
    <mergeCell ref="A1:A6"/>
    <mergeCell ref="B1:B6"/>
    <mergeCell ref="C1:C6"/>
    <mergeCell ref="B14:B38"/>
    <mergeCell ref="B39:B59"/>
  </mergeCells>
  <printOptions horizontalCentered="1" verticalCentered="1"/>
  <pageMargins left="0" right="0" top="0" bottom="0" header="0.51180555555555496" footer="0.51180555555555496"/>
  <pageSetup paperSize="9" firstPageNumber="0" orientation="landscape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6"/>
  <sheetViews>
    <sheetView topLeftCell="A43" zoomScaleNormal="100" workbookViewId="0">
      <selection activeCell="Y67" sqref="Y67"/>
    </sheetView>
  </sheetViews>
  <sheetFormatPr defaultRowHeight="15"/>
  <cols>
    <col min="1" max="1" width="23" customWidth="1"/>
    <col min="2" max="2" width="11.5703125" hidden="1"/>
    <col min="3" max="3" width="45.5703125" hidden="1" customWidth="1"/>
    <col min="4" max="4" width="8.5703125" hidden="1" customWidth="1"/>
    <col min="5" max="5" width="9.85546875" customWidth="1"/>
    <col min="6" max="7" width="9.85546875" hidden="1" customWidth="1"/>
    <col min="8" max="8" width="10.85546875" hidden="1" customWidth="1"/>
    <col min="9" max="9" width="7.140625" hidden="1" customWidth="1"/>
    <col min="10" max="10" width="9.85546875" hidden="1" customWidth="1"/>
    <col min="11" max="11" width="8.42578125" customWidth="1"/>
    <col min="12" max="1025" width="8.7109375" customWidth="1"/>
  </cols>
  <sheetData>
    <row r="1" spans="1:11">
      <c r="A1" s="1137">
        <v>43048</v>
      </c>
      <c r="B1" s="1138" t="s">
        <v>2855</v>
      </c>
      <c r="C1" s="1139" t="s">
        <v>2856</v>
      </c>
      <c r="D1" s="1140"/>
      <c r="E1" s="1141" t="s">
        <v>2857</v>
      </c>
    </row>
    <row r="2" spans="1:11" ht="25.5" customHeight="1">
      <c r="A2" s="1384" t="s">
        <v>2858</v>
      </c>
      <c r="B2" s="1384"/>
      <c r="C2" s="1384"/>
      <c r="D2" s="1384"/>
      <c r="E2" s="1384"/>
    </row>
    <row r="3" spans="1:11" ht="39">
      <c r="A3" s="1142" t="s">
        <v>2859</v>
      </c>
      <c r="B3" s="1142" t="s">
        <v>2860</v>
      </c>
      <c r="C3" s="1142" t="s">
        <v>2861</v>
      </c>
      <c r="D3" s="1142" t="s">
        <v>2862</v>
      </c>
    </row>
    <row r="4" spans="1:11" ht="15" customHeight="1">
      <c r="A4" s="1385" t="s">
        <v>2863</v>
      </c>
      <c r="B4" s="1386" t="s">
        <v>2864</v>
      </c>
      <c r="C4" s="1386"/>
      <c r="D4" s="1386"/>
      <c r="E4" s="1386"/>
      <c r="F4" s="1386"/>
      <c r="G4" s="1386"/>
      <c r="H4" s="1386"/>
      <c r="I4" s="1386"/>
      <c r="J4" s="1386"/>
    </row>
    <row r="5" spans="1:11" ht="26.25">
      <c r="A5" s="1385"/>
      <c r="B5" s="1143" t="s">
        <v>2865</v>
      </c>
      <c r="C5" s="1143" t="s">
        <v>2866</v>
      </c>
      <c r="D5" s="1143" t="s">
        <v>2867</v>
      </c>
      <c r="E5" s="1143" t="s">
        <v>2868</v>
      </c>
      <c r="F5" s="1143" t="s">
        <v>2869</v>
      </c>
      <c r="G5" s="1143" t="s">
        <v>2870</v>
      </c>
      <c r="H5" s="1143" t="s">
        <v>350</v>
      </c>
      <c r="I5" s="1143" t="s">
        <v>2871</v>
      </c>
      <c r="J5" s="1143" t="s">
        <v>2872</v>
      </c>
    </row>
    <row r="6" spans="1:11">
      <c r="A6" s="1385"/>
      <c r="B6" s="1144" t="s">
        <v>2873</v>
      </c>
      <c r="C6" s="1144" t="s">
        <v>2873</v>
      </c>
      <c r="D6" s="1144" t="s">
        <v>2874</v>
      </c>
      <c r="E6" s="1144" t="s">
        <v>2875</v>
      </c>
      <c r="F6" s="1144" t="s">
        <v>2876</v>
      </c>
      <c r="G6" s="1144" t="s">
        <v>2876</v>
      </c>
      <c r="H6" s="1144" t="s">
        <v>2876</v>
      </c>
      <c r="I6" s="1144" t="s">
        <v>2876</v>
      </c>
      <c r="J6" s="1144" t="s">
        <v>2876</v>
      </c>
    </row>
    <row r="7" spans="1:11" ht="15" customHeight="1">
      <c r="A7" s="1385" t="s">
        <v>2877</v>
      </c>
      <c r="B7" s="1385"/>
      <c r="C7" s="1385"/>
      <c r="D7" s="1385"/>
      <c r="E7" s="1385"/>
      <c r="F7" s="1385"/>
      <c r="G7" s="1385"/>
      <c r="H7" s="1385"/>
      <c r="I7" s="1385"/>
      <c r="J7" s="1385"/>
    </row>
    <row r="8" spans="1:11" ht="15" customHeight="1">
      <c r="A8" s="1387" t="s">
        <v>2878</v>
      </c>
      <c r="B8" s="1387"/>
      <c r="C8" s="1387"/>
      <c r="D8" s="1387"/>
      <c r="E8" s="1387"/>
      <c r="F8" s="1387"/>
      <c r="G8" s="1387"/>
      <c r="H8" s="1387"/>
      <c r="I8" s="1387"/>
      <c r="J8" s="1387"/>
    </row>
    <row r="9" spans="1:11">
      <c r="A9" s="1145" t="s">
        <v>2879</v>
      </c>
      <c r="B9" s="1146" t="s">
        <v>2880</v>
      </c>
      <c r="C9" s="1146" t="s">
        <v>2881</v>
      </c>
      <c r="D9" s="1146" t="s">
        <v>2882</v>
      </c>
      <c r="E9" s="1146" t="s">
        <v>2883</v>
      </c>
      <c r="F9" s="1146" t="s">
        <v>2884</v>
      </c>
      <c r="G9" s="1146" t="s">
        <v>2885</v>
      </c>
      <c r="H9" s="1146" t="s">
        <v>2886</v>
      </c>
      <c r="I9" s="1146" t="s">
        <v>2887</v>
      </c>
      <c r="J9" s="1146" t="s">
        <v>2888</v>
      </c>
    </row>
    <row r="10" spans="1:11">
      <c r="A10" s="1147" t="s">
        <v>2889</v>
      </c>
      <c r="B10" s="1147" t="s">
        <v>2880</v>
      </c>
      <c r="C10" s="1147" t="s">
        <v>2881</v>
      </c>
      <c r="D10" s="1147" t="s">
        <v>2882</v>
      </c>
      <c r="E10" s="1147" t="s">
        <v>2883</v>
      </c>
      <c r="F10" s="1148" t="s">
        <v>2884</v>
      </c>
      <c r="G10" s="1148" t="s">
        <v>2885</v>
      </c>
      <c r="H10" s="1148" t="s">
        <v>2886</v>
      </c>
      <c r="I10" s="1148" t="s">
        <v>2887</v>
      </c>
      <c r="J10" s="1148" t="s">
        <v>2888</v>
      </c>
    </row>
    <row r="11" spans="1:11" ht="15" customHeight="1">
      <c r="A11" s="1387" t="s">
        <v>2890</v>
      </c>
      <c r="B11" s="1387"/>
      <c r="C11" s="1387"/>
      <c r="D11" s="1387"/>
      <c r="E11" s="1387"/>
      <c r="F11" s="1387"/>
      <c r="G11" s="1387"/>
      <c r="H11" s="1387"/>
      <c r="I11" s="1387"/>
      <c r="J11" s="1387"/>
    </row>
    <row r="12" spans="1:11">
      <c r="A12" s="1145" t="s">
        <v>2891</v>
      </c>
      <c r="B12" s="1146" t="s">
        <v>2892</v>
      </c>
      <c r="C12" s="1146" t="s">
        <v>2887</v>
      </c>
      <c r="D12" s="1146" t="s">
        <v>2893</v>
      </c>
      <c r="E12" s="1146" t="s">
        <v>2894</v>
      </c>
      <c r="F12" s="1146" t="s">
        <v>2895</v>
      </c>
      <c r="G12" s="1146" t="s">
        <v>2896</v>
      </c>
      <c r="H12" s="1146" t="s">
        <v>2897</v>
      </c>
      <c r="I12" s="1146" t="s">
        <v>2887</v>
      </c>
      <c r="J12" s="1146" t="s">
        <v>2898</v>
      </c>
    </row>
    <row r="13" spans="1:11">
      <c r="A13" s="1145" t="s">
        <v>2899</v>
      </c>
      <c r="B13" s="1146" t="s">
        <v>2900</v>
      </c>
      <c r="C13" s="1146" t="s">
        <v>2887</v>
      </c>
      <c r="D13" s="1146" t="s">
        <v>2901</v>
      </c>
      <c r="E13" s="1146" t="s">
        <v>2902</v>
      </c>
      <c r="F13" s="1146" t="s">
        <v>2903</v>
      </c>
      <c r="G13" s="1146" t="s">
        <v>2904</v>
      </c>
      <c r="H13" s="1146" t="s">
        <v>2905</v>
      </c>
      <c r="I13" s="1146" t="s">
        <v>2887</v>
      </c>
      <c r="J13" s="1146" t="s">
        <v>2906</v>
      </c>
    </row>
    <row r="14" spans="1:11">
      <c r="A14" s="1148" t="s">
        <v>2889</v>
      </c>
      <c r="B14" s="1148" t="s">
        <v>2907</v>
      </c>
      <c r="C14" s="1148" t="s">
        <v>2887</v>
      </c>
      <c r="D14" s="1148" t="s">
        <v>2908</v>
      </c>
      <c r="E14" s="1148" t="s">
        <v>2909</v>
      </c>
      <c r="F14" s="1148" t="s">
        <v>2910</v>
      </c>
      <c r="G14" s="1148" t="s">
        <v>2911</v>
      </c>
      <c r="H14" s="1148" t="s">
        <v>2912</v>
      </c>
      <c r="I14" s="1148" t="s">
        <v>2887</v>
      </c>
      <c r="J14" s="1148" t="s">
        <v>2913</v>
      </c>
      <c r="K14" s="1149"/>
    </row>
    <row r="15" spans="1:11">
      <c r="A15" s="1148" t="s">
        <v>2914</v>
      </c>
      <c r="B15" s="1148" t="s">
        <v>2915</v>
      </c>
      <c r="C15" s="1148" t="s">
        <v>2881</v>
      </c>
      <c r="D15" s="1148" t="s">
        <v>2916</v>
      </c>
      <c r="E15" s="1148" t="s">
        <v>2917</v>
      </c>
      <c r="F15" s="1148" t="s">
        <v>2918</v>
      </c>
      <c r="G15" s="1148" t="s">
        <v>2919</v>
      </c>
      <c r="H15" s="1148" t="s">
        <v>2920</v>
      </c>
      <c r="I15" s="1148" t="s">
        <v>2887</v>
      </c>
      <c r="J15" s="1148" t="s">
        <v>2921</v>
      </c>
    </row>
    <row r="16" spans="1:11" ht="15" customHeight="1">
      <c r="A16" s="1385" t="s">
        <v>2922</v>
      </c>
      <c r="B16" s="1385"/>
      <c r="C16" s="1385"/>
      <c r="D16" s="1385"/>
      <c r="E16" s="1385"/>
      <c r="F16" s="1385"/>
      <c r="G16" s="1385"/>
      <c r="H16" s="1385"/>
      <c r="I16" s="1385"/>
      <c r="J16" s="1385"/>
    </row>
    <row r="17" spans="1:10" ht="15" customHeight="1">
      <c r="A17" s="1387" t="s">
        <v>2923</v>
      </c>
      <c r="B17" s="1387"/>
      <c r="C17" s="1387"/>
      <c r="D17" s="1387"/>
      <c r="E17" s="1387"/>
      <c r="F17" s="1387"/>
      <c r="G17" s="1387"/>
      <c r="H17" s="1387"/>
      <c r="I17" s="1387"/>
      <c r="J17" s="1387"/>
    </row>
    <row r="18" spans="1:10">
      <c r="A18" s="1150" t="s">
        <v>2924</v>
      </c>
      <c r="B18" s="1151" t="s">
        <v>2925</v>
      </c>
      <c r="C18" s="1151" t="s">
        <v>2887</v>
      </c>
      <c r="D18" s="1151" t="s">
        <v>2926</v>
      </c>
      <c r="E18" s="1151" t="s">
        <v>2927</v>
      </c>
      <c r="F18" s="1146" t="s">
        <v>2928</v>
      </c>
      <c r="G18" s="1146" t="s">
        <v>2929</v>
      </c>
      <c r="H18" s="1146" t="s">
        <v>2930</v>
      </c>
      <c r="I18" s="1146" t="s">
        <v>2887</v>
      </c>
      <c r="J18" s="1146" t="s">
        <v>2931</v>
      </c>
    </row>
    <row r="19" spans="1:10">
      <c r="A19" s="1145" t="s">
        <v>2932</v>
      </c>
      <c r="B19" s="1146" t="s">
        <v>2933</v>
      </c>
      <c r="C19" s="1146" t="s">
        <v>2887</v>
      </c>
      <c r="D19" s="1146" t="s">
        <v>2934</v>
      </c>
      <c r="E19" s="1146" t="s">
        <v>2935</v>
      </c>
      <c r="F19" s="1146" t="s">
        <v>2936</v>
      </c>
      <c r="G19" s="1146" t="s">
        <v>2937</v>
      </c>
      <c r="H19" s="1146" t="s">
        <v>2938</v>
      </c>
      <c r="I19" s="1146" t="s">
        <v>2887</v>
      </c>
      <c r="J19" s="1146" t="s">
        <v>2939</v>
      </c>
    </row>
    <row r="20" spans="1:10">
      <c r="A20" s="1148" t="s">
        <v>2889</v>
      </c>
      <c r="B20" s="1148" t="s">
        <v>2940</v>
      </c>
      <c r="C20" s="1148" t="s">
        <v>2887</v>
      </c>
      <c r="D20" s="1148" t="s">
        <v>2941</v>
      </c>
      <c r="E20" s="1148" t="s">
        <v>2942</v>
      </c>
      <c r="F20" s="1148" t="s">
        <v>2943</v>
      </c>
      <c r="G20" s="1148" t="s">
        <v>2944</v>
      </c>
      <c r="H20" s="1148" t="s">
        <v>2945</v>
      </c>
      <c r="I20" s="1148" t="s">
        <v>2887</v>
      </c>
      <c r="J20" s="1148" t="s">
        <v>2946</v>
      </c>
    </row>
    <row r="21" spans="1:10">
      <c r="A21" s="1148" t="s">
        <v>2914</v>
      </c>
      <c r="B21" s="1148" t="s">
        <v>2940</v>
      </c>
      <c r="C21" s="1148" t="s">
        <v>2887</v>
      </c>
      <c r="D21" s="1148" t="s">
        <v>2941</v>
      </c>
      <c r="E21" s="1148" t="s">
        <v>2942</v>
      </c>
      <c r="F21" s="1148" t="s">
        <v>2943</v>
      </c>
      <c r="G21" s="1148" t="s">
        <v>2944</v>
      </c>
      <c r="H21" s="1148" t="s">
        <v>2945</v>
      </c>
      <c r="I21" s="1148" t="s">
        <v>2887</v>
      </c>
      <c r="J21" s="1148" t="s">
        <v>2946</v>
      </c>
    </row>
    <row r="22" spans="1:10" ht="15" customHeight="1">
      <c r="A22" s="1385" t="s">
        <v>2947</v>
      </c>
      <c r="B22" s="1385"/>
      <c r="C22" s="1385"/>
      <c r="D22" s="1385"/>
      <c r="E22" s="1385"/>
      <c r="F22" s="1385"/>
      <c r="G22" s="1385"/>
      <c r="H22" s="1385"/>
      <c r="I22" s="1385"/>
      <c r="J22" s="1385"/>
    </row>
    <row r="23" spans="1:10" ht="15" customHeight="1">
      <c r="A23" s="1387" t="s">
        <v>2948</v>
      </c>
      <c r="B23" s="1387"/>
      <c r="C23" s="1387"/>
      <c r="D23" s="1387"/>
      <c r="E23" s="1387"/>
      <c r="F23" s="1387"/>
      <c r="G23" s="1387"/>
      <c r="H23" s="1387"/>
      <c r="I23" s="1387"/>
      <c r="J23" s="1387"/>
    </row>
    <row r="24" spans="1:10">
      <c r="A24" s="1145" t="s">
        <v>2949</v>
      </c>
      <c r="B24" s="1146" t="s">
        <v>2950</v>
      </c>
      <c r="C24" s="1146" t="s">
        <v>2887</v>
      </c>
      <c r="D24" s="1146" t="s">
        <v>2951</v>
      </c>
      <c r="E24" s="1146" t="s">
        <v>2952</v>
      </c>
      <c r="F24" s="1146" t="s">
        <v>2953</v>
      </c>
      <c r="G24" s="1146" t="s">
        <v>2954</v>
      </c>
      <c r="H24" s="1146" t="s">
        <v>2955</v>
      </c>
      <c r="I24" s="1146" t="s">
        <v>2887</v>
      </c>
      <c r="J24" s="1146" t="s">
        <v>2887</v>
      </c>
    </row>
    <row r="25" spans="1:10">
      <c r="A25" s="1150" t="s">
        <v>2956</v>
      </c>
      <c r="B25" s="1151" t="s">
        <v>2881</v>
      </c>
      <c r="C25" s="1151" t="s">
        <v>2887</v>
      </c>
      <c r="D25" s="1151" t="s">
        <v>2957</v>
      </c>
      <c r="E25" s="1151" t="s">
        <v>2958</v>
      </c>
      <c r="F25" s="1146" t="s">
        <v>2959</v>
      </c>
      <c r="G25" s="1146" t="s">
        <v>2960</v>
      </c>
      <c r="H25" s="1146" t="s">
        <v>2961</v>
      </c>
      <c r="I25" s="1146" t="s">
        <v>2887</v>
      </c>
      <c r="J25" s="1146" t="s">
        <v>2887</v>
      </c>
    </row>
    <row r="26" spans="1:10">
      <c r="A26" s="1148" t="s">
        <v>2889</v>
      </c>
      <c r="B26" s="1148" t="s">
        <v>2962</v>
      </c>
      <c r="C26" s="1148" t="s">
        <v>2887</v>
      </c>
      <c r="D26" s="1148" t="s">
        <v>2963</v>
      </c>
      <c r="E26" s="1148" t="s">
        <v>2964</v>
      </c>
      <c r="F26" s="1148" t="s">
        <v>2965</v>
      </c>
      <c r="G26" s="1148" t="s">
        <v>2966</v>
      </c>
      <c r="H26" s="1148" t="s">
        <v>2967</v>
      </c>
      <c r="I26" s="1148" t="s">
        <v>2887</v>
      </c>
      <c r="J26" s="1148" t="s">
        <v>2887</v>
      </c>
    </row>
    <row r="27" spans="1:10">
      <c r="A27" s="1148" t="s">
        <v>2914</v>
      </c>
      <c r="B27" s="1148" t="s">
        <v>2962</v>
      </c>
      <c r="C27" s="1148" t="s">
        <v>2887</v>
      </c>
      <c r="D27" s="1148" t="s">
        <v>2963</v>
      </c>
      <c r="E27" s="1148" t="s">
        <v>2964</v>
      </c>
      <c r="F27" s="1148" t="s">
        <v>2965</v>
      </c>
      <c r="G27" s="1148" t="s">
        <v>2966</v>
      </c>
      <c r="H27" s="1148" t="s">
        <v>2967</v>
      </c>
      <c r="I27" s="1148" t="s">
        <v>2887</v>
      </c>
      <c r="J27" s="1148" t="s">
        <v>2887</v>
      </c>
    </row>
    <row r="28" spans="1:10" ht="15" customHeight="1">
      <c r="A28" s="1385" t="s">
        <v>2968</v>
      </c>
      <c r="B28" s="1385"/>
      <c r="C28" s="1385"/>
      <c r="D28" s="1385"/>
      <c r="E28" s="1385"/>
      <c r="F28" s="1385"/>
      <c r="G28" s="1385"/>
      <c r="H28" s="1385"/>
      <c r="I28" s="1385"/>
      <c r="J28" s="1385"/>
    </row>
    <row r="29" spans="1:10" ht="15" customHeight="1">
      <c r="A29" s="1387" t="s">
        <v>2969</v>
      </c>
      <c r="B29" s="1387"/>
      <c r="C29" s="1387"/>
      <c r="D29" s="1387"/>
      <c r="E29" s="1387"/>
      <c r="F29" s="1387"/>
      <c r="G29" s="1387"/>
      <c r="H29" s="1387"/>
      <c r="I29" s="1387"/>
      <c r="J29" s="1387"/>
    </row>
    <row r="30" spans="1:10">
      <c r="A30" s="1150" t="s">
        <v>2970</v>
      </c>
      <c r="B30" s="1151" t="s">
        <v>2881</v>
      </c>
      <c r="C30" s="1151" t="s">
        <v>2887</v>
      </c>
      <c r="D30" s="1151" t="s">
        <v>2971</v>
      </c>
      <c r="E30" s="1151" t="s">
        <v>2972</v>
      </c>
      <c r="F30" s="1146" t="s">
        <v>2973</v>
      </c>
      <c r="G30" s="1146" t="s">
        <v>2974</v>
      </c>
      <c r="H30" s="1146" t="s">
        <v>2975</v>
      </c>
      <c r="I30" s="1146" t="s">
        <v>2887</v>
      </c>
      <c r="J30" s="1146" t="s">
        <v>2887</v>
      </c>
    </row>
    <row r="31" spans="1:10">
      <c r="A31" s="1145" t="s">
        <v>2976</v>
      </c>
      <c r="B31" s="1146" t="s">
        <v>2881</v>
      </c>
      <c r="C31" s="1146" t="s">
        <v>2887</v>
      </c>
      <c r="D31" s="1146" t="s">
        <v>2977</v>
      </c>
      <c r="E31" s="1146" t="s">
        <v>2978</v>
      </c>
      <c r="F31" s="1146" t="s">
        <v>2979</v>
      </c>
      <c r="G31" s="1146" t="s">
        <v>2980</v>
      </c>
      <c r="H31" s="1146" t="s">
        <v>2981</v>
      </c>
      <c r="I31" s="1146" t="s">
        <v>2887</v>
      </c>
      <c r="J31" s="1146" t="s">
        <v>2887</v>
      </c>
    </row>
    <row r="32" spans="1:10">
      <c r="A32" s="1148" t="s">
        <v>2889</v>
      </c>
      <c r="B32" s="1148" t="s">
        <v>2892</v>
      </c>
      <c r="C32" s="1148" t="s">
        <v>2887</v>
      </c>
      <c r="D32" s="1148" t="s">
        <v>2982</v>
      </c>
      <c r="E32" s="1148" t="s">
        <v>2983</v>
      </c>
      <c r="F32" s="1148" t="s">
        <v>2984</v>
      </c>
      <c r="G32" s="1148" t="s">
        <v>2985</v>
      </c>
      <c r="H32" s="1148" t="s">
        <v>2986</v>
      </c>
      <c r="I32" s="1148" t="s">
        <v>2887</v>
      </c>
      <c r="J32" s="1148" t="s">
        <v>2887</v>
      </c>
    </row>
    <row r="33" spans="1:10">
      <c r="A33" s="1148" t="s">
        <v>2914</v>
      </c>
      <c r="B33" s="1148" t="s">
        <v>2892</v>
      </c>
      <c r="C33" s="1148" t="s">
        <v>2887</v>
      </c>
      <c r="D33" s="1148" t="s">
        <v>2982</v>
      </c>
      <c r="E33" s="1148" t="s">
        <v>2983</v>
      </c>
      <c r="F33" s="1148" t="s">
        <v>2984</v>
      </c>
      <c r="G33" s="1148" t="s">
        <v>2985</v>
      </c>
      <c r="H33" s="1148" t="s">
        <v>2986</v>
      </c>
      <c r="I33" s="1148" t="s">
        <v>2887</v>
      </c>
      <c r="J33" s="1148" t="s">
        <v>2887</v>
      </c>
    </row>
    <row r="34" spans="1:10" ht="15" customHeight="1">
      <c r="A34" s="1385" t="s">
        <v>2987</v>
      </c>
      <c r="B34" s="1385"/>
      <c r="C34" s="1385"/>
      <c r="D34" s="1385"/>
      <c r="E34" s="1385"/>
      <c r="F34" s="1385"/>
      <c r="G34" s="1385"/>
      <c r="H34" s="1385"/>
      <c r="I34" s="1385"/>
      <c r="J34" s="1385"/>
    </row>
    <row r="35" spans="1:10" ht="15" customHeight="1">
      <c r="A35" s="1387" t="s">
        <v>2988</v>
      </c>
      <c r="B35" s="1387"/>
      <c r="C35" s="1387"/>
      <c r="D35" s="1387"/>
      <c r="E35" s="1387"/>
      <c r="F35" s="1387"/>
      <c r="G35" s="1387"/>
      <c r="H35" s="1387"/>
      <c r="I35" s="1387"/>
      <c r="J35" s="1387"/>
    </row>
    <row r="36" spans="1:10">
      <c r="A36" s="1145" t="s">
        <v>2989</v>
      </c>
      <c r="B36" s="1146" t="s">
        <v>2990</v>
      </c>
      <c r="C36" s="1146" t="s">
        <v>2887</v>
      </c>
      <c r="D36" s="1146" t="s">
        <v>2991</v>
      </c>
      <c r="E36" s="1146" t="s">
        <v>2992</v>
      </c>
      <c r="F36" s="1146" t="s">
        <v>2993</v>
      </c>
      <c r="G36" s="1146" t="s">
        <v>2994</v>
      </c>
      <c r="H36" s="1146" t="s">
        <v>2995</v>
      </c>
      <c r="I36" s="1146" t="s">
        <v>2887</v>
      </c>
      <c r="J36" s="1146" t="s">
        <v>2996</v>
      </c>
    </row>
    <row r="37" spans="1:10">
      <c r="A37" s="1150" t="s">
        <v>2997</v>
      </c>
      <c r="B37" s="1151" t="s">
        <v>2881</v>
      </c>
      <c r="C37" s="1151" t="s">
        <v>2887</v>
      </c>
      <c r="D37" s="1151" t="s">
        <v>2957</v>
      </c>
      <c r="E37" s="1151" t="s">
        <v>2998</v>
      </c>
      <c r="F37" s="1146" t="s">
        <v>2999</v>
      </c>
      <c r="G37" s="1146" t="s">
        <v>3000</v>
      </c>
      <c r="H37" s="1146" t="s">
        <v>3001</v>
      </c>
      <c r="I37" s="1146" t="s">
        <v>2887</v>
      </c>
      <c r="J37" s="1146" t="s">
        <v>2887</v>
      </c>
    </row>
    <row r="38" spans="1:10">
      <c r="A38" s="1148" t="s">
        <v>2889</v>
      </c>
      <c r="B38" s="1148" t="s">
        <v>3002</v>
      </c>
      <c r="C38" s="1148" t="s">
        <v>2887</v>
      </c>
      <c r="D38" s="1148" t="s">
        <v>3003</v>
      </c>
      <c r="E38" s="1148" t="s">
        <v>3004</v>
      </c>
      <c r="F38" s="1148" t="s">
        <v>3005</v>
      </c>
      <c r="G38" s="1148" t="s">
        <v>3006</v>
      </c>
      <c r="H38" s="1148" t="s">
        <v>3007</v>
      </c>
      <c r="I38" s="1148" t="s">
        <v>2887</v>
      </c>
      <c r="J38" s="1148" t="s">
        <v>2996</v>
      </c>
    </row>
    <row r="39" spans="1:10">
      <c r="A39" s="1148" t="s">
        <v>2914</v>
      </c>
      <c r="B39" s="1148" t="s">
        <v>3002</v>
      </c>
      <c r="C39" s="1148" t="s">
        <v>2887</v>
      </c>
      <c r="D39" s="1148" t="s">
        <v>3003</v>
      </c>
      <c r="E39" s="1148" t="s">
        <v>3004</v>
      </c>
      <c r="F39" s="1148" t="s">
        <v>3005</v>
      </c>
      <c r="G39" s="1148" t="s">
        <v>3006</v>
      </c>
      <c r="H39" s="1148" t="s">
        <v>3007</v>
      </c>
      <c r="I39" s="1148" t="s">
        <v>2887</v>
      </c>
      <c r="J39" s="1148" t="s">
        <v>2996</v>
      </c>
    </row>
    <row r="40" spans="1:10" ht="15" customHeight="1">
      <c r="A40" s="1385" t="s">
        <v>3008</v>
      </c>
      <c r="B40" s="1385"/>
      <c r="C40" s="1385"/>
      <c r="D40" s="1385"/>
      <c r="E40" s="1385"/>
      <c r="F40" s="1385"/>
      <c r="G40" s="1385"/>
      <c r="H40" s="1385"/>
      <c r="I40" s="1385"/>
      <c r="J40" s="1385"/>
    </row>
    <row r="41" spans="1:10">
      <c r="A41" s="1145" t="s">
        <v>3009</v>
      </c>
      <c r="B41" s="1146" t="s">
        <v>2887</v>
      </c>
      <c r="C41" s="1146" t="s">
        <v>2887</v>
      </c>
      <c r="D41" s="1146" t="s">
        <v>2887</v>
      </c>
      <c r="E41" s="1146" t="s">
        <v>2887</v>
      </c>
      <c r="F41" s="1146" t="s">
        <v>2887</v>
      </c>
      <c r="G41" s="1146" t="s">
        <v>2887</v>
      </c>
      <c r="H41" s="1146" t="s">
        <v>3010</v>
      </c>
      <c r="I41" s="1146" t="s">
        <v>2887</v>
      </c>
      <c r="J41" s="1146" t="s">
        <v>2887</v>
      </c>
    </row>
    <row r="42" spans="1:10">
      <c r="A42" s="1145" t="s">
        <v>3011</v>
      </c>
      <c r="B42" s="1146" t="s">
        <v>2887</v>
      </c>
      <c r="C42" s="1146" t="s">
        <v>2887</v>
      </c>
      <c r="D42" s="1146" t="s">
        <v>2887</v>
      </c>
      <c r="E42" s="1146" t="s">
        <v>2887</v>
      </c>
      <c r="F42" s="1146" t="s">
        <v>2887</v>
      </c>
      <c r="G42" s="1146" t="s">
        <v>2887</v>
      </c>
      <c r="H42" s="1146" t="s">
        <v>3012</v>
      </c>
      <c r="I42" s="1146" t="s">
        <v>2887</v>
      </c>
      <c r="J42" s="1146" t="s">
        <v>2887</v>
      </c>
    </row>
    <row r="43" spans="1:10" ht="18">
      <c r="A43" s="1152"/>
    </row>
    <row r="44" spans="1:10">
      <c r="A44" s="1137">
        <v>43048</v>
      </c>
      <c r="B44" s="1138" t="s">
        <v>2855</v>
      </c>
      <c r="C44" s="1139" t="s">
        <v>2856</v>
      </c>
      <c r="D44" s="1138" t="s">
        <v>3013</v>
      </c>
      <c r="E44" s="1141" t="s">
        <v>3014</v>
      </c>
    </row>
    <row r="45" spans="1:10" ht="25.5" customHeight="1">
      <c r="A45" s="1384" t="s">
        <v>2858</v>
      </c>
      <c r="B45" s="1384"/>
      <c r="C45" s="1384"/>
      <c r="D45" s="1384"/>
      <c r="E45" s="1384"/>
    </row>
    <row r="46" spans="1:10" ht="39">
      <c r="A46" s="1142" t="s">
        <v>2859</v>
      </c>
      <c r="B46" s="1142" t="s">
        <v>2860</v>
      </c>
      <c r="C46" s="1142" t="s">
        <v>2861</v>
      </c>
      <c r="D46" s="1142" t="s">
        <v>2862</v>
      </c>
    </row>
    <row r="47" spans="1:10" ht="15" customHeight="1">
      <c r="A47" s="1385" t="s">
        <v>2863</v>
      </c>
      <c r="B47" s="1386" t="s">
        <v>2864</v>
      </c>
      <c r="C47" s="1386"/>
      <c r="D47" s="1386"/>
      <c r="E47" s="1386"/>
      <c r="F47" s="1386"/>
      <c r="G47" s="1386"/>
      <c r="H47" s="1386"/>
      <c r="I47" s="1386"/>
      <c r="J47" s="1386"/>
    </row>
    <row r="48" spans="1:10" ht="26.25">
      <c r="A48" s="1385"/>
      <c r="B48" s="1143" t="s">
        <v>2865</v>
      </c>
      <c r="C48" s="1143" t="s">
        <v>2866</v>
      </c>
      <c r="D48" s="1143" t="s">
        <v>2867</v>
      </c>
      <c r="E48" s="1143" t="s">
        <v>2868</v>
      </c>
      <c r="F48" s="1143" t="s">
        <v>2869</v>
      </c>
      <c r="G48" s="1143" t="s">
        <v>2870</v>
      </c>
      <c r="H48" s="1143" t="s">
        <v>350</v>
      </c>
      <c r="I48" s="1143" t="s">
        <v>2871</v>
      </c>
      <c r="J48" s="1143" t="s">
        <v>2872</v>
      </c>
    </row>
    <row r="49" spans="1:10">
      <c r="A49" s="1385"/>
      <c r="B49" s="1144" t="s">
        <v>2873</v>
      </c>
      <c r="C49" s="1144" t="s">
        <v>2873</v>
      </c>
      <c r="D49" s="1144" t="s">
        <v>2874</v>
      </c>
      <c r="E49" s="1144" t="s">
        <v>2875</v>
      </c>
      <c r="F49" s="1144" t="s">
        <v>2876</v>
      </c>
      <c r="G49" s="1144" t="s">
        <v>2876</v>
      </c>
      <c r="H49" s="1144" t="s">
        <v>2876</v>
      </c>
      <c r="I49" s="1144" t="s">
        <v>2876</v>
      </c>
      <c r="J49" s="1144" t="s">
        <v>2876</v>
      </c>
    </row>
    <row r="50" spans="1:10">
      <c r="A50" s="1148" t="s">
        <v>2914</v>
      </c>
      <c r="B50" s="1148" t="s">
        <v>2887</v>
      </c>
      <c r="C50" s="1148" t="s">
        <v>2887</v>
      </c>
      <c r="D50" s="1148" t="s">
        <v>2887</v>
      </c>
      <c r="E50" s="1148" t="s">
        <v>2887</v>
      </c>
      <c r="F50" s="1148" t="s">
        <v>2887</v>
      </c>
      <c r="G50" s="1148" t="s">
        <v>2887</v>
      </c>
      <c r="H50" s="1148" t="s">
        <v>3015</v>
      </c>
      <c r="I50" s="1148" t="s">
        <v>2887</v>
      </c>
      <c r="J50" s="1148" t="s">
        <v>2887</v>
      </c>
    </row>
    <row r="51" spans="1:10">
      <c r="A51" s="1153" t="s">
        <v>3016</v>
      </c>
      <c r="B51" s="1146" t="s">
        <v>2887</v>
      </c>
      <c r="C51" s="1146" t="s">
        <v>2887</v>
      </c>
      <c r="D51" s="1146" t="s">
        <v>2887</v>
      </c>
      <c r="E51" s="1146" t="s">
        <v>2887</v>
      </c>
      <c r="F51" s="1146" t="s">
        <v>2887</v>
      </c>
      <c r="G51" s="1146" t="s">
        <v>2887</v>
      </c>
      <c r="H51" s="1146" t="s">
        <v>3017</v>
      </c>
      <c r="I51" s="1146" t="s">
        <v>2887</v>
      </c>
      <c r="J51" s="1146" t="s">
        <v>2887</v>
      </c>
    </row>
    <row r="52" spans="1:10">
      <c r="A52" s="1153" t="s">
        <v>3018</v>
      </c>
      <c r="B52" s="1146" t="s">
        <v>2887</v>
      </c>
      <c r="C52" s="1146" t="s">
        <v>2887</v>
      </c>
      <c r="D52" s="1146" t="s">
        <v>2887</v>
      </c>
      <c r="E52" s="1146" t="s">
        <v>2887</v>
      </c>
      <c r="F52" s="1146" t="s">
        <v>2887</v>
      </c>
      <c r="G52" s="1146" t="s">
        <v>2887</v>
      </c>
      <c r="H52" s="1146" t="s">
        <v>3019</v>
      </c>
      <c r="I52" s="1146" t="s">
        <v>2887</v>
      </c>
      <c r="J52" s="1146" t="s">
        <v>2887</v>
      </c>
    </row>
    <row r="53" spans="1:10">
      <c r="A53" s="1153" t="s">
        <v>3020</v>
      </c>
      <c r="B53" s="1146" t="s">
        <v>2887</v>
      </c>
      <c r="C53" s="1146" t="s">
        <v>2887</v>
      </c>
      <c r="D53" s="1146" t="s">
        <v>2887</v>
      </c>
      <c r="E53" s="1146" t="s">
        <v>2887</v>
      </c>
      <c r="F53" s="1146" t="s">
        <v>2887</v>
      </c>
      <c r="G53" s="1146" t="s">
        <v>2887</v>
      </c>
      <c r="H53" s="1146" t="s">
        <v>3021</v>
      </c>
      <c r="I53" s="1146" t="s">
        <v>2887</v>
      </c>
      <c r="J53" s="1146" t="s">
        <v>2887</v>
      </c>
    </row>
    <row r="54" spans="1:10">
      <c r="A54" s="1148" t="s">
        <v>3022</v>
      </c>
      <c r="B54" s="1148" t="s">
        <v>3023</v>
      </c>
      <c r="C54" s="1148" t="s">
        <v>2881</v>
      </c>
      <c r="D54" s="1148" t="s">
        <v>3024</v>
      </c>
      <c r="E54" s="1148" t="s">
        <v>3025</v>
      </c>
      <c r="F54" s="1148" t="s">
        <v>3026</v>
      </c>
      <c r="G54" s="1148" t="s">
        <v>3027</v>
      </c>
      <c r="H54" s="1148" t="s">
        <v>3028</v>
      </c>
      <c r="I54" s="1148" t="s">
        <v>2887</v>
      </c>
      <c r="J54" s="1148" t="s">
        <v>3029</v>
      </c>
    </row>
    <row r="55" spans="1:10" ht="18">
      <c r="A55" s="1152"/>
    </row>
    <row r="56" spans="1:10">
      <c r="A56" t="s">
        <v>3030</v>
      </c>
    </row>
  </sheetData>
  <mergeCells count="18">
    <mergeCell ref="A2:E2"/>
    <mergeCell ref="A4:A6"/>
    <mergeCell ref="B4:J4"/>
    <mergeCell ref="A7:J7"/>
    <mergeCell ref="A8:J8"/>
    <mergeCell ref="A11:J11"/>
    <mergeCell ref="A16:J16"/>
    <mergeCell ref="A17:J17"/>
    <mergeCell ref="A22:J22"/>
    <mergeCell ref="A23:J23"/>
    <mergeCell ref="A45:E45"/>
    <mergeCell ref="A47:A49"/>
    <mergeCell ref="B47:J47"/>
    <mergeCell ref="A28:J28"/>
    <mergeCell ref="A29:J29"/>
    <mergeCell ref="A34:J34"/>
    <mergeCell ref="A35:J35"/>
    <mergeCell ref="A40:J40"/>
  </mergeCells>
  <hyperlinks>
    <hyperlink ref="B1" r:id="rId1" location="repbot"/>
    <hyperlink ref="B44" r:id="rId2" location="repbot"/>
    <hyperlink ref="D44" r:id="rId3" location="reptop"/>
  </hyperlinks>
  <pageMargins left="0.7" right="0.7" top="0.75" bottom="0.75" header="0.51180555555555496" footer="0.51180555555555496"/>
  <pageSetup firstPageNumber="0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11"/>
  <sheetViews>
    <sheetView zoomScaleNormal="100" workbookViewId="0">
      <selection activeCell="D2" sqref="D2"/>
    </sheetView>
  </sheetViews>
  <sheetFormatPr defaultRowHeight="15"/>
  <cols>
    <col min="1" max="1" width="8.7109375" customWidth="1"/>
    <col min="2" max="2" width="14.42578125" customWidth="1"/>
    <col min="3" max="3" width="17.140625" customWidth="1"/>
    <col min="4" max="4" width="12.7109375" customWidth="1"/>
    <col min="5" max="1025" width="8.7109375" customWidth="1"/>
  </cols>
  <sheetData>
    <row r="1" spans="2:6" ht="18.75">
      <c r="B1" s="559" t="s">
        <v>3031</v>
      </c>
      <c r="C1" s="559" t="s">
        <v>2472</v>
      </c>
      <c r="D1" s="559" t="s">
        <v>3032</v>
      </c>
    </row>
    <row r="2" spans="2:6" ht="18.75">
      <c r="B2" s="1154">
        <v>113001624.56</v>
      </c>
      <c r="C2" s="1154">
        <f>12070477*1.15</f>
        <v>13881048.549999999</v>
      </c>
      <c r="D2" s="1154">
        <f>B2-C2</f>
        <v>99120576.010000005</v>
      </c>
      <c r="E2">
        <f>D2/100000</f>
        <v>991.20576010000002</v>
      </c>
    </row>
    <row r="5" spans="2:6">
      <c r="B5" t="s">
        <v>3033</v>
      </c>
      <c r="C5" t="s">
        <v>232</v>
      </c>
      <c r="E5" t="s">
        <v>3033</v>
      </c>
    </row>
    <row r="6" spans="2:6">
      <c r="B6" s="1146" t="s">
        <v>3034</v>
      </c>
      <c r="C6" s="1155">
        <v>2036739</v>
      </c>
      <c r="E6">
        <v>1433933</v>
      </c>
      <c r="F6">
        <v>2036739</v>
      </c>
    </row>
    <row r="7" spans="2:6">
      <c r="B7">
        <v>1751805</v>
      </c>
      <c r="C7">
        <v>4237364</v>
      </c>
      <c r="E7">
        <v>1751805</v>
      </c>
      <c r="F7">
        <v>4237364</v>
      </c>
    </row>
    <row r="8" spans="2:6">
      <c r="B8">
        <v>16098</v>
      </c>
      <c r="C8" t="s">
        <v>3035</v>
      </c>
      <c r="E8">
        <v>16098</v>
      </c>
      <c r="F8">
        <v>959350</v>
      </c>
    </row>
    <row r="9" spans="2:6">
      <c r="B9" t="s">
        <v>3036</v>
      </c>
      <c r="C9">
        <v>15185</v>
      </c>
      <c r="E9">
        <v>31606</v>
      </c>
      <c r="F9">
        <v>15185</v>
      </c>
    </row>
    <row r="10" spans="2:6">
      <c r="B10">
        <v>67470</v>
      </c>
      <c r="C10">
        <v>1520927</v>
      </c>
      <c r="E10">
        <v>67470</v>
      </c>
      <c r="F10">
        <v>1520927</v>
      </c>
    </row>
    <row r="11" spans="2:6">
      <c r="E11">
        <f>SUM(E6:E10)</f>
        <v>3300912</v>
      </c>
      <c r="F11">
        <f>SUM(F6:F10)</f>
        <v>8769565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K31"/>
  <sheetViews>
    <sheetView topLeftCell="E13" zoomScaleNormal="100" workbookViewId="0">
      <selection activeCell="J14" sqref="J14"/>
    </sheetView>
  </sheetViews>
  <sheetFormatPr defaultRowHeight="15"/>
  <cols>
    <col min="1" max="2" width="8.7109375" customWidth="1"/>
    <col min="3" max="3" width="33.5703125" customWidth="1"/>
    <col min="4" max="4" width="36" customWidth="1"/>
    <col min="5" max="5" width="31.140625" customWidth="1"/>
    <col min="6" max="6" width="20.7109375" style="136" customWidth="1"/>
    <col min="7" max="7" width="28.7109375" customWidth="1"/>
    <col min="8" max="1025" width="8.7109375" customWidth="1"/>
  </cols>
  <sheetData>
    <row r="2" spans="2:11" ht="26.25">
      <c r="B2" s="1388" t="s">
        <v>3037</v>
      </c>
      <c r="C2" s="1388"/>
      <c r="D2" s="1388"/>
      <c r="E2" s="1388"/>
      <c r="F2" s="181"/>
    </row>
    <row r="3" spans="2:11" ht="23.25">
      <c r="B3" s="1156" t="s">
        <v>345</v>
      </c>
      <c r="C3" s="1156" t="s">
        <v>901</v>
      </c>
      <c r="D3" s="1156" t="s">
        <v>900</v>
      </c>
      <c r="E3" s="1157" t="str">
        <f>'CIRCLE INPUT'!Q3</f>
        <v>OCT.2024</v>
      </c>
      <c r="F3" s="181"/>
      <c r="I3" t="s">
        <v>3038</v>
      </c>
    </row>
    <row r="4" spans="2:11" ht="18.75">
      <c r="B4" s="1156"/>
      <c r="C4" s="1156"/>
      <c r="D4" s="1156"/>
      <c r="E4" s="1156" t="s">
        <v>3039</v>
      </c>
      <c r="F4" s="181"/>
      <c r="I4" t="s">
        <v>3039</v>
      </c>
    </row>
    <row r="5" spans="2:11" ht="15.75">
      <c r="B5" s="181"/>
      <c r="C5" s="1269" t="s">
        <v>80</v>
      </c>
      <c r="D5" s="1158" t="s">
        <v>2141</v>
      </c>
      <c r="E5" s="264">
        <f t="shared" ref="E5:E31" si="0">G5</f>
        <v>52.278921508193676</v>
      </c>
      <c r="F5" s="242">
        <f>'T&amp;D'!K17</f>
        <v>5227892.1508193677</v>
      </c>
      <c r="G5" s="264">
        <f t="shared" ref="G5:G31" si="1">F5/100000</f>
        <v>52.278921508193676</v>
      </c>
      <c r="I5">
        <v>57.90996819946335</v>
      </c>
      <c r="J5" s="1159">
        <f>E5/I5</f>
        <v>0.90276204829064544</v>
      </c>
      <c r="K5" s="87" t="e">
        <f>E5-#REF!</f>
        <v>#REF!</v>
      </c>
    </row>
    <row r="6" spans="2:11" ht="15.75">
      <c r="B6" s="181"/>
      <c r="C6" s="1269"/>
      <c r="D6" s="903" t="s">
        <v>2159</v>
      </c>
      <c r="E6" s="264">
        <f t="shared" si="0"/>
        <v>37.218907043847835</v>
      </c>
      <c r="F6" s="242">
        <f>'T&amp;D'!K25</f>
        <v>3721890.7043847837</v>
      </c>
      <c r="G6" s="264">
        <f t="shared" si="1"/>
        <v>37.218907043847835</v>
      </c>
      <c r="I6">
        <v>38.355796633454069</v>
      </c>
      <c r="J6" s="1159">
        <f t="shared" ref="J6:J31" si="2">E6/I6</f>
        <v>0.9703593800835143</v>
      </c>
      <c r="K6" s="87" t="e">
        <f>E6-#REF!</f>
        <v>#REF!</v>
      </c>
    </row>
    <row r="7" spans="2:11" ht="15.75">
      <c r="B7" s="181"/>
      <c r="C7" s="1269"/>
      <c r="D7" s="903" t="s">
        <v>2169</v>
      </c>
      <c r="E7" s="264">
        <f t="shared" si="0"/>
        <v>42.881046236913335</v>
      </c>
      <c r="F7" s="242">
        <f>'T&amp;D'!K35</f>
        <v>4288104.6236913335</v>
      </c>
      <c r="G7" s="264">
        <f t="shared" si="1"/>
        <v>42.881046236913335</v>
      </c>
      <c r="I7">
        <v>45.688685897144268</v>
      </c>
      <c r="J7" s="1159">
        <f t="shared" si="2"/>
        <v>0.93854846982135631</v>
      </c>
      <c r="K7" s="87" t="e">
        <f>E7-#REF!</f>
        <v>#REF!</v>
      </c>
    </row>
    <row r="8" spans="2:11" ht="15.75">
      <c r="B8" s="181"/>
      <c r="C8" s="1269"/>
      <c r="D8" s="903" t="s">
        <v>2181</v>
      </c>
      <c r="E8" s="264">
        <f t="shared" si="0"/>
        <v>48.980730232379379</v>
      </c>
      <c r="F8" s="242">
        <f>'T&amp;D'!K55</f>
        <v>4898073.0232379381</v>
      </c>
      <c r="G8" s="264">
        <f t="shared" si="1"/>
        <v>48.980730232379379</v>
      </c>
      <c r="I8">
        <v>51.314671826150324</v>
      </c>
      <c r="J8" s="1159">
        <f t="shared" si="2"/>
        <v>0.95451707064057356</v>
      </c>
      <c r="K8" s="87" t="e">
        <f>E8-#REF!</f>
        <v>#REF!</v>
      </c>
    </row>
    <row r="9" spans="2:11" ht="15.75">
      <c r="B9" s="181"/>
      <c r="C9" s="1269"/>
      <c r="D9" s="903" t="s">
        <v>2207</v>
      </c>
      <c r="E9" s="264">
        <f t="shared" si="0"/>
        <v>39.561289392276592</v>
      </c>
      <c r="F9" s="242">
        <f>'T&amp;D'!K63</f>
        <v>3956128.9392276593</v>
      </c>
      <c r="G9" s="264">
        <f t="shared" si="1"/>
        <v>39.561289392276592</v>
      </c>
      <c r="I9">
        <v>43.048714738518065</v>
      </c>
      <c r="J9" s="1159">
        <f t="shared" si="2"/>
        <v>0.91898886256130008</v>
      </c>
      <c r="K9" s="87" t="e">
        <f>E9-#REF!</f>
        <v>#REF!</v>
      </c>
    </row>
    <row r="10" spans="2:11" ht="18.75">
      <c r="B10" s="181"/>
      <c r="C10" s="1269"/>
      <c r="D10" s="181" t="s">
        <v>71</v>
      </c>
      <c r="E10" s="1160">
        <f t="shared" si="0"/>
        <v>220.9208944136108</v>
      </c>
      <c r="F10" s="560">
        <f>SUM(F5:F9)</f>
        <v>22092089.441361081</v>
      </c>
      <c r="G10" s="1160">
        <f t="shared" si="1"/>
        <v>220.9208944136108</v>
      </c>
      <c r="I10">
        <v>236.31783729473008</v>
      </c>
      <c r="J10" s="1159">
        <f t="shared" si="2"/>
        <v>0.93484646331661969</v>
      </c>
      <c r="K10" s="87" t="e">
        <f>E10-#REF!</f>
        <v>#REF!</v>
      </c>
    </row>
    <row r="11" spans="2:11" ht="15.75">
      <c r="B11" s="181"/>
      <c r="C11" s="1266" t="s">
        <v>81</v>
      </c>
      <c r="D11" s="924" t="s">
        <v>1200</v>
      </c>
      <c r="E11" s="264">
        <f t="shared" si="0"/>
        <v>54.74941890824045</v>
      </c>
      <c r="F11" s="242">
        <f>'T&amp;D'!K80</f>
        <v>5474941.8908240451</v>
      </c>
      <c r="G11" s="264">
        <f t="shared" si="1"/>
        <v>54.74941890824045</v>
      </c>
      <c r="I11">
        <v>60.714136693748365</v>
      </c>
      <c r="J11" s="1159">
        <f t="shared" si="2"/>
        <v>0.90175734828290666</v>
      </c>
      <c r="K11" t="e">
        <f>F11/#REF!</f>
        <v>#REF!</v>
      </c>
    </row>
    <row r="12" spans="2:11" ht="15.75">
      <c r="B12" s="181"/>
      <c r="C12" s="1266"/>
      <c r="D12" s="924" t="s">
        <v>2234</v>
      </c>
      <c r="E12" s="264">
        <f t="shared" si="0"/>
        <v>58.688875716065866</v>
      </c>
      <c r="F12" s="242">
        <f>'T&amp;D'!K91</f>
        <v>5868887.5716065867</v>
      </c>
      <c r="G12" s="264">
        <f t="shared" si="1"/>
        <v>58.688875716065866</v>
      </c>
      <c r="I12">
        <v>64.204567508565574</v>
      </c>
      <c r="J12" s="1159">
        <f t="shared" si="2"/>
        <v>0.91409190955512853</v>
      </c>
      <c r="K12" t="e">
        <f>F12/#REF!</f>
        <v>#REF!</v>
      </c>
    </row>
    <row r="13" spans="2:11" ht="15.75">
      <c r="B13" s="181"/>
      <c r="C13" s="1266"/>
      <c r="D13" s="924" t="s">
        <v>2160</v>
      </c>
      <c r="E13" s="264">
        <f t="shared" si="0"/>
        <v>57.027714152305109</v>
      </c>
      <c r="F13" s="242">
        <f>'T&amp;D'!K99</f>
        <v>5702771.4152305108</v>
      </c>
      <c r="G13" s="264">
        <f t="shared" si="1"/>
        <v>57.027714152305109</v>
      </c>
      <c r="I13">
        <v>63.109925335708127</v>
      </c>
      <c r="J13" s="1159">
        <f t="shared" si="2"/>
        <v>0.90362512471613321</v>
      </c>
      <c r="K13" t="e">
        <f>F13/#REF!</f>
        <v>#REF!</v>
      </c>
    </row>
    <row r="14" spans="2:11" ht="15.75">
      <c r="B14" s="181"/>
      <c r="C14" s="1266"/>
      <c r="D14" s="924" t="s">
        <v>1587</v>
      </c>
      <c r="E14" s="264">
        <f t="shared" si="0"/>
        <v>40.888638904268362</v>
      </c>
      <c r="F14" s="242">
        <f>'T&amp;D'!K109</f>
        <v>4088863.890426836</v>
      </c>
      <c r="G14" s="264">
        <f t="shared" si="1"/>
        <v>40.888638904268362</v>
      </c>
      <c r="I14">
        <v>46.080656894539175</v>
      </c>
      <c r="J14" s="1159">
        <f t="shared" si="2"/>
        <v>0.88732760467904492</v>
      </c>
    </row>
    <row r="15" spans="2:11" ht="18.75">
      <c r="B15" s="181"/>
      <c r="C15" s="1266"/>
      <c r="D15" s="181" t="s">
        <v>71</v>
      </c>
      <c r="E15" s="1160">
        <f t="shared" si="0"/>
        <v>211.35464768087979</v>
      </c>
      <c r="F15" s="560">
        <f>SUM(F11:F14)</f>
        <v>21135464.768087979</v>
      </c>
      <c r="G15" s="1160">
        <f t="shared" si="1"/>
        <v>211.35464768087979</v>
      </c>
      <c r="I15">
        <v>234.10928643256125</v>
      </c>
      <c r="J15" s="1159">
        <f t="shared" si="2"/>
        <v>0.90280334839158005</v>
      </c>
      <c r="K15" t="e">
        <f>F15/#REF!</f>
        <v>#REF!</v>
      </c>
    </row>
    <row r="16" spans="2:11" ht="15.75">
      <c r="B16" s="181"/>
      <c r="C16" s="1266" t="s">
        <v>83</v>
      </c>
      <c r="D16" s="924" t="s">
        <v>2261</v>
      </c>
      <c r="E16" s="264">
        <f t="shared" si="0"/>
        <v>72.567562256428388</v>
      </c>
      <c r="F16" s="242">
        <f>'T&amp;D'!K128</f>
        <v>7256756.2256428385</v>
      </c>
      <c r="G16" s="264">
        <f t="shared" si="1"/>
        <v>72.567562256428388</v>
      </c>
      <c r="I16">
        <v>79.639744443120662</v>
      </c>
      <c r="J16" s="1159">
        <f t="shared" si="2"/>
        <v>0.91119782922277859</v>
      </c>
      <c r="K16" t="e">
        <f>F16/#REF!</f>
        <v>#REF!</v>
      </c>
    </row>
    <row r="17" spans="2:11" ht="15.75">
      <c r="B17" s="181"/>
      <c r="C17" s="1266"/>
      <c r="D17" s="924" t="s">
        <v>3040</v>
      </c>
      <c r="E17" s="264">
        <f t="shared" si="0"/>
        <v>59.232080684848299</v>
      </c>
      <c r="F17" s="242">
        <f>'T&amp;D'!K136</f>
        <v>5923208.0684848297</v>
      </c>
      <c r="G17" s="264">
        <f t="shared" si="1"/>
        <v>59.232080684848299</v>
      </c>
      <c r="I17">
        <v>62.600393576993888</v>
      </c>
      <c r="J17" s="1159">
        <f t="shared" si="2"/>
        <v>0.94619342308123333</v>
      </c>
      <c r="K17" t="e">
        <f>F17/#REF!</f>
        <v>#REF!</v>
      </c>
    </row>
    <row r="18" spans="2:11" ht="15.75">
      <c r="B18" s="181"/>
      <c r="C18" s="1266"/>
      <c r="D18" s="924" t="s">
        <v>2291</v>
      </c>
      <c r="E18" s="264">
        <f t="shared" si="0"/>
        <v>59.005258805933913</v>
      </c>
      <c r="F18" s="242">
        <f>'T&amp;D'!K147</f>
        <v>5900525.8805933911</v>
      </c>
      <c r="G18" s="264">
        <f t="shared" si="1"/>
        <v>59.005258805933913</v>
      </c>
      <c r="I18">
        <v>63.723575159364408</v>
      </c>
      <c r="J18" s="1159">
        <f t="shared" si="2"/>
        <v>0.92595650288561815</v>
      </c>
      <c r="K18" t="e">
        <f>F18/#REF!</f>
        <v>#REF!</v>
      </c>
    </row>
    <row r="19" spans="2:11" ht="15.75">
      <c r="B19" s="181"/>
      <c r="C19" s="1266"/>
      <c r="D19" s="924" t="s">
        <v>973</v>
      </c>
      <c r="E19" s="264">
        <f t="shared" si="0"/>
        <v>48.907869193150468</v>
      </c>
      <c r="F19" s="242">
        <f>'T&amp;D'!K158</f>
        <v>4890786.9193150466</v>
      </c>
      <c r="G19" s="264">
        <f t="shared" si="1"/>
        <v>48.907869193150468</v>
      </c>
      <c r="I19">
        <v>54.482656441950255</v>
      </c>
      <c r="J19" s="1159">
        <f t="shared" si="2"/>
        <v>0.89767776366155039</v>
      </c>
      <c r="K19" t="e">
        <f>F19/#REF!</f>
        <v>#REF!</v>
      </c>
    </row>
    <row r="20" spans="2:11" ht="15.75">
      <c r="B20" s="181"/>
      <c r="C20" s="1266"/>
      <c r="D20" s="924" t="s">
        <v>222</v>
      </c>
      <c r="E20" s="264">
        <f t="shared" si="0"/>
        <v>67.507565823183995</v>
      </c>
      <c r="F20" s="242">
        <f>'T&amp;D'!K172</f>
        <v>6750756.5823183991</v>
      </c>
      <c r="G20" s="264">
        <f t="shared" si="1"/>
        <v>67.507565823183995</v>
      </c>
      <c r="I20">
        <v>68.378812503288984</v>
      </c>
      <c r="J20" s="1159">
        <f t="shared" si="2"/>
        <v>0.98725852865515784</v>
      </c>
      <c r="K20" t="e">
        <f>F20/#REF!</f>
        <v>#REF!</v>
      </c>
    </row>
    <row r="21" spans="2:11" ht="15.75">
      <c r="B21" s="181"/>
      <c r="C21" s="1266"/>
      <c r="D21" s="924" t="s">
        <v>216</v>
      </c>
      <c r="E21" s="264">
        <f t="shared" si="0"/>
        <v>69.41376046694522</v>
      </c>
      <c r="F21" s="242">
        <f>'T&amp;D'!K191</f>
        <v>6941376.0466945227</v>
      </c>
      <c r="G21" s="264">
        <f t="shared" si="1"/>
        <v>69.41376046694522</v>
      </c>
      <c r="I21">
        <v>77.281440529662945</v>
      </c>
      <c r="J21" s="1159">
        <f t="shared" si="2"/>
        <v>0.8981944434679906</v>
      </c>
      <c r="K21" t="e">
        <f>F21/#REF!</f>
        <v>#REF!</v>
      </c>
    </row>
    <row r="22" spans="2:11" ht="18.75">
      <c r="B22" s="181"/>
      <c r="C22" s="1266"/>
      <c r="D22" s="181" t="s">
        <v>71</v>
      </c>
      <c r="E22" s="1160">
        <f t="shared" si="0"/>
        <v>376.63409723049028</v>
      </c>
      <c r="F22" s="560">
        <f>SUM(F16:F21)</f>
        <v>37663409.72304903</v>
      </c>
      <c r="G22" s="1160">
        <f t="shared" si="1"/>
        <v>376.63409723049028</v>
      </c>
      <c r="I22">
        <v>406.10662265438117</v>
      </c>
      <c r="J22" s="1159">
        <f t="shared" si="2"/>
        <v>0.92742663187501473</v>
      </c>
      <c r="K22" t="e">
        <f>F22/#REF!</f>
        <v>#REF!</v>
      </c>
    </row>
    <row r="23" spans="2:11" ht="15.75">
      <c r="B23" s="181"/>
      <c r="C23" s="1266" t="s">
        <v>82</v>
      </c>
      <c r="D23" s="924" t="s">
        <v>210</v>
      </c>
      <c r="E23" s="264">
        <f t="shared" si="0"/>
        <v>75.949482887856291</v>
      </c>
      <c r="F23" s="242">
        <f>'T&amp;D'!K212</f>
        <v>7594948.288785629</v>
      </c>
      <c r="G23" s="264">
        <f t="shared" si="1"/>
        <v>75.949482887856291</v>
      </c>
      <c r="I23">
        <v>84.509340657342079</v>
      </c>
      <c r="J23" s="1159">
        <f t="shared" si="2"/>
        <v>0.89871110456069903</v>
      </c>
      <c r="K23" t="e">
        <f>F23/#REF!</f>
        <v>#REF!</v>
      </c>
    </row>
    <row r="24" spans="2:11" ht="15.75">
      <c r="B24" s="181"/>
      <c r="C24" s="1266"/>
      <c r="D24" s="924" t="s">
        <v>1078</v>
      </c>
      <c r="E24" s="264">
        <f t="shared" si="0"/>
        <v>76.244620497365645</v>
      </c>
      <c r="F24" s="242">
        <f>'T&amp;D'!K227</f>
        <v>7624462.049736565</v>
      </c>
      <c r="G24" s="264">
        <f t="shared" si="1"/>
        <v>76.244620497365645</v>
      </c>
      <c r="I24">
        <v>85.530374209268388</v>
      </c>
      <c r="J24" s="1159">
        <f t="shared" si="2"/>
        <v>0.89143326218609598</v>
      </c>
      <c r="K24" t="e">
        <f>F24/#REF!</f>
        <v>#REF!</v>
      </c>
    </row>
    <row r="25" spans="2:11" ht="15.75">
      <c r="B25" s="181"/>
      <c r="C25" s="1266"/>
      <c r="D25" s="924" t="s">
        <v>2388</v>
      </c>
      <c r="E25" s="264">
        <f t="shared" si="0"/>
        <v>79.495295473340875</v>
      </c>
      <c r="F25" s="242">
        <f>'T&amp;D'!K243</f>
        <v>7949529.5473340871</v>
      </c>
      <c r="G25" s="264">
        <f t="shared" si="1"/>
        <v>79.495295473340875</v>
      </c>
      <c r="I25">
        <v>84.961555687554238</v>
      </c>
      <c r="J25" s="1159">
        <f t="shared" si="2"/>
        <v>0.9356619571054523</v>
      </c>
      <c r="K25" t="e">
        <f>F25/#REF!</f>
        <v>#REF!</v>
      </c>
    </row>
    <row r="26" spans="2:11" ht="15.75">
      <c r="B26" s="181"/>
      <c r="C26" s="1266"/>
      <c r="D26" s="924" t="s">
        <v>979</v>
      </c>
      <c r="E26" s="264">
        <f t="shared" si="0"/>
        <v>70.187726836424233</v>
      </c>
      <c r="F26" s="242">
        <f>'T&amp;D'!K259</f>
        <v>7018772.6836424237</v>
      </c>
      <c r="G26" s="264">
        <f t="shared" si="1"/>
        <v>70.187726836424233</v>
      </c>
      <c r="I26">
        <v>76.879420636514254</v>
      </c>
      <c r="J26" s="1159">
        <f t="shared" si="2"/>
        <v>0.91295858183260337</v>
      </c>
      <c r="K26" t="e">
        <f>F26/#REF!</f>
        <v>#REF!</v>
      </c>
    </row>
    <row r="27" spans="2:11" ht="15.75">
      <c r="B27" s="181"/>
      <c r="C27" s="1266"/>
      <c r="D27" s="924" t="s">
        <v>924</v>
      </c>
      <c r="E27" s="264">
        <f t="shared" si="0"/>
        <v>61.534404871993381</v>
      </c>
      <c r="F27" s="242">
        <f>'T&amp;D'!K273</f>
        <v>6153440.4871993382</v>
      </c>
      <c r="G27" s="264">
        <f t="shared" si="1"/>
        <v>61.534404871993381</v>
      </c>
      <c r="I27">
        <v>67.708178152061549</v>
      </c>
      <c r="J27" s="1159">
        <f t="shared" si="2"/>
        <v>0.90881790872879675</v>
      </c>
      <c r="K27" t="e">
        <f>F27/#REF!</f>
        <v>#REF!</v>
      </c>
    </row>
    <row r="28" spans="2:11" ht="15.75">
      <c r="B28" s="181"/>
      <c r="C28" s="1266"/>
      <c r="D28" s="924" t="s">
        <v>1068</v>
      </c>
      <c r="E28" s="264">
        <f t="shared" si="0"/>
        <v>85.479051547853558</v>
      </c>
      <c r="F28" s="242">
        <f>'T&amp;D'!K307</f>
        <v>8547905.1547853556</v>
      </c>
      <c r="G28" s="264">
        <f t="shared" si="1"/>
        <v>85.479051547853558</v>
      </c>
      <c r="I28">
        <v>92.465186657465907</v>
      </c>
      <c r="J28" s="1159">
        <f t="shared" si="2"/>
        <v>0.92444577941001471</v>
      </c>
      <c r="K28" t="e">
        <f>F28/#REF!</f>
        <v>#REF!</v>
      </c>
    </row>
    <row r="29" spans="2:11" ht="15.75">
      <c r="B29" s="181"/>
      <c r="C29" s="1266"/>
      <c r="D29" s="924" t="s">
        <v>904</v>
      </c>
      <c r="E29" s="264">
        <f t="shared" si="0"/>
        <v>50.479551460185355</v>
      </c>
      <c r="F29" s="242">
        <f>'T&amp;D'!K290</f>
        <v>5047955.1460185358</v>
      </c>
      <c r="G29" s="264">
        <f t="shared" si="1"/>
        <v>50.479551460185355</v>
      </c>
      <c r="I29">
        <v>57.170713618120999</v>
      </c>
      <c r="J29" s="1159">
        <f t="shared" si="2"/>
        <v>0.88296171703172877</v>
      </c>
    </row>
    <row r="30" spans="2:11" ht="18.75">
      <c r="B30" s="181"/>
      <c r="C30" s="1266"/>
      <c r="D30" s="181" t="s">
        <v>71</v>
      </c>
      <c r="E30" s="1160">
        <f t="shared" si="0"/>
        <v>499.37013357501939</v>
      </c>
      <c r="F30" s="560">
        <f>SUM(F23:F29)</f>
        <v>49937013.357501939</v>
      </c>
      <c r="G30" s="1160">
        <f t="shared" si="1"/>
        <v>499.37013357501939</v>
      </c>
      <c r="I30">
        <v>549.2247696183274</v>
      </c>
      <c r="J30" s="1159">
        <f t="shared" si="2"/>
        <v>0.90922726213176175</v>
      </c>
      <c r="K30" t="e">
        <f>F30/#REF!</f>
        <v>#REF!</v>
      </c>
    </row>
    <row r="31" spans="2:11" ht="21">
      <c r="B31" s="181"/>
      <c r="C31" s="181" t="s">
        <v>3041</v>
      </c>
      <c r="D31" s="181"/>
      <c r="E31" s="1161">
        <f t="shared" si="0"/>
        <v>1308.2797729000004</v>
      </c>
      <c r="F31" s="1162">
        <f>F10+F15+F22+F30</f>
        <v>130827977.29000004</v>
      </c>
      <c r="G31" s="1160">
        <f t="shared" si="1"/>
        <v>1308.2797729000004</v>
      </c>
      <c r="I31">
        <v>1425.7585159999999</v>
      </c>
      <c r="J31" s="1159">
        <f t="shared" si="2"/>
        <v>0.91760263622370708</v>
      </c>
      <c r="K31" t="e">
        <f>F31/#REF!</f>
        <v>#REF!</v>
      </c>
    </row>
  </sheetData>
  <mergeCells count="5">
    <mergeCell ref="B2:E2"/>
    <mergeCell ref="C5:C10"/>
    <mergeCell ref="C11:C15"/>
    <mergeCell ref="C16:C22"/>
    <mergeCell ref="C23:C30"/>
  </mergeCells>
  <printOptions horizontalCentered="1"/>
  <pageMargins left="0.70833333333333304" right="0.70833333333333304" top="0.74791666666666701" bottom="0.74791666666666701" header="0.51180555555555496" footer="0.51180555555555496"/>
  <pageSetup paperSize="9" firstPageNumber="0" orientation="landscape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30"/>
  <sheetViews>
    <sheetView topLeftCell="D1" zoomScaleNormal="100" workbookViewId="0">
      <selection activeCell="I3" sqref="I3"/>
    </sheetView>
  </sheetViews>
  <sheetFormatPr defaultRowHeight="15"/>
  <cols>
    <col min="1" max="2" width="8.7109375" customWidth="1"/>
    <col min="3" max="3" width="33.5703125" customWidth="1"/>
    <col min="4" max="4" width="36" customWidth="1"/>
    <col min="5" max="5" width="31.140625" customWidth="1"/>
    <col min="6" max="6" width="20.7109375" customWidth="1"/>
    <col min="7" max="7" width="8.7109375" customWidth="1"/>
    <col min="8" max="8" width="17.7109375" customWidth="1"/>
    <col min="9" max="1025" width="8.7109375" customWidth="1"/>
  </cols>
  <sheetData>
    <row r="1" spans="2:9" ht="26.25">
      <c r="B1" s="1388" t="s">
        <v>3037</v>
      </c>
      <c r="C1" s="1388"/>
      <c r="D1" s="1388"/>
      <c r="E1" s="1388"/>
      <c r="F1" s="559" t="s">
        <v>3042</v>
      </c>
    </row>
    <row r="2" spans="2:9" ht="23.25">
      <c r="B2" s="1156" t="s">
        <v>345</v>
      </c>
      <c r="C2" s="1156" t="s">
        <v>901</v>
      </c>
      <c r="D2" s="1156" t="s">
        <v>900</v>
      </c>
      <c r="E2" s="1157" t="s">
        <v>3043</v>
      </c>
      <c r="F2" s="181"/>
    </row>
    <row r="3" spans="2:9" ht="18.75">
      <c r="B3" s="1156"/>
      <c r="C3" s="1156"/>
      <c r="D3" s="1156"/>
      <c r="E3" s="1156" t="s">
        <v>3039</v>
      </c>
      <c r="F3" s="181"/>
    </row>
    <row r="4" spans="2:9" ht="15.75">
      <c r="B4" s="181"/>
      <c r="C4" s="1269" t="s">
        <v>80</v>
      </c>
      <c r="D4" s="1158" t="s">
        <v>2141</v>
      </c>
      <c r="E4" s="264">
        <v>43.349806003827098</v>
      </c>
      <c r="F4" s="242">
        <v>4334980.6003827099</v>
      </c>
      <c r="G4">
        <f>E4/Sheet2!I5</f>
        <v>0.7485724366919756</v>
      </c>
      <c r="I4">
        <f t="shared" ref="I4:I30" si="0">G4*F4</f>
        <v>3245046.9910409283</v>
      </c>
    </row>
    <row r="5" spans="2:9" ht="15.75">
      <c r="B5" s="181"/>
      <c r="C5" s="1269"/>
      <c r="D5" s="903" t="s">
        <v>2159</v>
      </c>
      <c r="E5" s="264">
        <v>34.935338757785203</v>
      </c>
      <c r="F5" s="242">
        <v>3493533.87577852</v>
      </c>
      <c r="G5">
        <f>E5/Sheet2!I6</f>
        <v>0.91082292180354485</v>
      </c>
      <c r="I5">
        <f t="shared" si="0"/>
        <v>3181990.7321562539</v>
      </c>
    </row>
    <row r="6" spans="2:9" ht="15.75">
      <c r="B6" s="181"/>
      <c r="C6" s="1269"/>
      <c r="D6" s="903" t="s">
        <v>2169</v>
      </c>
      <c r="E6" s="264">
        <v>40.637008085434502</v>
      </c>
      <c r="F6" s="242">
        <v>4063700.8085434502</v>
      </c>
      <c r="G6">
        <f>E6/Sheet2!I7</f>
        <v>0.88943263058424893</v>
      </c>
      <c r="I6">
        <f t="shared" si="0"/>
        <v>3614388.1000501402</v>
      </c>
    </row>
    <row r="7" spans="2:9" ht="15.75">
      <c r="B7" s="181"/>
      <c r="C7" s="1269"/>
      <c r="D7" s="903" t="s">
        <v>2181</v>
      </c>
      <c r="E7" s="264">
        <v>46.766251979690601</v>
      </c>
      <c r="F7" s="242">
        <v>4676625.1979690604</v>
      </c>
      <c r="G7">
        <f>E7/Sheet2!I8</f>
        <v>0.91136219555550557</v>
      </c>
      <c r="I7">
        <f t="shared" si="0"/>
        <v>4262099.4082112834</v>
      </c>
    </row>
    <row r="8" spans="2:9" ht="15.75">
      <c r="B8" s="181"/>
      <c r="C8" s="1269"/>
      <c r="D8" s="903" t="s">
        <v>2207</v>
      </c>
      <c r="E8" s="264">
        <v>38.635547386377901</v>
      </c>
      <c r="F8" s="242">
        <v>3863554.7386377901</v>
      </c>
      <c r="G8">
        <f>E8/Sheet2!I9</f>
        <v>0.89748434119471032</v>
      </c>
      <c r="I8">
        <f t="shared" si="0"/>
        <v>3467479.8792760381</v>
      </c>
    </row>
    <row r="9" spans="2:9" ht="18.75">
      <c r="B9" s="181"/>
      <c r="C9" s="1269"/>
      <c r="D9" s="181" t="s">
        <v>71</v>
      </c>
      <c r="E9" s="1160">
        <v>204.32395221311501</v>
      </c>
      <c r="F9" s="560">
        <v>20432395.221311498</v>
      </c>
      <c r="G9">
        <f>E9/Sheet2!I10</f>
        <v>0.86461502251430533</v>
      </c>
      <c r="I9">
        <f t="shared" si="0"/>
        <v>17666155.854295425</v>
      </c>
    </row>
    <row r="10" spans="2:9" ht="15.75">
      <c r="B10" s="181"/>
      <c r="C10" s="1266" t="s">
        <v>81</v>
      </c>
      <c r="D10" s="924" t="s">
        <v>1200</v>
      </c>
      <c r="E10" s="264">
        <v>72.030509349519804</v>
      </c>
      <c r="F10" s="242">
        <v>7203050.9349519797</v>
      </c>
      <c r="G10">
        <f>E10/Sheet2!I11</f>
        <v>1.186387771810921</v>
      </c>
      <c r="I10">
        <f t="shared" si="0"/>
        <v>8545611.5489582513</v>
      </c>
    </row>
    <row r="11" spans="2:9" ht="15.75">
      <c r="B11" s="181"/>
      <c r="C11" s="1266"/>
      <c r="D11" s="924" t="s">
        <v>2234</v>
      </c>
      <c r="E11" s="264">
        <v>54.6906930789022</v>
      </c>
      <c r="F11" s="242">
        <v>5469069.3078902196</v>
      </c>
      <c r="G11">
        <f>E11/Sheet2!I12</f>
        <v>0.85181935181801327</v>
      </c>
      <c r="I11">
        <f t="shared" si="0"/>
        <v>4658659.0728948377</v>
      </c>
    </row>
    <row r="12" spans="2:9" ht="15.75">
      <c r="B12" s="181"/>
      <c r="C12" s="1266"/>
      <c r="D12" s="924" t="s">
        <v>2160</v>
      </c>
      <c r="E12" s="264">
        <v>79.530490610535296</v>
      </c>
      <c r="F12" s="242">
        <v>7953049.0610535303</v>
      </c>
      <c r="G12">
        <f>E12/Sheet2!I13</f>
        <v>1.2601899017861184</v>
      </c>
      <c r="I12">
        <f t="shared" si="0"/>
        <v>10022352.11514923</v>
      </c>
    </row>
    <row r="13" spans="2:9" ht="18.75">
      <c r="B13" s="181"/>
      <c r="C13" s="1266"/>
      <c r="D13" s="181" t="s">
        <v>71</v>
      </c>
      <c r="E13" s="1160">
        <v>206.251693038957</v>
      </c>
      <c r="F13" s="560">
        <v>20625169.303895701</v>
      </c>
      <c r="G13">
        <f>E13/Sheet2!I14</f>
        <v>4.4758843935534047</v>
      </c>
      <c r="I13">
        <f t="shared" si="0"/>
        <v>92315873.401703507</v>
      </c>
    </row>
    <row r="14" spans="2:9" ht="15.75">
      <c r="B14" s="181"/>
      <c r="C14" s="1266" t="s">
        <v>83</v>
      </c>
      <c r="D14" s="924" t="s">
        <v>2261</v>
      </c>
      <c r="E14" s="264">
        <v>66.995408193556202</v>
      </c>
      <c r="F14" s="242">
        <v>6699540.8193556201</v>
      </c>
      <c r="G14">
        <f>E14/Sheet2!I15</f>
        <v>0.28617151081213199</v>
      </c>
      <c r="I14">
        <f t="shared" si="0"/>
        <v>1917217.7180225465</v>
      </c>
    </row>
    <row r="15" spans="2:9" ht="15.75">
      <c r="B15" s="181"/>
      <c r="C15" s="1266"/>
      <c r="D15" s="924" t="s">
        <v>3040</v>
      </c>
      <c r="E15" s="264">
        <v>57.1817924167635</v>
      </c>
      <c r="F15" s="242">
        <v>5718179.2416763501</v>
      </c>
      <c r="G15">
        <f>E15/Sheet2!I16</f>
        <v>0.71800572461157497</v>
      </c>
      <c r="I15">
        <f t="shared" si="0"/>
        <v>4105685.429878694</v>
      </c>
    </row>
    <row r="16" spans="2:9" ht="15.75">
      <c r="B16" s="181"/>
      <c r="C16" s="1266"/>
      <c r="D16" s="924" t="s">
        <v>2291</v>
      </c>
      <c r="E16" s="264">
        <v>54.869446199999601</v>
      </c>
      <c r="F16" s="242">
        <v>5486944.6199999601</v>
      </c>
      <c r="G16">
        <f>E16/Sheet2!I17</f>
        <v>0.87650321451276836</v>
      </c>
      <c r="I16">
        <f t="shared" si="0"/>
        <v>4809324.5972835049</v>
      </c>
    </row>
    <row r="17" spans="2:9" ht="15.75">
      <c r="B17" s="181"/>
      <c r="C17" s="1266"/>
      <c r="D17" s="924" t="s">
        <v>973</v>
      </c>
      <c r="E17" s="264">
        <v>43.031117216045899</v>
      </c>
      <c r="F17" s="242">
        <v>4303111.7216045903</v>
      </c>
      <c r="G17">
        <f>E17/Sheet2!I18</f>
        <v>0.67527782470507425</v>
      </c>
      <c r="I17">
        <f t="shared" si="0"/>
        <v>2905795.922828055</v>
      </c>
    </row>
    <row r="18" spans="2:9" ht="15.75">
      <c r="B18" s="181"/>
      <c r="C18" s="1266"/>
      <c r="D18" s="924" t="s">
        <v>222</v>
      </c>
      <c r="E18" s="264">
        <v>68.665839768470406</v>
      </c>
      <c r="F18" s="242">
        <v>6866583.9768470395</v>
      </c>
      <c r="G18">
        <f>E18/Sheet2!I19</f>
        <v>1.260324739151292</v>
      </c>
      <c r="I18">
        <f t="shared" si="0"/>
        <v>8654125.6594801862</v>
      </c>
    </row>
    <row r="19" spans="2:9" ht="15.75">
      <c r="B19" s="181"/>
      <c r="C19" s="1266"/>
      <c r="D19" s="924" t="s">
        <v>216</v>
      </c>
      <c r="E19" s="264">
        <v>66.735156160673796</v>
      </c>
      <c r="F19" s="242">
        <v>6673515.6160673797</v>
      </c>
      <c r="G19">
        <f>E19/Sheet2!I20</f>
        <v>0.97596249068326346</v>
      </c>
      <c r="I19">
        <f t="shared" si="0"/>
        <v>6513100.922270773</v>
      </c>
    </row>
    <row r="20" spans="2:9" ht="18.75">
      <c r="B20" s="181"/>
      <c r="C20" s="1266"/>
      <c r="D20" s="181" t="s">
        <v>71</v>
      </c>
      <c r="E20" s="1160">
        <v>357.47875995550902</v>
      </c>
      <c r="F20" s="560">
        <v>35747875.995550901</v>
      </c>
      <c r="G20">
        <f>E20/Sheet2!I21</f>
        <v>4.6256741270020436</v>
      </c>
      <c r="I20">
        <f t="shared" si="0"/>
        <v>165358025.08789721</v>
      </c>
    </row>
    <row r="21" spans="2:9" ht="15.75">
      <c r="B21" s="181"/>
      <c r="C21" s="1266" t="s">
        <v>82</v>
      </c>
      <c r="D21" s="924" t="s">
        <v>210</v>
      </c>
      <c r="E21" s="264">
        <v>67.404664304922704</v>
      </c>
      <c r="F21" s="242">
        <v>6740466.4304922698</v>
      </c>
      <c r="G21">
        <f>E21/Sheet2!I22</f>
        <v>0.16597775201092385</v>
      </c>
      <c r="I21">
        <f t="shared" si="0"/>
        <v>1118767.4656382031</v>
      </c>
    </row>
    <row r="22" spans="2:9" ht="15.75">
      <c r="B22" s="181"/>
      <c r="C22" s="1266"/>
      <c r="D22" s="924" t="s">
        <v>1078</v>
      </c>
      <c r="E22" s="264">
        <v>69.719156971444505</v>
      </c>
      <c r="F22" s="242">
        <v>6971915.6971444497</v>
      </c>
      <c r="G22">
        <f>E22/Sheet2!I23</f>
        <v>0.82498758633241542</v>
      </c>
      <c r="I22">
        <f t="shared" si="0"/>
        <v>5751743.9031002792</v>
      </c>
    </row>
    <row r="23" spans="2:9" ht="15.75">
      <c r="B23" s="181"/>
      <c r="C23" s="1266"/>
      <c r="D23" s="924" t="s">
        <v>2388</v>
      </c>
      <c r="E23" s="264">
        <v>64.181492101306205</v>
      </c>
      <c r="F23" s="242">
        <v>6418149.2101306198</v>
      </c>
      <c r="G23">
        <f>E23/Sheet2!I24</f>
        <v>0.75039414587702413</v>
      </c>
      <c r="I23">
        <f t="shared" si="0"/>
        <v>4816141.5946472632</v>
      </c>
    </row>
    <row r="24" spans="2:9" ht="15.75">
      <c r="B24" s="181"/>
      <c r="C24" s="1266"/>
      <c r="D24" s="924" t="s">
        <v>979</v>
      </c>
      <c r="E24" s="264">
        <v>72.607652381750597</v>
      </c>
      <c r="F24" s="242">
        <v>7260765.2381750597</v>
      </c>
      <c r="G24">
        <f>E24/Sheet2!I25</f>
        <v>0.85459419609458342</v>
      </c>
      <c r="I24">
        <f t="shared" si="0"/>
        <v>6205007.8317497121</v>
      </c>
    </row>
    <row r="25" spans="2:9" ht="15.75">
      <c r="B25" s="181"/>
      <c r="C25" s="1266"/>
      <c r="D25" s="924" t="s">
        <v>924</v>
      </c>
      <c r="E25" s="264">
        <v>84.786248523498301</v>
      </c>
      <c r="F25" s="242">
        <v>8478624.8523498308</v>
      </c>
      <c r="G25">
        <f>E25/Sheet2!I26</f>
        <v>1.1028471315407997</v>
      </c>
      <c r="I25">
        <f t="shared" si="0"/>
        <v>9350627.0978245474</v>
      </c>
    </row>
    <row r="26" spans="2:9" ht="15.75">
      <c r="B26" s="181"/>
      <c r="C26" s="1266"/>
      <c r="D26" s="924" t="s">
        <v>1068</v>
      </c>
      <c r="E26" s="264">
        <v>79.767780509496305</v>
      </c>
      <c r="F26" s="242">
        <v>7976778.0509496303</v>
      </c>
      <c r="G26">
        <f>E26/Sheet2!I27</f>
        <v>1.1781114584171923</v>
      </c>
      <c r="I26">
        <f t="shared" si="0"/>
        <v>9397533.6230745185</v>
      </c>
    </row>
    <row r="27" spans="2:9" ht="18.75">
      <c r="B27" s="181"/>
      <c r="C27" s="1266"/>
      <c r="D27" s="181" t="s">
        <v>71</v>
      </c>
      <c r="E27" s="1160">
        <v>438.46699479241801</v>
      </c>
      <c r="F27" s="560">
        <v>43846699.4792419</v>
      </c>
      <c r="G27">
        <f>E27/Sheet2!I28</f>
        <v>4.741968416899474</v>
      </c>
      <c r="I27">
        <f t="shared" si="0"/>
        <v>207919664.11584771</v>
      </c>
    </row>
    <row r="28" spans="2:9" ht="21">
      <c r="B28" s="181"/>
      <c r="C28" s="181" t="s">
        <v>3041</v>
      </c>
      <c r="D28" s="181"/>
      <c r="E28" s="1161">
        <v>1206.5214000000001</v>
      </c>
      <c r="F28" s="1162">
        <v>120652140</v>
      </c>
      <c r="G28">
        <f>E28/Sheet2!I29</f>
        <v>21.103836626198373</v>
      </c>
      <c r="I28">
        <f t="shared" si="0"/>
        <v>2546223051.1612139</v>
      </c>
    </row>
    <row r="29" spans="2:9">
      <c r="I29">
        <f t="shared" si="0"/>
        <v>0</v>
      </c>
    </row>
    <row r="30" spans="2:9">
      <c r="I30">
        <f t="shared" si="0"/>
        <v>0</v>
      </c>
    </row>
  </sheetData>
  <mergeCells count="5">
    <mergeCell ref="B1:E1"/>
    <mergeCell ref="C4:C9"/>
    <mergeCell ref="C10:C13"/>
    <mergeCell ref="C14:C20"/>
    <mergeCell ref="C21:C27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240"/>
  <sheetViews>
    <sheetView topLeftCell="F1" zoomScaleNormal="100" workbookViewId="0">
      <selection activeCell="M240" sqref="M240"/>
    </sheetView>
  </sheetViews>
  <sheetFormatPr defaultRowHeight="15"/>
  <cols>
    <col min="2" max="2" width="6.85546875" customWidth="1"/>
    <col min="3" max="3" width="10.28515625" customWidth="1"/>
    <col min="4" max="4" width="13.42578125" customWidth="1"/>
    <col min="5" max="5" width="15.85546875" customWidth="1"/>
    <col min="6" max="6" width="34.42578125" bestFit="1" customWidth="1"/>
    <col min="7" max="7" width="14.85546875" bestFit="1" customWidth="1"/>
    <col min="8" max="9" width="14" customWidth="1"/>
    <col min="10" max="10" width="9.5703125" customWidth="1"/>
    <col min="11" max="11" width="7.28515625" customWidth="1"/>
    <col min="12" max="12" width="13" customWidth="1"/>
    <col min="13" max="13" width="9.5703125" customWidth="1"/>
    <col min="14" max="14" width="8.42578125" customWidth="1"/>
  </cols>
  <sheetData>
    <row r="1" spans="1:16">
      <c r="A1" s="1404">
        <v>45536</v>
      </c>
      <c r="B1" s="1405"/>
      <c r="C1" s="1405"/>
      <c r="D1" s="1405"/>
      <c r="E1" s="1405"/>
      <c r="F1" s="1405"/>
      <c r="G1" s="1405"/>
      <c r="H1" s="1405"/>
      <c r="I1" s="1405"/>
      <c r="J1" s="1405"/>
      <c r="K1" s="1405"/>
      <c r="L1" s="1405"/>
      <c r="M1" s="1405"/>
      <c r="N1" s="1405"/>
    </row>
    <row r="2" spans="1:16" ht="38.25">
      <c r="A2" s="1405" t="s">
        <v>888</v>
      </c>
      <c r="B2" s="1405" t="s">
        <v>2797</v>
      </c>
      <c r="C2" s="1405" t="s">
        <v>3044</v>
      </c>
      <c r="D2" s="1405" t="s">
        <v>3045</v>
      </c>
      <c r="E2" s="1405" t="s">
        <v>3046</v>
      </c>
      <c r="F2" s="1405" t="s">
        <v>3047</v>
      </c>
      <c r="G2" s="1405" t="s">
        <v>3048</v>
      </c>
      <c r="H2" s="1405" t="s">
        <v>3049</v>
      </c>
      <c r="I2" s="1405"/>
      <c r="J2" s="1405"/>
      <c r="K2" s="1185" t="s">
        <v>3050</v>
      </c>
      <c r="L2" s="1185" t="s">
        <v>3051</v>
      </c>
      <c r="M2" s="1405" t="s">
        <v>3052</v>
      </c>
      <c r="N2" s="1405" t="s">
        <v>3053</v>
      </c>
    </row>
    <row r="3" spans="1:16" ht="76.5" customHeight="1">
      <c r="A3" s="1405"/>
      <c r="B3" s="1405"/>
      <c r="C3" s="1405"/>
      <c r="D3" s="1405"/>
      <c r="E3" s="1405"/>
      <c r="F3" s="1405"/>
      <c r="G3" s="1405"/>
      <c r="H3" s="1185" t="s">
        <v>3054</v>
      </c>
      <c r="I3" s="1185" t="s">
        <v>3055</v>
      </c>
      <c r="J3" s="1185" t="s">
        <v>896</v>
      </c>
      <c r="K3" s="1185" t="s">
        <v>135</v>
      </c>
      <c r="L3" s="1185" t="s">
        <v>3056</v>
      </c>
      <c r="M3" s="1405"/>
      <c r="N3" s="1405"/>
    </row>
    <row r="4" spans="1:16">
      <c r="A4" s="1185">
        <v>1</v>
      </c>
      <c r="B4" s="1185">
        <v>2</v>
      </c>
      <c r="C4" s="1185">
        <v>3</v>
      </c>
      <c r="D4" s="1185">
        <v>4</v>
      </c>
      <c r="E4" s="1185">
        <v>5</v>
      </c>
      <c r="F4" s="1185">
        <v>6</v>
      </c>
      <c r="G4" s="1185">
        <v>7</v>
      </c>
      <c r="H4" s="1185">
        <v>8</v>
      </c>
      <c r="I4" s="1185">
        <v>9</v>
      </c>
      <c r="J4" s="1185">
        <v>10</v>
      </c>
      <c r="K4" s="1185">
        <v>11</v>
      </c>
      <c r="L4" s="1185">
        <v>12</v>
      </c>
      <c r="M4" s="1185">
        <v>13</v>
      </c>
      <c r="N4" s="1185">
        <v>14</v>
      </c>
    </row>
    <row r="5" spans="1:16" ht="15" customHeight="1">
      <c r="A5" s="1186">
        <v>1</v>
      </c>
      <c r="B5" s="1401" t="s">
        <v>2801</v>
      </c>
      <c r="C5" s="1401" t="s">
        <v>80</v>
      </c>
      <c r="D5" s="1389" t="s">
        <v>156</v>
      </c>
      <c r="E5" s="1391" t="s">
        <v>156</v>
      </c>
      <c r="F5" s="1187" t="s">
        <v>1365</v>
      </c>
      <c r="G5" s="1185" t="s">
        <v>3057</v>
      </c>
      <c r="H5" s="1188">
        <v>48489.2</v>
      </c>
      <c r="I5" s="1188">
        <v>52882.2</v>
      </c>
      <c r="J5" s="1189">
        <f>I5-H5</f>
        <v>4393</v>
      </c>
      <c r="K5" s="1186">
        <v>133.333</v>
      </c>
      <c r="L5" s="1190">
        <f>J5*K5</f>
        <v>585731.86899999995</v>
      </c>
      <c r="M5" s="1186">
        <v>0</v>
      </c>
      <c r="N5" s="1191">
        <f>(L5+M5)/100000</f>
        <v>5.8573186899999996</v>
      </c>
      <c r="P5" t="s">
        <v>2090</v>
      </c>
    </row>
    <row r="6" spans="1:16">
      <c r="A6" s="1186">
        <v>2</v>
      </c>
      <c r="B6" s="1401"/>
      <c r="C6" s="1401"/>
      <c r="D6" s="1389"/>
      <c r="E6" s="1392"/>
      <c r="F6" s="1187" t="s">
        <v>1296</v>
      </c>
      <c r="G6" s="1185" t="s">
        <v>3057</v>
      </c>
      <c r="H6" s="1188">
        <v>89990.7</v>
      </c>
      <c r="I6" s="1188">
        <v>89990.7</v>
      </c>
      <c r="J6" s="1189">
        <f t="shared" ref="J6:J69" si="0">I6-H6</f>
        <v>0</v>
      </c>
      <c r="K6" s="1186">
        <v>2000</v>
      </c>
      <c r="L6" s="1186">
        <f t="shared" ref="L6:L71" si="1">J6*K6</f>
        <v>0</v>
      </c>
      <c r="M6" s="1186">
        <v>0</v>
      </c>
      <c r="N6" s="1191">
        <f t="shared" ref="N6:N71" si="2">(L6+M6)/100000</f>
        <v>0</v>
      </c>
      <c r="P6" t="s">
        <v>1367</v>
      </c>
    </row>
    <row r="7" spans="1:16">
      <c r="A7" s="1186">
        <v>3</v>
      </c>
      <c r="B7" s="1401"/>
      <c r="C7" s="1401"/>
      <c r="D7" s="1389"/>
      <c r="E7" s="1392"/>
      <c r="F7" s="1187" t="s">
        <v>1368</v>
      </c>
      <c r="G7" s="1185" t="s">
        <v>3057</v>
      </c>
      <c r="H7" s="1188">
        <v>5799.3</v>
      </c>
      <c r="I7" s="1188">
        <v>5818.2</v>
      </c>
      <c r="J7" s="1189">
        <f t="shared" si="0"/>
        <v>18.899999999999636</v>
      </c>
      <c r="K7" s="1186">
        <v>1000</v>
      </c>
      <c r="L7" s="1186">
        <f t="shared" si="1"/>
        <v>18899.999999999636</v>
      </c>
      <c r="M7" s="1186">
        <v>0</v>
      </c>
      <c r="N7" s="1191">
        <f t="shared" si="2"/>
        <v>0.18899999999999637</v>
      </c>
      <c r="P7" t="s">
        <v>1369</v>
      </c>
    </row>
    <row r="8" spans="1:16">
      <c r="A8" s="1186">
        <v>4</v>
      </c>
      <c r="B8" s="1401"/>
      <c r="C8" s="1401"/>
      <c r="D8" s="1389"/>
      <c r="E8" s="1392"/>
      <c r="F8" s="1187" t="s">
        <v>1154</v>
      </c>
      <c r="G8" s="1185" t="s">
        <v>3057</v>
      </c>
      <c r="H8" s="1188">
        <v>105923.4</v>
      </c>
      <c r="I8" s="1188">
        <v>106481.1</v>
      </c>
      <c r="J8" s="1189">
        <f t="shared" si="0"/>
        <v>557.70000000001164</v>
      </c>
      <c r="K8" s="1186">
        <v>2000</v>
      </c>
      <c r="L8" s="1186">
        <f t="shared" si="1"/>
        <v>1115400.0000000233</v>
      </c>
      <c r="M8" s="1186">
        <v>0</v>
      </c>
      <c r="N8" s="1191">
        <f t="shared" si="2"/>
        <v>11.154000000000233</v>
      </c>
      <c r="P8" t="s">
        <v>1370</v>
      </c>
    </row>
    <row r="9" spans="1:16">
      <c r="A9" s="1395">
        <v>5</v>
      </c>
      <c r="B9" s="1401"/>
      <c r="C9" s="1401"/>
      <c r="D9" s="1389"/>
      <c r="E9" s="1392"/>
      <c r="F9" s="1402" t="s">
        <v>1371</v>
      </c>
      <c r="G9" s="1185" t="s">
        <v>3057</v>
      </c>
      <c r="H9" s="1188">
        <v>2097.9</v>
      </c>
      <c r="I9" s="1188">
        <v>2186.1999999999998</v>
      </c>
      <c r="J9" s="1189">
        <f t="shared" si="0"/>
        <v>88.299999999999727</v>
      </c>
      <c r="K9" s="1186">
        <v>133.33000000000001</v>
      </c>
      <c r="L9" s="1190">
        <f t="shared" si="1"/>
        <v>11773.038999999964</v>
      </c>
      <c r="M9" s="1186">
        <v>6986.9772000000339</v>
      </c>
      <c r="N9" s="1191">
        <f>(L9+M9)/100000</f>
        <v>0.18760016199999999</v>
      </c>
      <c r="P9">
        <v>3721482</v>
      </c>
    </row>
    <row r="10" spans="1:16">
      <c r="A10" s="1397"/>
      <c r="B10" s="1401"/>
      <c r="C10" s="1401"/>
      <c r="D10" s="1389"/>
      <c r="E10" s="1393"/>
      <c r="F10" s="1403"/>
      <c r="G10" s="1185" t="s">
        <v>3057</v>
      </c>
      <c r="H10" s="1188">
        <v>1161680</v>
      </c>
      <c r="I10" s="1188">
        <v>1161680</v>
      </c>
      <c r="J10" s="1189">
        <f t="shared" si="0"/>
        <v>0</v>
      </c>
      <c r="K10" s="1186">
        <v>0.5</v>
      </c>
      <c r="L10" s="1186">
        <f t="shared" si="1"/>
        <v>0</v>
      </c>
      <c r="M10" s="1186">
        <v>0</v>
      </c>
      <c r="N10" s="1191">
        <f t="shared" si="2"/>
        <v>0</v>
      </c>
      <c r="P10" t="s">
        <v>1373</v>
      </c>
    </row>
    <row r="11" spans="1:16">
      <c r="A11" s="1186">
        <v>6</v>
      </c>
      <c r="B11" s="1401"/>
      <c r="C11" s="1401"/>
      <c r="D11" s="1389" t="s">
        <v>928</v>
      </c>
      <c r="E11" s="1395" t="s">
        <v>2093</v>
      </c>
      <c r="F11" s="1187" t="s">
        <v>1162</v>
      </c>
      <c r="G11" s="1185" t="s">
        <v>3057</v>
      </c>
      <c r="H11" s="1188">
        <v>2899.7</v>
      </c>
      <c r="I11" s="1188">
        <v>2953.83</v>
      </c>
      <c r="J11" s="1189">
        <f t="shared" si="0"/>
        <v>54.130000000000109</v>
      </c>
      <c r="K11" s="1186">
        <v>6000</v>
      </c>
      <c r="L11" s="1186">
        <f t="shared" si="1"/>
        <v>324780.00000000064</v>
      </c>
      <c r="M11" s="1186">
        <v>20000</v>
      </c>
      <c r="N11" s="1191">
        <f t="shared" si="2"/>
        <v>3.4478000000000062</v>
      </c>
      <c r="P11" t="s">
        <v>1377</v>
      </c>
    </row>
    <row r="12" spans="1:16">
      <c r="A12" s="1186">
        <v>7</v>
      </c>
      <c r="B12" s="1401"/>
      <c r="C12" s="1401"/>
      <c r="D12" s="1389"/>
      <c r="E12" s="1396"/>
      <c r="F12" s="1187" t="s">
        <v>1165</v>
      </c>
      <c r="G12" s="1185" t="s">
        <v>3057</v>
      </c>
      <c r="H12" s="1188">
        <v>60426.6</v>
      </c>
      <c r="I12" s="1188">
        <v>60989</v>
      </c>
      <c r="J12" s="1189">
        <f t="shared" si="0"/>
        <v>562.40000000000146</v>
      </c>
      <c r="K12" s="1186">
        <v>2000</v>
      </c>
      <c r="L12" s="1186">
        <f t="shared" si="1"/>
        <v>1124800.0000000028</v>
      </c>
      <c r="M12" s="1186">
        <v>220000</v>
      </c>
      <c r="N12" s="1191">
        <f t="shared" si="2"/>
        <v>13.448000000000029</v>
      </c>
      <c r="P12" t="s">
        <v>1378</v>
      </c>
    </row>
    <row r="13" spans="1:16">
      <c r="A13" s="1186">
        <v>8</v>
      </c>
      <c r="B13" s="1401"/>
      <c r="C13" s="1401"/>
      <c r="D13" s="1389"/>
      <c r="E13" s="1397"/>
      <c r="F13" s="1187" t="s">
        <v>1158</v>
      </c>
      <c r="G13" s="1185" t="s">
        <v>3057</v>
      </c>
      <c r="H13" s="1188">
        <v>62732.9</v>
      </c>
      <c r="I13" s="1188">
        <v>62823.9</v>
      </c>
      <c r="J13" s="1189">
        <f t="shared" si="0"/>
        <v>91</v>
      </c>
      <c r="K13" s="1186">
        <v>2000</v>
      </c>
      <c r="L13" s="1186">
        <f t="shared" si="1"/>
        <v>182000</v>
      </c>
      <c r="M13" s="1186">
        <v>0</v>
      </c>
      <c r="N13" s="1191">
        <f t="shared" si="2"/>
        <v>1.82</v>
      </c>
      <c r="P13" t="s">
        <v>1379</v>
      </c>
    </row>
    <row r="14" spans="1:16">
      <c r="A14" s="1186">
        <v>9</v>
      </c>
      <c r="B14" s="1401"/>
      <c r="C14" s="1401"/>
      <c r="D14" s="1389"/>
      <c r="E14" s="1395" t="s">
        <v>928</v>
      </c>
      <c r="F14" s="1187" t="s">
        <v>1183</v>
      </c>
      <c r="G14" s="1185" t="s">
        <v>3057</v>
      </c>
      <c r="H14" s="1188">
        <v>38350.5</v>
      </c>
      <c r="I14" s="1188">
        <v>38667.800000000003</v>
      </c>
      <c r="J14" s="1189">
        <f t="shared" si="0"/>
        <v>317.30000000000291</v>
      </c>
      <c r="K14" s="1186">
        <v>2000</v>
      </c>
      <c r="L14" s="1186">
        <f>J14*K14</f>
        <v>634600.00000000582</v>
      </c>
      <c r="M14" s="1186">
        <v>0</v>
      </c>
      <c r="N14" s="1191">
        <f t="shared" si="2"/>
        <v>6.3460000000000578</v>
      </c>
      <c r="P14" t="s">
        <v>1384</v>
      </c>
    </row>
    <row r="15" spans="1:16">
      <c r="A15" s="1186">
        <v>10</v>
      </c>
      <c r="B15" s="1401"/>
      <c r="C15" s="1401"/>
      <c r="D15" s="1389"/>
      <c r="E15" s="1396"/>
      <c r="F15" s="1187" t="s">
        <v>1385</v>
      </c>
      <c r="G15" s="1185" t="s">
        <v>3057</v>
      </c>
      <c r="H15" s="1188">
        <v>53707.7</v>
      </c>
      <c r="I15" s="1188">
        <v>53961.2</v>
      </c>
      <c r="J15" s="1189">
        <f t="shared" si="0"/>
        <v>253.5</v>
      </c>
      <c r="K15" s="1186">
        <v>2000</v>
      </c>
      <c r="L15" s="1186">
        <f t="shared" si="1"/>
        <v>507000</v>
      </c>
      <c r="M15" s="1186">
        <v>0</v>
      </c>
      <c r="N15" s="1191">
        <f t="shared" si="2"/>
        <v>5.07</v>
      </c>
      <c r="P15" t="s">
        <v>1386</v>
      </c>
    </row>
    <row r="16" spans="1:16">
      <c r="A16" s="1186">
        <v>11</v>
      </c>
      <c r="B16" s="1401"/>
      <c r="C16" s="1401"/>
      <c r="D16" s="1389"/>
      <c r="E16" s="1397"/>
      <c r="F16" s="1187" t="s">
        <v>1387</v>
      </c>
      <c r="G16" s="1185" t="s">
        <v>3057</v>
      </c>
      <c r="H16" s="1188">
        <v>2199.29</v>
      </c>
      <c r="I16" s="1188">
        <v>2199.29</v>
      </c>
      <c r="J16" s="1189">
        <f t="shared" si="0"/>
        <v>0</v>
      </c>
      <c r="K16" s="1186">
        <v>20000</v>
      </c>
      <c r="L16" s="1186">
        <f t="shared" si="1"/>
        <v>0</v>
      </c>
      <c r="M16" s="1186">
        <v>364884</v>
      </c>
      <c r="N16" s="1191">
        <f t="shared" si="2"/>
        <v>3.6488399999999999</v>
      </c>
      <c r="P16" t="s">
        <v>1388</v>
      </c>
    </row>
    <row r="17" spans="1:16">
      <c r="A17" s="1186">
        <v>12</v>
      </c>
      <c r="B17" s="1401"/>
      <c r="C17" s="1401"/>
      <c r="D17" s="1389" t="s">
        <v>926</v>
      </c>
      <c r="E17" s="1395" t="s">
        <v>3058</v>
      </c>
      <c r="F17" s="1187" t="s">
        <v>3059</v>
      </c>
      <c r="G17" s="1185" t="s">
        <v>3057</v>
      </c>
      <c r="H17" s="1188">
        <v>6757.73</v>
      </c>
      <c r="I17" s="1188">
        <v>7041.41</v>
      </c>
      <c r="J17" s="1189">
        <f t="shared" si="0"/>
        <v>283.68000000000029</v>
      </c>
      <c r="K17" s="1186">
        <v>1000</v>
      </c>
      <c r="L17" s="1186">
        <f t="shared" si="1"/>
        <v>283680.00000000029</v>
      </c>
      <c r="M17" s="1186">
        <v>0</v>
      </c>
      <c r="N17" s="1191">
        <f t="shared" si="2"/>
        <v>2.8368000000000029</v>
      </c>
      <c r="P17" t="s">
        <v>3060</v>
      </c>
    </row>
    <row r="18" spans="1:16">
      <c r="A18" s="1186">
        <v>13</v>
      </c>
      <c r="B18" s="1401"/>
      <c r="C18" s="1401"/>
      <c r="D18" s="1389"/>
      <c r="E18" s="1396"/>
      <c r="F18" s="1187" t="s">
        <v>3061</v>
      </c>
      <c r="G18" s="1185" t="s">
        <v>3057</v>
      </c>
      <c r="H18" s="1188">
        <v>23225.57</v>
      </c>
      <c r="I18" s="1188">
        <v>24247.85</v>
      </c>
      <c r="J18" s="1189">
        <f t="shared" si="0"/>
        <v>1022.2799999999988</v>
      </c>
      <c r="K18" s="1186">
        <v>1000</v>
      </c>
      <c r="L18" s="1186">
        <f t="shared" si="1"/>
        <v>1022279.9999999988</v>
      </c>
      <c r="M18" s="1186">
        <v>0</v>
      </c>
      <c r="N18" s="1191">
        <f t="shared" si="2"/>
        <v>10.222799999999989</v>
      </c>
      <c r="P18" t="s">
        <v>3062</v>
      </c>
    </row>
    <row r="19" spans="1:16">
      <c r="A19" s="1186">
        <v>14</v>
      </c>
      <c r="B19" s="1401"/>
      <c r="C19" s="1401"/>
      <c r="D19" s="1389"/>
      <c r="E19" s="1397"/>
      <c r="F19" s="1187" t="s">
        <v>2165</v>
      </c>
      <c r="G19" s="1185" t="s">
        <v>3057</v>
      </c>
      <c r="H19" s="1188">
        <v>20538.759999999998</v>
      </c>
      <c r="I19" s="1188">
        <v>21430.35</v>
      </c>
      <c r="J19" s="1189">
        <f t="shared" si="0"/>
        <v>891.59000000000015</v>
      </c>
      <c r="K19" s="1186">
        <v>1000</v>
      </c>
      <c r="L19" s="1186">
        <f t="shared" si="1"/>
        <v>891590.00000000012</v>
      </c>
      <c r="M19" s="1186">
        <v>0</v>
      </c>
      <c r="N19" s="1191">
        <f t="shared" si="2"/>
        <v>8.9159000000000006</v>
      </c>
      <c r="P19" t="s">
        <v>3063</v>
      </c>
    </row>
    <row r="20" spans="1:16">
      <c r="A20" s="1186">
        <v>15</v>
      </c>
      <c r="B20" s="1401"/>
      <c r="C20" s="1401"/>
      <c r="D20" s="1192" t="s">
        <v>202</v>
      </c>
      <c r="E20" s="1395" t="s">
        <v>1284</v>
      </c>
      <c r="F20" s="1187" t="s">
        <v>3064</v>
      </c>
      <c r="G20" s="1185" t="s">
        <v>3057</v>
      </c>
      <c r="H20" s="1188">
        <v>98738</v>
      </c>
      <c r="I20" s="1188">
        <v>99325.7</v>
      </c>
      <c r="J20" s="1189">
        <f t="shared" si="0"/>
        <v>587.69999999999709</v>
      </c>
      <c r="K20" s="1186">
        <v>1333.33</v>
      </c>
      <c r="L20" s="1186">
        <f t="shared" si="1"/>
        <v>783598.04099999613</v>
      </c>
      <c r="M20" s="1186">
        <v>0</v>
      </c>
      <c r="N20" s="1191">
        <f t="shared" si="2"/>
        <v>7.8359804099999613</v>
      </c>
      <c r="P20" t="s">
        <v>1403</v>
      </c>
    </row>
    <row r="21" spans="1:16" ht="15" customHeight="1">
      <c r="A21" s="1186">
        <v>16</v>
      </c>
      <c r="B21" s="1401"/>
      <c r="C21" s="1401"/>
      <c r="D21" s="1389" t="s">
        <v>3065</v>
      </c>
      <c r="E21" s="1397"/>
      <c r="F21" s="1187" t="s">
        <v>3066</v>
      </c>
      <c r="G21" s="1185" t="s">
        <v>3057</v>
      </c>
      <c r="H21" s="1188">
        <v>85543.7</v>
      </c>
      <c r="I21" s="1188">
        <v>86000.3</v>
      </c>
      <c r="J21" s="1189">
        <f t="shared" si="0"/>
        <v>456.60000000000582</v>
      </c>
      <c r="K21" s="1186">
        <v>2000</v>
      </c>
      <c r="L21" s="1186">
        <f t="shared" si="1"/>
        <v>913200.00000001164</v>
      </c>
      <c r="M21" s="1186">
        <v>0</v>
      </c>
      <c r="N21" s="1191">
        <f t="shared" si="2"/>
        <v>9.1320000000001169</v>
      </c>
      <c r="P21" t="s">
        <v>1405</v>
      </c>
    </row>
    <row r="22" spans="1:16">
      <c r="A22" s="1186">
        <v>17</v>
      </c>
      <c r="B22" s="1401"/>
      <c r="C22" s="1401"/>
      <c r="D22" s="1389"/>
      <c r="E22" s="1395" t="s">
        <v>198</v>
      </c>
      <c r="F22" s="1187" t="s">
        <v>1169</v>
      </c>
      <c r="G22" s="1185" t="s">
        <v>3057</v>
      </c>
      <c r="H22" s="1188">
        <v>105364.3</v>
      </c>
      <c r="I22" s="1188">
        <v>105984.8</v>
      </c>
      <c r="J22" s="1189">
        <f t="shared" si="0"/>
        <v>620.5</v>
      </c>
      <c r="K22" s="1186">
        <v>2000</v>
      </c>
      <c r="L22" s="1186">
        <f t="shared" si="1"/>
        <v>1241000</v>
      </c>
      <c r="M22" s="1186">
        <v>0</v>
      </c>
      <c r="N22" s="1191">
        <f t="shared" si="2"/>
        <v>12.41</v>
      </c>
      <c r="P22" t="s">
        <v>1411</v>
      </c>
    </row>
    <row r="23" spans="1:16">
      <c r="A23" s="1186">
        <v>18</v>
      </c>
      <c r="B23" s="1401"/>
      <c r="C23" s="1401"/>
      <c r="D23" s="1389"/>
      <c r="E23" s="1396"/>
      <c r="F23" s="1187" t="s">
        <v>1412</v>
      </c>
      <c r="G23" s="1185" t="s">
        <v>3057</v>
      </c>
      <c r="H23" s="1188">
        <v>21970</v>
      </c>
      <c r="I23" s="1188">
        <v>22067.8</v>
      </c>
      <c r="J23" s="1189">
        <f t="shared" si="0"/>
        <v>97.799999999999272</v>
      </c>
      <c r="K23" s="1186">
        <v>2000</v>
      </c>
      <c r="L23" s="1186">
        <f t="shared" si="1"/>
        <v>195599.99999999854</v>
      </c>
      <c r="M23" s="1186">
        <v>0</v>
      </c>
      <c r="N23" s="1191">
        <f t="shared" si="2"/>
        <v>1.9559999999999855</v>
      </c>
      <c r="P23" t="s">
        <v>1413</v>
      </c>
    </row>
    <row r="24" spans="1:16">
      <c r="A24" s="1186">
        <v>19</v>
      </c>
      <c r="B24" s="1401"/>
      <c r="C24" s="1401"/>
      <c r="D24" s="1389"/>
      <c r="E24" s="1397"/>
      <c r="F24" s="1187" t="s">
        <v>1414</v>
      </c>
      <c r="G24" s="1185" t="s">
        <v>3057</v>
      </c>
      <c r="H24" s="1188">
        <v>426583</v>
      </c>
      <c r="I24" s="1188">
        <v>433850</v>
      </c>
      <c r="J24" s="1189">
        <f t="shared" si="0"/>
        <v>7267</v>
      </c>
      <c r="K24" s="1186">
        <v>60</v>
      </c>
      <c r="L24" s="1186">
        <f t="shared" si="1"/>
        <v>436020</v>
      </c>
      <c r="M24" s="1186">
        <v>0</v>
      </c>
      <c r="N24" s="1191">
        <f t="shared" si="2"/>
        <v>4.3601999999999999</v>
      </c>
      <c r="P24" t="s">
        <v>1415</v>
      </c>
    </row>
    <row r="25" spans="1:16">
      <c r="A25" s="1186">
        <v>20</v>
      </c>
      <c r="B25" s="1401"/>
      <c r="C25" s="1401"/>
      <c r="D25" s="1389" t="s">
        <v>202</v>
      </c>
      <c r="E25" s="1391" t="s">
        <v>202</v>
      </c>
      <c r="F25" s="1187" t="s">
        <v>2213</v>
      </c>
      <c r="G25" s="1185" t="s">
        <v>3057</v>
      </c>
      <c r="H25" s="1188">
        <v>9020.65</v>
      </c>
      <c r="I25" s="1188">
        <v>9068.89</v>
      </c>
      <c r="J25" s="1189">
        <f t="shared" si="0"/>
        <v>48.239999999999782</v>
      </c>
      <c r="K25" s="1186">
        <v>12000</v>
      </c>
      <c r="L25" s="1186">
        <f t="shared" si="1"/>
        <v>578879.99999999744</v>
      </c>
      <c r="M25" s="1186">
        <v>0</v>
      </c>
      <c r="N25" s="1191">
        <f t="shared" si="2"/>
        <v>5.7887999999999744</v>
      </c>
      <c r="P25" t="s">
        <v>1420</v>
      </c>
    </row>
    <row r="26" spans="1:16">
      <c r="A26" s="1186">
        <v>21</v>
      </c>
      <c r="B26" s="1401"/>
      <c r="C26" s="1401"/>
      <c r="D26" s="1389"/>
      <c r="E26" s="1392"/>
      <c r="F26" s="1187" t="s">
        <v>3067</v>
      </c>
      <c r="G26" s="1185" t="s">
        <v>3057</v>
      </c>
      <c r="H26" s="1188">
        <v>10125.09</v>
      </c>
      <c r="I26" s="1188">
        <v>10125.09</v>
      </c>
      <c r="J26" s="1189">
        <f t="shared" si="0"/>
        <v>0</v>
      </c>
      <c r="K26" s="1186">
        <v>12000</v>
      </c>
      <c r="L26" s="1186">
        <f t="shared" si="1"/>
        <v>0</v>
      </c>
      <c r="M26" s="1186">
        <v>899302.11009999202</v>
      </c>
      <c r="N26" s="1191">
        <f t="shared" si="2"/>
        <v>8.9930211009999201</v>
      </c>
      <c r="P26" t="s">
        <v>1422</v>
      </c>
    </row>
    <row r="27" spans="1:16">
      <c r="A27" s="1186">
        <v>22</v>
      </c>
      <c r="B27" s="1401"/>
      <c r="C27" s="1401"/>
      <c r="D27" s="1192" t="s">
        <v>2160</v>
      </c>
      <c r="E27" s="1392"/>
      <c r="F27" s="1187" t="s">
        <v>3068</v>
      </c>
      <c r="G27" s="1185" t="s">
        <v>3057</v>
      </c>
      <c r="H27" s="1188">
        <v>4120.17</v>
      </c>
      <c r="I27" s="1188">
        <v>4209.34</v>
      </c>
      <c r="J27" s="1189">
        <f t="shared" si="0"/>
        <v>89.170000000000073</v>
      </c>
      <c r="K27" s="1186">
        <v>6000</v>
      </c>
      <c r="L27" s="1186">
        <f t="shared" si="1"/>
        <v>535020.00000000047</v>
      </c>
      <c r="M27" s="1186">
        <v>0</v>
      </c>
      <c r="N27" s="1191">
        <f t="shared" si="2"/>
        <v>5.3502000000000045</v>
      </c>
      <c r="P27" t="s">
        <v>1424</v>
      </c>
    </row>
    <row r="28" spans="1:16">
      <c r="A28" s="1186">
        <v>23</v>
      </c>
      <c r="B28" s="1401"/>
      <c r="C28" s="1401"/>
      <c r="D28" s="1389" t="s">
        <v>202</v>
      </c>
      <c r="E28" s="1392"/>
      <c r="F28" s="1187" t="s">
        <v>3069</v>
      </c>
      <c r="G28" s="1185" t="s">
        <v>3057</v>
      </c>
      <c r="H28" s="1188">
        <v>2028.48</v>
      </c>
      <c r="I28" s="1188">
        <v>2067.02</v>
      </c>
      <c r="J28" s="1189">
        <f t="shared" si="0"/>
        <v>38.539999999999964</v>
      </c>
      <c r="K28" s="1186">
        <v>20000</v>
      </c>
      <c r="L28" s="1186">
        <f t="shared" si="1"/>
        <v>770799.9999999993</v>
      </c>
      <c r="M28" s="1186">
        <v>0</v>
      </c>
      <c r="N28" s="1191">
        <f t="shared" si="2"/>
        <v>7.7079999999999931</v>
      </c>
      <c r="P28" t="s">
        <v>1426</v>
      </c>
    </row>
    <row r="29" spans="1:16">
      <c r="A29" s="1186">
        <v>24</v>
      </c>
      <c r="B29" s="1401"/>
      <c r="C29" s="1401"/>
      <c r="D29" s="1389"/>
      <c r="E29" s="1393"/>
      <c r="F29" s="1187" t="s">
        <v>2215</v>
      </c>
      <c r="G29" s="1185" t="s">
        <v>3057</v>
      </c>
      <c r="H29" s="1188">
        <v>533285</v>
      </c>
      <c r="I29" s="1188">
        <v>543982.5</v>
      </c>
      <c r="J29" s="1189">
        <f t="shared" si="0"/>
        <v>10697.5</v>
      </c>
      <c r="K29" s="1186">
        <v>60</v>
      </c>
      <c r="L29" s="1186">
        <f t="shared" si="1"/>
        <v>641850</v>
      </c>
      <c r="M29" s="1186">
        <v>0</v>
      </c>
      <c r="N29" s="1191">
        <f t="shared" si="2"/>
        <v>6.4184999999999999</v>
      </c>
      <c r="P29" t="s">
        <v>1428</v>
      </c>
    </row>
    <row r="30" spans="1:16">
      <c r="A30" s="1186">
        <v>25</v>
      </c>
      <c r="B30" s="1401"/>
      <c r="C30" s="1401"/>
      <c r="D30" s="1389" t="s">
        <v>928</v>
      </c>
      <c r="E30" s="1395" t="s">
        <v>1287</v>
      </c>
      <c r="F30" s="1187" t="s">
        <v>2190</v>
      </c>
      <c r="G30" s="1185" t="s">
        <v>3057</v>
      </c>
      <c r="H30" s="1188">
        <v>3374.56</v>
      </c>
      <c r="I30" s="1188">
        <v>3437.69</v>
      </c>
      <c r="J30" s="1189">
        <f t="shared" si="0"/>
        <v>63.130000000000109</v>
      </c>
      <c r="K30" s="1186">
        <v>13333.333000000001</v>
      </c>
      <c r="L30" s="1186">
        <f t="shared" si="1"/>
        <v>841733.31229000154</v>
      </c>
      <c r="M30" s="1186">
        <v>0</v>
      </c>
      <c r="N30" s="1191">
        <f t="shared" si="2"/>
        <v>8.4173331229000148</v>
      </c>
      <c r="P30" t="s">
        <v>1432</v>
      </c>
    </row>
    <row r="31" spans="1:16">
      <c r="A31" s="1186">
        <v>26</v>
      </c>
      <c r="B31" s="1401"/>
      <c r="C31" s="1401"/>
      <c r="D31" s="1389"/>
      <c r="E31" s="1396"/>
      <c r="F31" s="1187" t="s">
        <v>1433</v>
      </c>
      <c r="G31" s="1185" t="s">
        <v>3057</v>
      </c>
      <c r="H31" s="1188">
        <v>4472.99</v>
      </c>
      <c r="I31" s="1188">
        <v>4472.99</v>
      </c>
      <c r="J31" s="1189">
        <f t="shared" si="0"/>
        <v>0</v>
      </c>
      <c r="K31" s="1186">
        <v>20000</v>
      </c>
      <c r="L31" s="1186">
        <f t="shared" si="1"/>
        <v>0</v>
      </c>
      <c r="M31" s="1186">
        <v>773522.4571</v>
      </c>
      <c r="N31" s="1191">
        <f t="shared" si="2"/>
        <v>7.7352245709999998</v>
      </c>
      <c r="P31" t="s">
        <v>1434</v>
      </c>
    </row>
    <row r="32" spans="1:16">
      <c r="A32" s="1186">
        <v>27</v>
      </c>
      <c r="B32" s="1401"/>
      <c r="C32" s="1401"/>
      <c r="D32" s="1389"/>
      <c r="E32" s="1396"/>
      <c r="F32" s="1187" t="s">
        <v>1435</v>
      </c>
      <c r="G32" s="1185" t="s">
        <v>3057</v>
      </c>
      <c r="H32" s="1188">
        <v>6802.4</v>
      </c>
      <c r="I32" s="1188">
        <v>6881.9</v>
      </c>
      <c r="J32" s="1189">
        <f t="shared" si="0"/>
        <v>79.5</v>
      </c>
      <c r="K32" s="1186">
        <v>1333.33</v>
      </c>
      <c r="L32" s="1186">
        <f t="shared" si="1"/>
        <v>105999.735</v>
      </c>
      <c r="M32" s="1186">
        <v>34400.418099999995</v>
      </c>
      <c r="N32" s="1191">
        <f t="shared" si="2"/>
        <v>1.404001531</v>
      </c>
      <c r="P32" t="s">
        <v>1436</v>
      </c>
    </row>
    <row r="33" spans="1:16">
      <c r="A33" s="1186">
        <v>28</v>
      </c>
      <c r="B33" s="1401"/>
      <c r="C33" s="1401"/>
      <c r="D33" s="1389"/>
      <c r="E33" s="1397"/>
      <c r="F33" s="1187" t="s">
        <v>1437</v>
      </c>
      <c r="G33" s="1185" t="s">
        <v>3057</v>
      </c>
      <c r="H33" s="1188">
        <v>18264.599999999999</v>
      </c>
      <c r="I33" s="1188">
        <v>18264.599999999999</v>
      </c>
      <c r="J33" s="1189">
        <f t="shared" si="0"/>
        <v>0</v>
      </c>
      <c r="K33" s="1186">
        <v>1000</v>
      </c>
      <c r="L33" s="1186">
        <f t="shared" si="1"/>
        <v>0</v>
      </c>
      <c r="M33" s="1186">
        <v>0</v>
      </c>
      <c r="N33" s="1191">
        <f t="shared" si="2"/>
        <v>0</v>
      </c>
      <c r="P33" t="s">
        <v>1438</v>
      </c>
    </row>
    <row r="34" spans="1:16" ht="15" customHeight="1">
      <c r="A34" s="1186">
        <v>29</v>
      </c>
      <c r="B34" s="1401"/>
      <c r="C34" s="1401"/>
      <c r="D34" s="1389" t="s">
        <v>3065</v>
      </c>
      <c r="E34" s="1395" t="s">
        <v>973</v>
      </c>
      <c r="F34" s="1187" t="s">
        <v>3070</v>
      </c>
      <c r="G34" s="1185" t="s">
        <v>3057</v>
      </c>
      <c r="H34" s="1188">
        <v>74595.399999999994</v>
      </c>
      <c r="I34" s="1188">
        <v>74830.2</v>
      </c>
      <c r="J34" s="1189">
        <f t="shared" si="0"/>
        <v>234.80000000000291</v>
      </c>
      <c r="K34" s="1186">
        <v>2000</v>
      </c>
      <c r="L34" s="1186">
        <f t="shared" si="1"/>
        <v>469600.00000000582</v>
      </c>
      <c r="M34" s="1186">
        <v>0</v>
      </c>
      <c r="N34" s="1191">
        <f t="shared" si="2"/>
        <v>4.6960000000000583</v>
      </c>
      <c r="P34" t="s">
        <v>1442</v>
      </c>
    </row>
    <row r="35" spans="1:16">
      <c r="A35" s="1186">
        <v>30</v>
      </c>
      <c r="B35" s="1401"/>
      <c r="C35" s="1401"/>
      <c r="D35" s="1389"/>
      <c r="E35" s="1397"/>
      <c r="F35" s="1187" t="s">
        <v>3071</v>
      </c>
      <c r="G35" s="1185" t="s">
        <v>3057</v>
      </c>
      <c r="H35" s="1188">
        <v>94997.4</v>
      </c>
      <c r="I35" s="1188">
        <v>95452.6</v>
      </c>
      <c r="J35" s="1189">
        <f t="shared" si="0"/>
        <v>455.20000000001164</v>
      </c>
      <c r="K35" s="1186">
        <v>2000</v>
      </c>
      <c r="L35" s="1186">
        <f t="shared" si="1"/>
        <v>910400.00000002328</v>
      </c>
      <c r="M35" s="1186">
        <v>0</v>
      </c>
      <c r="N35" s="1191">
        <f t="shared" si="2"/>
        <v>9.1040000000002337</v>
      </c>
      <c r="P35" t="s">
        <v>1444</v>
      </c>
    </row>
    <row r="36" spans="1:16">
      <c r="A36" s="1186">
        <v>31</v>
      </c>
      <c r="B36" s="1401"/>
      <c r="C36" s="1401"/>
      <c r="D36" s="1391" t="s">
        <v>928</v>
      </c>
      <c r="E36" s="1193" t="s">
        <v>2096</v>
      </c>
      <c r="F36" s="1187" t="s">
        <v>1447</v>
      </c>
      <c r="G36" s="1185" t="s">
        <v>3057</v>
      </c>
      <c r="H36" s="1188">
        <v>656643.80000000005</v>
      </c>
      <c r="I36" s="1188">
        <v>673168.1</v>
      </c>
      <c r="J36" s="1189">
        <f t="shared" si="0"/>
        <v>16524.29999999993</v>
      </c>
      <c r="K36" s="1186">
        <v>13.333</v>
      </c>
      <c r="L36" s="1186">
        <f t="shared" si="1"/>
        <v>220318.49189999906</v>
      </c>
      <c r="M36" s="1186">
        <v>0</v>
      </c>
      <c r="N36" s="1191">
        <f t="shared" si="2"/>
        <v>2.2031849189999906</v>
      </c>
      <c r="P36">
        <v>3300073</v>
      </c>
    </row>
    <row r="37" spans="1:16">
      <c r="A37" s="1186">
        <v>32</v>
      </c>
      <c r="B37" s="1401"/>
      <c r="C37" s="1401"/>
      <c r="D37" s="1392"/>
      <c r="E37" s="1395" t="s">
        <v>1289</v>
      </c>
      <c r="F37" s="1187" t="s">
        <v>1451</v>
      </c>
      <c r="G37" s="1185" t="s">
        <v>3057</v>
      </c>
      <c r="H37" s="1188">
        <v>131605.70000000001</v>
      </c>
      <c r="I37" s="1188">
        <v>132457.70000000001</v>
      </c>
      <c r="J37" s="1189">
        <f t="shared" si="0"/>
        <v>852</v>
      </c>
      <c r="K37" s="1186">
        <v>200</v>
      </c>
      <c r="L37" s="1186">
        <f t="shared" si="1"/>
        <v>170400</v>
      </c>
      <c r="M37" s="1186">
        <v>750000</v>
      </c>
      <c r="N37" s="1191">
        <f t="shared" si="2"/>
        <v>9.2040000000000006</v>
      </c>
      <c r="P37" t="e">
        <v>#N/A</v>
      </c>
    </row>
    <row r="38" spans="1:16">
      <c r="A38" s="1186">
        <v>33</v>
      </c>
      <c r="B38" s="1401"/>
      <c r="C38" s="1401"/>
      <c r="D38" s="1392"/>
      <c r="E38" s="1396"/>
      <c r="F38" s="1187" t="s">
        <v>1452</v>
      </c>
      <c r="G38" s="1185" t="s">
        <v>3057</v>
      </c>
      <c r="H38" s="1188">
        <v>461885</v>
      </c>
      <c r="I38" s="1188">
        <v>461885</v>
      </c>
      <c r="J38" s="1189">
        <f t="shared" si="0"/>
        <v>0</v>
      </c>
      <c r="K38" s="1186">
        <v>1</v>
      </c>
      <c r="L38" s="1186">
        <f t="shared" si="1"/>
        <v>0</v>
      </c>
      <c r="M38" s="1186">
        <v>21240</v>
      </c>
      <c r="N38" s="1191">
        <f t="shared" si="2"/>
        <v>0.21240000000000001</v>
      </c>
      <c r="P38" t="s">
        <v>1453</v>
      </c>
    </row>
    <row r="39" spans="1:16">
      <c r="A39" s="1186">
        <v>34</v>
      </c>
      <c r="B39" s="1401"/>
      <c r="C39" s="1401"/>
      <c r="D39" s="1389" t="s">
        <v>156</v>
      </c>
      <c r="E39" s="1395" t="s">
        <v>1291</v>
      </c>
      <c r="F39" s="1187" t="s">
        <v>1137</v>
      </c>
      <c r="G39" s="1185" t="s">
        <v>3057</v>
      </c>
      <c r="H39" s="1188">
        <v>8167.72</v>
      </c>
      <c r="I39" s="1188">
        <v>8258.76</v>
      </c>
      <c r="J39" s="1189">
        <f t="shared" si="0"/>
        <v>91.039999999999964</v>
      </c>
      <c r="K39" s="1186">
        <v>6000</v>
      </c>
      <c r="L39" s="1186">
        <f t="shared" si="1"/>
        <v>546239.99999999977</v>
      </c>
      <c r="M39" s="1186">
        <v>0</v>
      </c>
      <c r="N39" s="1191">
        <f t="shared" si="2"/>
        <v>5.4623999999999979</v>
      </c>
      <c r="P39" t="s">
        <v>1460</v>
      </c>
    </row>
    <row r="40" spans="1:16">
      <c r="A40" s="1186">
        <v>35</v>
      </c>
      <c r="B40" s="1401"/>
      <c r="C40" s="1401"/>
      <c r="D40" s="1389"/>
      <c r="E40" s="1396"/>
      <c r="F40" s="1187" t="s">
        <v>1461</v>
      </c>
      <c r="G40" s="1185" t="s">
        <v>3057</v>
      </c>
      <c r="H40" s="1188">
        <v>7195.74</v>
      </c>
      <c r="I40" s="1188">
        <v>7286.97</v>
      </c>
      <c r="J40" s="1189">
        <f t="shared" si="0"/>
        <v>91.230000000000473</v>
      </c>
      <c r="K40" s="1186">
        <v>6000</v>
      </c>
      <c r="L40" s="1186">
        <f t="shared" si="1"/>
        <v>547380.00000000279</v>
      </c>
      <c r="M40" s="1186">
        <v>0</v>
      </c>
      <c r="N40" s="1191">
        <f t="shared" si="2"/>
        <v>5.4738000000000282</v>
      </c>
      <c r="P40" t="s">
        <v>1462</v>
      </c>
    </row>
    <row r="41" spans="1:16">
      <c r="A41" s="1186">
        <v>36</v>
      </c>
      <c r="B41" s="1401"/>
      <c r="C41" s="1401"/>
      <c r="D41" s="1389"/>
      <c r="E41" s="1396"/>
      <c r="F41" s="1187" t="s">
        <v>1291</v>
      </c>
      <c r="G41" s="1185" t="s">
        <v>3057</v>
      </c>
      <c r="H41" s="1188">
        <v>6199.07</v>
      </c>
      <c r="I41" s="1188">
        <v>6260.98</v>
      </c>
      <c r="J41" s="1189">
        <f t="shared" si="0"/>
        <v>61.909999999999854</v>
      </c>
      <c r="K41" s="1186">
        <v>6000</v>
      </c>
      <c r="L41" s="1186">
        <f t="shared" si="1"/>
        <v>371459.99999999913</v>
      </c>
      <c r="M41" s="1186">
        <v>107760.70080000086</v>
      </c>
      <c r="N41" s="1191">
        <f t="shared" si="2"/>
        <v>4.7922070080000001</v>
      </c>
      <c r="P41" t="s">
        <v>1463</v>
      </c>
    </row>
    <row r="42" spans="1:16">
      <c r="A42" s="1186">
        <v>37</v>
      </c>
      <c r="B42" s="1401"/>
      <c r="C42" s="1401"/>
      <c r="D42" s="1389"/>
      <c r="E42" s="1397"/>
      <c r="F42" s="1187" t="s">
        <v>1464</v>
      </c>
      <c r="G42" s="1185" t="s">
        <v>3057</v>
      </c>
      <c r="H42" s="1188">
        <v>7650.94</v>
      </c>
      <c r="I42" s="1188">
        <v>7739.54</v>
      </c>
      <c r="J42" s="1189">
        <f t="shared" si="0"/>
        <v>88.600000000000364</v>
      </c>
      <c r="K42" s="1186">
        <v>6000</v>
      </c>
      <c r="L42" s="1186">
        <f t="shared" si="1"/>
        <v>531600.00000000221</v>
      </c>
      <c r="M42" s="1186">
        <v>0</v>
      </c>
      <c r="N42" s="1191">
        <f t="shared" si="2"/>
        <v>5.316000000000022</v>
      </c>
      <c r="P42" t="s">
        <v>1465</v>
      </c>
    </row>
    <row r="43" spans="1:16">
      <c r="A43" s="1186">
        <v>38</v>
      </c>
      <c r="B43" s="1401"/>
      <c r="C43" s="1401"/>
      <c r="D43" s="1391" t="s">
        <v>928</v>
      </c>
      <c r="E43" s="1395" t="s">
        <v>1295</v>
      </c>
      <c r="F43" s="1187" t="s">
        <v>1476</v>
      </c>
      <c r="G43" s="1185" t="s">
        <v>3057</v>
      </c>
      <c r="H43" s="1188">
        <v>6377</v>
      </c>
      <c r="I43" s="1188">
        <v>6596</v>
      </c>
      <c r="J43" s="1189">
        <f t="shared" si="0"/>
        <v>219</v>
      </c>
      <c r="K43" s="1186">
        <v>40</v>
      </c>
      <c r="L43" s="1186">
        <f t="shared" si="1"/>
        <v>8760</v>
      </c>
      <c r="M43" s="1186">
        <v>0</v>
      </c>
      <c r="N43" s="1191">
        <f t="shared" si="2"/>
        <v>8.7599999999999997E-2</v>
      </c>
      <c r="P43" t="s">
        <v>1475</v>
      </c>
    </row>
    <row r="44" spans="1:16">
      <c r="A44" s="1186">
        <v>39</v>
      </c>
      <c r="B44" s="1401"/>
      <c r="C44" s="1401"/>
      <c r="D44" s="1392"/>
      <c r="E44" s="1397"/>
      <c r="F44" s="1187" t="s">
        <v>1474</v>
      </c>
      <c r="G44" s="1185" t="s">
        <v>3057</v>
      </c>
      <c r="H44" s="1188">
        <v>1398.5</v>
      </c>
      <c r="I44" s="1188">
        <v>1464</v>
      </c>
      <c r="J44" s="1189">
        <f t="shared" si="0"/>
        <v>65.5</v>
      </c>
      <c r="K44" s="1186">
        <v>40</v>
      </c>
      <c r="L44" s="1186">
        <f t="shared" si="1"/>
        <v>2620</v>
      </c>
      <c r="M44" s="1186">
        <v>10779.9805</v>
      </c>
      <c r="N44" s="1191">
        <f t="shared" si="2"/>
        <v>0.133999805</v>
      </c>
      <c r="P44" t="s">
        <v>1477</v>
      </c>
    </row>
    <row r="45" spans="1:16">
      <c r="A45" s="1186">
        <v>40</v>
      </c>
      <c r="B45" s="1401"/>
      <c r="C45" s="1401"/>
      <c r="D45" s="1389" t="s">
        <v>928</v>
      </c>
      <c r="E45" s="1390" t="s">
        <v>1292</v>
      </c>
      <c r="F45" s="1187" t="s">
        <v>1469</v>
      </c>
      <c r="G45" s="1185" t="s">
        <v>3057</v>
      </c>
      <c r="H45" s="1188">
        <v>172651</v>
      </c>
      <c r="I45" s="1188">
        <v>172651</v>
      </c>
      <c r="J45" s="1189">
        <f t="shared" si="0"/>
        <v>0</v>
      </c>
      <c r="K45" s="1186">
        <v>30</v>
      </c>
      <c r="L45" s="1186">
        <f t="shared" si="1"/>
        <v>0</v>
      </c>
      <c r="M45" s="1186">
        <v>271580</v>
      </c>
      <c r="N45" s="1191">
        <f t="shared" si="2"/>
        <v>2.7158000000000002</v>
      </c>
      <c r="P45" t="s">
        <v>2098</v>
      </c>
    </row>
    <row r="46" spans="1:16">
      <c r="A46" s="1186">
        <v>41</v>
      </c>
      <c r="B46" s="1401"/>
      <c r="C46" s="1401"/>
      <c r="D46" s="1389"/>
      <c r="E46" s="1390"/>
      <c r="F46" s="1187" t="s">
        <v>3072</v>
      </c>
      <c r="G46" s="1185" t="s">
        <v>3057</v>
      </c>
      <c r="H46" s="1188">
        <v>21621.8</v>
      </c>
      <c r="I46" s="1188">
        <v>21621.8</v>
      </c>
      <c r="J46" s="1189">
        <f t="shared" si="0"/>
        <v>0</v>
      </c>
      <c r="K46" s="1186">
        <v>0</v>
      </c>
      <c r="L46" s="1186">
        <v>0</v>
      </c>
      <c r="M46" s="1186">
        <v>271580</v>
      </c>
      <c r="N46" s="1191">
        <f t="shared" si="2"/>
        <v>2.7158000000000002</v>
      </c>
    </row>
    <row r="47" spans="1:16" ht="25.5" customHeight="1">
      <c r="A47" s="1186">
        <v>42</v>
      </c>
      <c r="B47" s="1401"/>
      <c r="C47" s="1401"/>
      <c r="D47" s="1391" t="s">
        <v>3065</v>
      </c>
      <c r="E47" s="1395" t="s">
        <v>1296</v>
      </c>
      <c r="F47" s="1187" t="s">
        <v>1480</v>
      </c>
      <c r="G47" s="1185" t="s">
        <v>3057</v>
      </c>
      <c r="H47" s="1188">
        <v>14225.1</v>
      </c>
      <c r="I47" s="1188">
        <v>15134.7</v>
      </c>
      <c r="J47" s="1189">
        <f t="shared" si="0"/>
        <v>909.60000000000036</v>
      </c>
      <c r="K47" s="1186">
        <v>1000</v>
      </c>
      <c r="L47" s="1188">
        <f t="shared" ref="L47:L48" si="3">J47*K47</f>
        <v>909600.00000000035</v>
      </c>
      <c r="M47" s="1186">
        <v>0</v>
      </c>
      <c r="N47" s="1191">
        <f t="shared" si="2"/>
        <v>9.0960000000000036</v>
      </c>
    </row>
    <row r="48" spans="1:16">
      <c r="A48" s="1186">
        <v>43</v>
      </c>
      <c r="B48" s="1401"/>
      <c r="C48" s="1401"/>
      <c r="D48" s="1393"/>
      <c r="E48" s="1397"/>
      <c r="F48" s="1187" t="s">
        <v>1481</v>
      </c>
      <c r="G48" s="1185" t="s">
        <v>3057</v>
      </c>
      <c r="H48" s="1188">
        <v>3121.78</v>
      </c>
      <c r="I48" s="1188">
        <v>3200.36</v>
      </c>
      <c r="J48" s="1189">
        <f t="shared" si="0"/>
        <v>78.579999999999927</v>
      </c>
      <c r="K48" s="1186">
        <v>1000</v>
      </c>
      <c r="L48" s="1188">
        <f t="shared" si="3"/>
        <v>78579.999999999927</v>
      </c>
      <c r="M48" s="1186">
        <v>0</v>
      </c>
      <c r="N48" s="1191">
        <f t="shared" si="2"/>
        <v>0.78579999999999928</v>
      </c>
      <c r="P48" t="s">
        <v>1926</v>
      </c>
    </row>
    <row r="49" spans="1:16" ht="15" customHeight="1">
      <c r="A49" s="1186">
        <v>44</v>
      </c>
      <c r="B49" s="1401"/>
      <c r="C49" s="1394" t="s">
        <v>81</v>
      </c>
      <c r="D49" s="1389" t="s">
        <v>2160</v>
      </c>
      <c r="E49" s="1395" t="s">
        <v>2160</v>
      </c>
      <c r="F49" s="1187" t="s">
        <v>1501</v>
      </c>
      <c r="G49" s="1185" t="s">
        <v>3057</v>
      </c>
      <c r="H49" s="1188">
        <v>93465</v>
      </c>
      <c r="I49" s="1188">
        <v>93770.5</v>
      </c>
      <c r="J49" s="1189">
        <f t="shared" si="0"/>
        <v>305.5</v>
      </c>
      <c r="K49" s="1186">
        <v>2000</v>
      </c>
      <c r="L49" s="1186">
        <f t="shared" si="1"/>
        <v>611000</v>
      </c>
      <c r="M49" s="1186">
        <v>0</v>
      </c>
      <c r="N49" s="1191">
        <f t="shared" si="2"/>
        <v>6.11</v>
      </c>
      <c r="P49" t="s">
        <v>1502</v>
      </c>
    </row>
    <row r="50" spans="1:16">
      <c r="A50" s="1186">
        <v>45</v>
      </c>
      <c r="B50" s="1401"/>
      <c r="C50" s="1394"/>
      <c r="D50" s="1389"/>
      <c r="E50" s="1396"/>
      <c r="F50" s="1187" t="s">
        <v>1503</v>
      </c>
      <c r="G50" s="1185" t="s">
        <v>3057</v>
      </c>
      <c r="H50" s="1188">
        <v>315253.8</v>
      </c>
      <c r="I50" s="1188">
        <v>370998.9</v>
      </c>
      <c r="J50" s="1189">
        <f t="shared" si="0"/>
        <v>55745.100000000035</v>
      </c>
      <c r="K50" s="1186">
        <v>20</v>
      </c>
      <c r="L50" s="1186">
        <f t="shared" si="1"/>
        <v>1114902.0000000007</v>
      </c>
      <c r="M50" s="1186">
        <v>24254.249999999302</v>
      </c>
      <c r="N50" s="1191">
        <f t="shared" si="2"/>
        <v>11.391562499999999</v>
      </c>
      <c r="P50" t="s">
        <v>2099</v>
      </c>
    </row>
    <row r="51" spans="1:16">
      <c r="A51" s="1186">
        <v>46</v>
      </c>
      <c r="B51" s="1401"/>
      <c r="C51" s="1394"/>
      <c r="D51" s="1192" t="s">
        <v>926</v>
      </c>
      <c r="E51" s="1396"/>
      <c r="F51" s="1187" t="s">
        <v>1504</v>
      </c>
      <c r="G51" s="1185" t="s">
        <v>3057</v>
      </c>
      <c r="H51" s="1188">
        <v>89651.5</v>
      </c>
      <c r="I51" s="1188">
        <v>89931.5</v>
      </c>
      <c r="J51" s="1189">
        <f t="shared" si="0"/>
        <v>280</v>
      </c>
      <c r="K51" s="1186">
        <v>2000</v>
      </c>
      <c r="L51" s="1186">
        <f t="shared" si="1"/>
        <v>560000</v>
      </c>
      <c r="M51" s="1186">
        <v>0</v>
      </c>
      <c r="N51" s="1191">
        <f t="shared" si="2"/>
        <v>5.6</v>
      </c>
      <c r="P51" t="s">
        <v>1487</v>
      </c>
    </row>
    <row r="52" spans="1:16">
      <c r="A52" s="1186">
        <v>47</v>
      </c>
      <c r="B52" s="1401"/>
      <c r="C52" s="1394"/>
      <c r="D52" s="1389" t="s">
        <v>2160</v>
      </c>
      <c r="E52" s="1396"/>
      <c r="F52" s="1187" t="s">
        <v>1505</v>
      </c>
      <c r="G52" s="1185" t="s">
        <v>3057</v>
      </c>
      <c r="H52" s="1188">
        <v>88276.9</v>
      </c>
      <c r="I52" s="1188">
        <v>93430.6</v>
      </c>
      <c r="J52" s="1189">
        <f t="shared" si="0"/>
        <v>5153.7000000000116</v>
      </c>
      <c r="K52" s="1186">
        <v>200</v>
      </c>
      <c r="L52" s="1186">
        <f t="shared" si="1"/>
        <v>1030740.0000000023</v>
      </c>
      <c r="M52" s="1186">
        <v>0</v>
      </c>
      <c r="N52" s="1191">
        <f t="shared" si="2"/>
        <v>10.307400000000023</v>
      </c>
      <c r="P52" t="s">
        <v>2100</v>
      </c>
    </row>
    <row r="53" spans="1:16">
      <c r="A53" s="1186">
        <v>48</v>
      </c>
      <c r="B53" s="1401"/>
      <c r="C53" s="1394"/>
      <c r="D53" s="1389"/>
      <c r="E53" s="1396"/>
      <c r="F53" s="1187" t="s">
        <v>1507</v>
      </c>
      <c r="G53" s="1185" t="s">
        <v>3057</v>
      </c>
      <c r="H53" s="1188">
        <v>193.79</v>
      </c>
      <c r="I53" s="1188">
        <v>194.21</v>
      </c>
      <c r="J53" s="1189">
        <f t="shared" si="0"/>
        <v>0.42000000000001592</v>
      </c>
      <c r="K53" s="1186">
        <v>12000</v>
      </c>
      <c r="L53" s="1186">
        <f t="shared" si="1"/>
        <v>5040.000000000191</v>
      </c>
      <c r="M53" s="1186">
        <v>1102019.9999999998</v>
      </c>
      <c r="N53" s="1191">
        <f t="shared" si="2"/>
        <v>11.070600000000001</v>
      </c>
      <c r="P53" t="s">
        <v>1508</v>
      </c>
    </row>
    <row r="54" spans="1:16">
      <c r="A54" s="1186">
        <v>49</v>
      </c>
      <c r="B54" s="1401"/>
      <c r="C54" s="1394"/>
      <c r="D54" s="1389"/>
      <c r="E54" s="1396"/>
      <c r="F54" s="1187" t="s">
        <v>1509</v>
      </c>
      <c r="G54" s="1185" t="s">
        <v>3057</v>
      </c>
      <c r="H54" s="1188">
        <v>110169.8</v>
      </c>
      <c r="I54" s="1188">
        <v>110585</v>
      </c>
      <c r="J54" s="1189">
        <f t="shared" si="0"/>
        <v>415.19999999999709</v>
      </c>
      <c r="K54" s="1186">
        <v>2000</v>
      </c>
      <c r="L54" s="1186">
        <f t="shared" si="1"/>
        <v>830399.99999999418</v>
      </c>
      <c r="M54" s="1186">
        <v>0</v>
      </c>
      <c r="N54" s="1191">
        <f t="shared" si="2"/>
        <v>8.3039999999999417</v>
      </c>
      <c r="P54" t="s">
        <v>1510</v>
      </c>
    </row>
    <row r="55" spans="1:16">
      <c r="A55" s="1186">
        <v>50</v>
      </c>
      <c r="B55" s="1401"/>
      <c r="C55" s="1394"/>
      <c r="D55" s="1192" t="s">
        <v>926</v>
      </c>
      <c r="E55" s="1396"/>
      <c r="F55" s="1187" t="s">
        <v>1171</v>
      </c>
      <c r="G55" s="1185" t="s">
        <v>3057</v>
      </c>
      <c r="H55" s="1188">
        <v>154630.9</v>
      </c>
      <c r="I55" s="1188">
        <v>154830.79999999999</v>
      </c>
      <c r="J55" s="1189">
        <f t="shared" si="0"/>
        <v>199.89999999999418</v>
      </c>
      <c r="K55" s="1186">
        <v>2000</v>
      </c>
      <c r="L55" s="1186">
        <f t="shared" si="1"/>
        <v>399799.99999998836</v>
      </c>
      <c r="M55" s="1186">
        <v>0</v>
      </c>
      <c r="N55" s="1191">
        <f t="shared" si="2"/>
        <v>3.9979999999998834</v>
      </c>
      <c r="P55" t="s">
        <v>1488</v>
      </c>
    </row>
    <row r="56" spans="1:16">
      <c r="A56" s="1186">
        <v>51</v>
      </c>
      <c r="B56" s="1401"/>
      <c r="C56" s="1394"/>
      <c r="D56" s="1194" t="s">
        <v>2160</v>
      </c>
      <c r="E56" s="1397"/>
      <c r="F56" s="1187" t="s">
        <v>1511</v>
      </c>
      <c r="G56" s="1185" t="s">
        <v>3057</v>
      </c>
      <c r="H56" s="1188">
        <v>82966.3</v>
      </c>
      <c r="I56" s="1188">
        <v>83790.3</v>
      </c>
      <c r="J56" s="1189">
        <f t="shared" si="0"/>
        <v>824</v>
      </c>
      <c r="K56" s="1186">
        <v>2000</v>
      </c>
      <c r="L56" s="1186">
        <f t="shared" si="1"/>
        <v>1648000</v>
      </c>
      <c r="M56" s="1186">
        <v>0</v>
      </c>
      <c r="N56" s="1191">
        <f t="shared" si="2"/>
        <v>16.48</v>
      </c>
      <c r="P56" t="s">
        <v>1512</v>
      </c>
    </row>
    <row r="57" spans="1:16">
      <c r="A57" s="1186">
        <v>52</v>
      </c>
      <c r="B57" s="1401"/>
      <c r="C57" s="1394"/>
      <c r="D57" s="1389" t="s">
        <v>1200</v>
      </c>
      <c r="E57" s="1395" t="s">
        <v>1302</v>
      </c>
      <c r="F57" s="1187" t="s">
        <v>1523</v>
      </c>
      <c r="G57" s="1185" t="s">
        <v>3057</v>
      </c>
      <c r="H57" s="1188">
        <v>97920.2</v>
      </c>
      <c r="I57" s="1188">
        <v>98414.399999999994</v>
      </c>
      <c r="J57" s="1189">
        <f t="shared" si="0"/>
        <v>494.19999999999709</v>
      </c>
      <c r="K57" s="1186">
        <v>2000</v>
      </c>
      <c r="L57" s="1186">
        <f t="shared" si="1"/>
        <v>988399.99999999418</v>
      </c>
      <c r="M57" s="1186">
        <v>0</v>
      </c>
      <c r="N57" s="1191">
        <f t="shared" si="2"/>
        <v>9.8839999999999417</v>
      </c>
      <c r="P57" t="s">
        <v>1524</v>
      </c>
    </row>
    <row r="58" spans="1:16">
      <c r="A58" s="1186">
        <v>53</v>
      </c>
      <c r="B58" s="1401"/>
      <c r="C58" s="1394"/>
      <c r="D58" s="1389"/>
      <c r="E58" s="1396"/>
      <c r="F58" s="1187" t="s">
        <v>1525</v>
      </c>
      <c r="G58" s="1185" t="s">
        <v>3057</v>
      </c>
      <c r="H58" s="1188">
        <v>143054.1</v>
      </c>
      <c r="I58" s="1188">
        <v>143395</v>
      </c>
      <c r="J58" s="1189">
        <f t="shared" si="0"/>
        <v>340.89999999999418</v>
      </c>
      <c r="K58" s="1186">
        <v>2000</v>
      </c>
      <c r="L58" s="1186">
        <f t="shared" si="1"/>
        <v>681799.99999998836</v>
      </c>
      <c r="M58" s="1186">
        <v>0</v>
      </c>
      <c r="N58" s="1191">
        <f t="shared" si="2"/>
        <v>6.8179999999998833</v>
      </c>
      <c r="P58" t="s">
        <v>1526</v>
      </c>
    </row>
    <row r="59" spans="1:16">
      <c r="A59" s="1186">
        <v>54</v>
      </c>
      <c r="B59" s="1401"/>
      <c r="C59" s="1394"/>
      <c r="D59" s="1192" t="s">
        <v>156</v>
      </c>
      <c r="E59" s="1396"/>
      <c r="F59" s="1187" t="s">
        <v>1527</v>
      </c>
      <c r="G59" s="1185" t="s">
        <v>3057</v>
      </c>
      <c r="H59" s="1188">
        <v>123119</v>
      </c>
      <c r="I59" s="1188">
        <v>123251.6</v>
      </c>
      <c r="J59" s="1189">
        <f t="shared" si="0"/>
        <v>132.60000000000582</v>
      </c>
      <c r="K59" s="1186">
        <v>2000</v>
      </c>
      <c r="L59" s="1186">
        <f t="shared" si="1"/>
        <v>265200.00000001164</v>
      </c>
      <c r="M59" s="1186">
        <v>0</v>
      </c>
      <c r="N59" s="1191">
        <f t="shared" si="2"/>
        <v>2.6520000000001165</v>
      </c>
      <c r="P59" t="s">
        <v>1485</v>
      </c>
    </row>
    <row r="60" spans="1:16">
      <c r="A60" s="1186">
        <v>55</v>
      </c>
      <c r="B60" s="1401"/>
      <c r="C60" s="1394"/>
      <c r="D60" s="1389" t="s">
        <v>1200</v>
      </c>
      <c r="E60" s="1396"/>
      <c r="F60" s="1187" t="s">
        <v>1528</v>
      </c>
      <c r="G60" s="1185" t="s">
        <v>3057</v>
      </c>
      <c r="H60" s="1188">
        <v>79342</v>
      </c>
      <c r="I60" s="1188">
        <v>79594.399999999994</v>
      </c>
      <c r="J60" s="1189">
        <f t="shared" si="0"/>
        <v>252.39999999999418</v>
      </c>
      <c r="K60" s="1186">
        <v>2000</v>
      </c>
      <c r="L60" s="1186">
        <f t="shared" si="1"/>
        <v>504799.99999998836</v>
      </c>
      <c r="M60" s="1186">
        <v>0</v>
      </c>
      <c r="N60" s="1191">
        <f t="shared" si="2"/>
        <v>5.0479999999998837</v>
      </c>
      <c r="P60" t="s">
        <v>1529</v>
      </c>
    </row>
    <row r="61" spans="1:16">
      <c r="A61" s="1186">
        <v>56</v>
      </c>
      <c r="B61" s="1401"/>
      <c r="C61" s="1394"/>
      <c r="D61" s="1389"/>
      <c r="E61" s="1396"/>
      <c r="F61" s="1187" t="s">
        <v>1530</v>
      </c>
      <c r="G61" s="1185" t="s">
        <v>3057</v>
      </c>
      <c r="H61" s="1188">
        <v>71687.100000000006</v>
      </c>
      <c r="I61" s="1188">
        <v>71942.5</v>
      </c>
      <c r="J61" s="1189">
        <f t="shared" si="0"/>
        <v>255.39999999999418</v>
      </c>
      <c r="K61" s="1186">
        <v>1333.33</v>
      </c>
      <c r="L61" s="1186">
        <f t="shared" si="1"/>
        <v>340532.48199999222</v>
      </c>
      <c r="M61" s="1186">
        <v>0</v>
      </c>
      <c r="N61" s="1191">
        <f t="shared" si="2"/>
        <v>3.405324819999922</v>
      </c>
      <c r="P61" t="s">
        <v>1531</v>
      </c>
    </row>
    <row r="62" spans="1:16" ht="15" customHeight="1">
      <c r="A62" s="1186">
        <v>57</v>
      </c>
      <c r="B62" s="1401"/>
      <c r="C62" s="1394"/>
      <c r="D62" s="1389" t="s">
        <v>1203</v>
      </c>
      <c r="E62" s="1396"/>
      <c r="F62" s="1187" t="s">
        <v>1532</v>
      </c>
      <c r="G62" s="1185" t="s">
        <v>3057</v>
      </c>
      <c r="H62" s="1188">
        <v>156993</v>
      </c>
      <c r="I62" s="1188">
        <v>161978</v>
      </c>
      <c r="J62" s="1189">
        <f t="shared" si="0"/>
        <v>4985</v>
      </c>
      <c r="K62" s="1186">
        <v>40</v>
      </c>
      <c r="L62" s="1186">
        <f t="shared" si="1"/>
        <v>199400</v>
      </c>
      <c r="M62" s="1186">
        <v>0</v>
      </c>
      <c r="N62" s="1191">
        <f t="shared" si="2"/>
        <v>1.994</v>
      </c>
      <c r="P62" t="s">
        <v>1533</v>
      </c>
    </row>
    <row r="63" spans="1:16">
      <c r="A63" s="1186">
        <v>58</v>
      </c>
      <c r="B63" s="1401"/>
      <c r="C63" s="1394"/>
      <c r="D63" s="1389"/>
      <c r="E63" s="1397"/>
      <c r="F63" s="1195" t="s">
        <v>1534</v>
      </c>
      <c r="G63" s="1185" t="s">
        <v>3057</v>
      </c>
      <c r="H63" s="1188">
        <v>2005.5</v>
      </c>
      <c r="I63" s="1188">
        <v>2060.08</v>
      </c>
      <c r="J63" s="1189">
        <f t="shared" si="0"/>
        <v>54.579999999999927</v>
      </c>
      <c r="K63" s="1186">
        <v>6000</v>
      </c>
      <c r="L63" s="1186">
        <f t="shared" si="1"/>
        <v>327479.99999999953</v>
      </c>
      <c r="M63" s="1186">
        <v>0</v>
      </c>
      <c r="N63" s="1191">
        <f t="shared" si="2"/>
        <v>3.2747999999999955</v>
      </c>
      <c r="P63" t="s">
        <v>1535</v>
      </c>
    </row>
    <row r="64" spans="1:16">
      <c r="A64" s="1186">
        <v>59</v>
      </c>
      <c r="B64" s="1401"/>
      <c r="C64" s="1394"/>
      <c r="D64" s="1389"/>
      <c r="E64" s="1395" t="s">
        <v>1304</v>
      </c>
      <c r="F64" s="1196" t="s">
        <v>1539</v>
      </c>
      <c r="G64" s="1185" t="s">
        <v>3057</v>
      </c>
      <c r="H64" s="1188">
        <v>103787.6</v>
      </c>
      <c r="I64" s="1188">
        <v>104249.5</v>
      </c>
      <c r="J64" s="1189">
        <f t="shared" si="0"/>
        <v>461.89999999999418</v>
      </c>
      <c r="K64" s="1186">
        <v>2000</v>
      </c>
      <c r="L64" s="1186">
        <f t="shared" si="1"/>
        <v>923799.99999998836</v>
      </c>
      <c r="M64" s="1186">
        <v>0</v>
      </c>
      <c r="N64" s="1191">
        <f t="shared" si="2"/>
        <v>9.2379999999998841</v>
      </c>
      <c r="P64" t="s">
        <v>1540</v>
      </c>
    </row>
    <row r="65" spans="1:16">
      <c r="A65" s="1186">
        <v>60</v>
      </c>
      <c r="B65" s="1401"/>
      <c r="C65" s="1394"/>
      <c r="D65" s="1389"/>
      <c r="E65" s="1396"/>
      <c r="F65" s="1187" t="s">
        <v>1541</v>
      </c>
      <c r="G65" s="1185" t="s">
        <v>3057</v>
      </c>
      <c r="H65" s="1188">
        <v>733403.5</v>
      </c>
      <c r="I65" s="1188">
        <v>738178.5</v>
      </c>
      <c r="J65" s="1189">
        <f t="shared" si="0"/>
        <v>4775</v>
      </c>
      <c r="K65" s="1186">
        <v>60</v>
      </c>
      <c r="L65" s="1186">
        <f t="shared" si="1"/>
        <v>286500</v>
      </c>
      <c r="M65" s="1186">
        <v>0</v>
      </c>
      <c r="N65" s="1191">
        <f t="shared" si="2"/>
        <v>2.8650000000000002</v>
      </c>
      <c r="P65" t="s">
        <v>1542</v>
      </c>
    </row>
    <row r="66" spans="1:16">
      <c r="A66" s="1186">
        <v>61</v>
      </c>
      <c r="B66" s="1401"/>
      <c r="C66" s="1394"/>
      <c r="D66" s="1389"/>
      <c r="E66" s="1396"/>
      <c r="F66" s="1187" t="s">
        <v>1203</v>
      </c>
      <c r="G66" s="1185" t="s">
        <v>3057</v>
      </c>
      <c r="H66" s="1188">
        <v>74233</v>
      </c>
      <c r="I66" s="1188">
        <v>74671.399999999994</v>
      </c>
      <c r="J66" s="1189">
        <f t="shared" si="0"/>
        <v>438.39999999999418</v>
      </c>
      <c r="K66" s="1186">
        <v>1333.33</v>
      </c>
      <c r="L66" s="1186">
        <f t="shared" si="1"/>
        <v>584531.87199999217</v>
      </c>
      <c r="M66" s="1186">
        <v>445749.37810000777</v>
      </c>
      <c r="N66" s="1191">
        <f t="shared" si="2"/>
        <v>10.302812501</v>
      </c>
      <c r="P66" t="s">
        <v>1543</v>
      </c>
    </row>
    <row r="67" spans="1:16">
      <c r="A67" s="1186">
        <v>62</v>
      </c>
      <c r="B67" s="1401"/>
      <c r="C67" s="1394"/>
      <c r="D67" s="1389"/>
      <c r="E67" s="1397"/>
      <c r="F67" s="1187" t="s">
        <v>1544</v>
      </c>
      <c r="G67" s="1185" t="s">
        <v>3057</v>
      </c>
      <c r="H67" s="1188">
        <v>13001.7</v>
      </c>
      <c r="I67" s="1188">
        <v>14342.7</v>
      </c>
      <c r="J67" s="1189">
        <f t="shared" si="0"/>
        <v>1341</v>
      </c>
      <c r="K67" s="1186">
        <v>200</v>
      </c>
      <c r="L67" s="1186">
        <f t="shared" si="1"/>
        <v>268200</v>
      </c>
      <c r="M67" s="1186">
        <v>0</v>
      </c>
      <c r="N67" s="1191">
        <f t="shared" si="2"/>
        <v>2.6819999999999999</v>
      </c>
      <c r="P67" t="s">
        <v>2102</v>
      </c>
    </row>
    <row r="68" spans="1:16">
      <c r="A68" s="1186">
        <v>63</v>
      </c>
      <c r="B68" s="1401"/>
      <c r="C68" s="1394"/>
      <c r="D68" s="1389" t="s">
        <v>1200</v>
      </c>
      <c r="E68" s="1389" t="s">
        <v>1200</v>
      </c>
      <c r="F68" s="1187" t="s">
        <v>1175</v>
      </c>
      <c r="G68" s="1185" t="s">
        <v>3057</v>
      </c>
      <c r="H68" s="1188">
        <v>6288.42</v>
      </c>
      <c r="I68" s="1188">
        <v>6461.17</v>
      </c>
      <c r="J68" s="1189">
        <f t="shared" si="0"/>
        <v>172.75</v>
      </c>
      <c r="K68" s="1186">
        <v>6000</v>
      </c>
      <c r="L68" s="1186">
        <f t="shared" si="1"/>
        <v>1036500</v>
      </c>
      <c r="M68" s="1186">
        <v>0</v>
      </c>
      <c r="N68" s="1191">
        <f t="shared" si="2"/>
        <v>10.365</v>
      </c>
      <c r="P68" t="s">
        <v>1550</v>
      </c>
    </row>
    <row r="69" spans="1:16">
      <c r="A69" s="1186">
        <v>64</v>
      </c>
      <c r="B69" s="1401"/>
      <c r="C69" s="1394"/>
      <c r="D69" s="1389"/>
      <c r="E69" s="1389"/>
      <c r="F69" s="1187" t="s">
        <v>1199</v>
      </c>
      <c r="G69" s="1185" t="s">
        <v>3057</v>
      </c>
      <c r="H69" s="1188">
        <v>8797.7900000000009</v>
      </c>
      <c r="I69" s="1188">
        <v>8992.06</v>
      </c>
      <c r="J69" s="1189">
        <f t="shared" si="0"/>
        <v>194.26999999999862</v>
      </c>
      <c r="K69" s="1186">
        <v>6000</v>
      </c>
      <c r="L69" s="1186">
        <f t="shared" si="1"/>
        <v>1165619.9999999916</v>
      </c>
      <c r="M69" s="1186">
        <v>0</v>
      </c>
      <c r="N69" s="1191">
        <f t="shared" si="2"/>
        <v>11.656199999999917</v>
      </c>
      <c r="P69" t="s">
        <v>1551</v>
      </c>
    </row>
    <row r="70" spans="1:16">
      <c r="A70" s="1186">
        <v>65</v>
      </c>
      <c r="B70" s="1401"/>
      <c r="C70" s="1394"/>
      <c r="D70" s="1389"/>
      <c r="E70" s="1389"/>
      <c r="F70" s="1187" t="s">
        <v>1552</v>
      </c>
      <c r="G70" s="1185" t="s">
        <v>3057</v>
      </c>
      <c r="H70" s="1188">
        <v>98461.8</v>
      </c>
      <c r="I70" s="1188">
        <v>98755.199999999997</v>
      </c>
      <c r="J70" s="1189">
        <f t="shared" ref="J70:J133" si="4">I70-H70</f>
        <v>293.39999999999418</v>
      </c>
      <c r="K70" s="1186">
        <v>2000</v>
      </c>
      <c r="L70" s="1186">
        <f t="shared" si="1"/>
        <v>586799.99999998836</v>
      </c>
      <c r="M70" s="1186">
        <v>0</v>
      </c>
      <c r="N70" s="1191">
        <f t="shared" si="2"/>
        <v>5.867999999999884</v>
      </c>
      <c r="P70" t="s">
        <v>1553</v>
      </c>
    </row>
    <row r="71" spans="1:16" ht="15" customHeight="1">
      <c r="A71" s="1186">
        <v>66</v>
      </c>
      <c r="B71" s="1401"/>
      <c r="C71" s="1394"/>
      <c r="D71" s="1389" t="s">
        <v>1203</v>
      </c>
      <c r="E71" s="1395" t="s">
        <v>1195</v>
      </c>
      <c r="F71" s="1187" t="s">
        <v>1557</v>
      </c>
      <c r="G71" s="1185" t="s">
        <v>3057</v>
      </c>
      <c r="H71" s="1188">
        <v>34475.1</v>
      </c>
      <c r="I71" s="1188">
        <v>34804.9</v>
      </c>
      <c r="J71" s="1189">
        <f t="shared" si="4"/>
        <v>329.80000000000291</v>
      </c>
      <c r="K71" s="1186">
        <v>2000</v>
      </c>
      <c r="L71" s="1186">
        <f t="shared" si="1"/>
        <v>659600.00000000582</v>
      </c>
      <c r="M71" s="1186">
        <v>0</v>
      </c>
      <c r="N71" s="1191">
        <f t="shared" si="2"/>
        <v>6.5960000000000578</v>
      </c>
      <c r="P71" t="s">
        <v>1558</v>
      </c>
    </row>
    <row r="72" spans="1:16">
      <c r="A72" s="1186">
        <v>67</v>
      </c>
      <c r="B72" s="1401"/>
      <c r="C72" s="1394"/>
      <c r="D72" s="1389"/>
      <c r="E72" s="1396"/>
      <c r="F72" s="1187" t="s">
        <v>1195</v>
      </c>
      <c r="G72" s="1185" t="s">
        <v>3057</v>
      </c>
      <c r="H72" s="1188">
        <v>30858</v>
      </c>
      <c r="I72" s="1188">
        <v>31314</v>
      </c>
      <c r="J72" s="1189">
        <f t="shared" si="4"/>
        <v>456</v>
      </c>
      <c r="K72" s="1186">
        <v>1333.3330000000001</v>
      </c>
      <c r="L72" s="1186">
        <f t="shared" ref="L72:L137" si="5">J72*K72</f>
        <v>607999.848</v>
      </c>
      <c r="M72" s="1186">
        <v>0</v>
      </c>
      <c r="N72" s="1191">
        <f t="shared" ref="N72:N137" si="6">(L72+M72)/100000</f>
        <v>6.0799984799999995</v>
      </c>
      <c r="P72" t="s">
        <v>1559</v>
      </c>
    </row>
    <row r="73" spans="1:16">
      <c r="A73" s="1186">
        <v>68</v>
      </c>
      <c r="B73" s="1401"/>
      <c r="C73" s="1394"/>
      <c r="D73" s="1389"/>
      <c r="E73" s="1396"/>
      <c r="F73" s="1187" t="s">
        <v>1560</v>
      </c>
      <c r="G73" s="1185" t="s">
        <v>3057</v>
      </c>
      <c r="H73" s="1188">
        <v>5419.6</v>
      </c>
      <c r="I73" s="1188">
        <v>5518.6</v>
      </c>
      <c r="J73" s="1189">
        <f t="shared" si="4"/>
        <v>99</v>
      </c>
      <c r="K73" s="1186">
        <v>2000</v>
      </c>
      <c r="L73" s="1186">
        <f t="shared" si="5"/>
        <v>198000</v>
      </c>
      <c r="M73" s="1186">
        <v>0</v>
      </c>
      <c r="N73" s="1191">
        <f t="shared" si="6"/>
        <v>1.98</v>
      </c>
      <c r="P73" t="s">
        <v>1561</v>
      </c>
    </row>
    <row r="74" spans="1:16">
      <c r="A74" s="1186">
        <v>69</v>
      </c>
      <c r="B74" s="1401"/>
      <c r="C74" s="1394"/>
      <c r="D74" s="1389"/>
      <c r="E74" s="1397"/>
      <c r="F74" s="1187" t="s">
        <v>2103</v>
      </c>
      <c r="G74" s="1185" t="s">
        <v>3057</v>
      </c>
      <c r="H74" s="1188">
        <v>108413.7</v>
      </c>
      <c r="I74" s="1188">
        <v>111295.2</v>
      </c>
      <c r="J74" s="1189">
        <f t="shared" si="4"/>
        <v>2881.5</v>
      </c>
      <c r="K74" s="1186">
        <v>500</v>
      </c>
      <c r="L74" s="1186">
        <f t="shared" si="5"/>
        <v>1440750</v>
      </c>
      <c r="M74" s="1186">
        <v>0</v>
      </c>
      <c r="N74" s="1191">
        <f t="shared" si="6"/>
        <v>14.407500000000001</v>
      </c>
      <c r="P74" t="s">
        <v>1563</v>
      </c>
    </row>
    <row r="75" spans="1:16">
      <c r="A75" s="1186">
        <v>70</v>
      </c>
      <c r="B75" s="1401"/>
      <c r="C75" s="1394"/>
      <c r="D75" s="1389" t="s">
        <v>1200</v>
      </c>
      <c r="E75" s="1395" t="s">
        <v>1305</v>
      </c>
      <c r="F75" s="1187" t="s">
        <v>1568</v>
      </c>
      <c r="G75" s="1185" t="s">
        <v>3057</v>
      </c>
      <c r="H75" s="1188">
        <v>18883.900000000001</v>
      </c>
      <c r="I75" s="1188">
        <v>19116.8</v>
      </c>
      <c r="J75" s="1189">
        <f t="shared" si="4"/>
        <v>232.89999999999782</v>
      </c>
      <c r="K75" s="1186">
        <v>2000</v>
      </c>
      <c r="L75" s="1186">
        <f t="shared" si="5"/>
        <v>465799.99999999563</v>
      </c>
      <c r="M75" s="1186">
        <v>0</v>
      </c>
      <c r="N75" s="1191">
        <f t="shared" si="6"/>
        <v>4.657999999999956</v>
      </c>
      <c r="P75" t="s">
        <v>1569</v>
      </c>
    </row>
    <row r="76" spans="1:16">
      <c r="A76" s="1186">
        <v>71</v>
      </c>
      <c r="B76" s="1401"/>
      <c r="C76" s="1394"/>
      <c r="D76" s="1389"/>
      <c r="E76" s="1396"/>
      <c r="F76" s="1187" t="s">
        <v>1570</v>
      </c>
      <c r="G76" s="1185" t="s">
        <v>3057</v>
      </c>
      <c r="H76" s="1188">
        <v>32343.5</v>
      </c>
      <c r="I76" s="1188">
        <v>32829.5</v>
      </c>
      <c r="J76" s="1189">
        <f t="shared" si="4"/>
        <v>486</v>
      </c>
      <c r="K76" s="1186">
        <v>1333.3330000000001</v>
      </c>
      <c r="L76" s="1186">
        <f t="shared" si="5"/>
        <v>647999.83799999999</v>
      </c>
      <c r="M76" s="1186">
        <v>0</v>
      </c>
      <c r="N76" s="1191">
        <f t="shared" si="6"/>
        <v>6.4799983799999996</v>
      </c>
      <c r="P76" t="s">
        <v>1571</v>
      </c>
    </row>
    <row r="77" spans="1:16">
      <c r="A77" s="1186">
        <v>72</v>
      </c>
      <c r="B77" s="1401"/>
      <c r="C77" s="1394"/>
      <c r="D77" s="1389"/>
      <c r="E77" s="1397"/>
      <c r="F77" s="1187" t="s">
        <v>1572</v>
      </c>
      <c r="G77" s="1185" t="s">
        <v>3057</v>
      </c>
      <c r="H77" s="1188">
        <v>37763.1</v>
      </c>
      <c r="I77" s="1188">
        <v>37862.300000000003</v>
      </c>
      <c r="J77" s="1189">
        <f t="shared" si="4"/>
        <v>99.200000000004366</v>
      </c>
      <c r="K77" s="1186">
        <v>2000</v>
      </c>
      <c r="L77" s="1186">
        <f t="shared" si="5"/>
        <v>198400.00000000873</v>
      </c>
      <c r="M77" s="1186">
        <v>272798.99999999127</v>
      </c>
      <c r="N77" s="1191">
        <f t="shared" si="6"/>
        <v>4.7119900000000001</v>
      </c>
      <c r="P77" t="s">
        <v>1573</v>
      </c>
    </row>
    <row r="78" spans="1:16">
      <c r="A78" s="1186">
        <v>73</v>
      </c>
      <c r="B78" s="1401"/>
      <c r="C78" s="1394"/>
      <c r="D78" s="1389"/>
      <c r="E78" s="1390" t="s">
        <v>1306</v>
      </c>
      <c r="F78" s="1187" t="s">
        <v>1579</v>
      </c>
      <c r="G78" s="1185" t="s">
        <v>3057</v>
      </c>
      <c r="H78" s="1188">
        <v>34612.800000000003</v>
      </c>
      <c r="I78" s="1188">
        <v>35025.5</v>
      </c>
      <c r="J78" s="1189">
        <f t="shared" si="4"/>
        <v>412.69999999999709</v>
      </c>
      <c r="K78" s="1186">
        <v>2000</v>
      </c>
      <c r="L78" s="1186">
        <f t="shared" si="5"/>
        <v>825399.99999999418</v>
      </c>
      <c r="M78" s="1186">
        <v>0</v>
      </c>
      <c r="N78" s="1191">
        <f t="shared" si="6"/>
        <v>8.2539999999999409</v>
      </c>
      <c r="P78" t="s">
        <v>1580</v>
      </c>
    </row>
    <row r="79" spans="1:16">
      <c r="A79" s="1186">
        <v>74</v>
      </c>
      <c r="B79" s="1401"/>
      <c r="C79" s="1394"/>
      <c r="D79" s="1389" t="s">
        <v>2160</v>
      </c>
      <c r="E79" s="1390"/>
      <c r="F79" s="1187" t="s">
        <v>3073</v>
      </c>
      <c r="G79" s="1185" t="s">
        <v>3057</v>
      </c>
      <c r="H79" s="1188">
        <v>22483</v>
      </c>
      <c r="I79" s="1188">
        <v>22976</v>
      </c>
      <c r="J79" s="1189">
        <f t="shared" si="4"/>
        <v>493</v>
      </c>
      <c r="K79" s="1186">
        <v>2000</v>
      </c>
      <c r="L79" s="1186">
        <f t="shared" si="5"/>
        <v>986000</v>
      </c>
      <c r="M79" s="1186">
        <v>0</v>
      </c>
      <c r="N79" s="1191">
        <f t="shared" si="6"/>
        <v>9.86</v>
      </c>
      <c r="P79" t="s">
        <v>1581</v>
      </c>
    </row>
    <row r="80" spans="1:16">
      <c r="A80" s="1186">
        <v>75</v>
      </c>
      <c r="B80" s="1401"/>
      <c r="C80" s="1394"/>
      <c r="D80" s="1389"/>
      <c r="E80" s="1390"/>
      <c r="F80" s="1187" t="s">
        <v>3074</v>
      </c>
      <c r="G80" s="1185" t="s">
        <v>3057</v>
      </c>
      <c r="H80" s="1188">
        <v>44268.6</v>
      </c>
      <c r="I80" s="1188">
        <v>44686.400000000001</v>
      </c>
      <c r="J80" s="1189">
        <f t="shared" si="4"/>
        <v>417.80000000000291</v>
      </c>
      <c r="K80" s="1186">
        <v>2000</v>
      </c>
      <c r="L80" s="1186">
        <f t="shared" si="5"/>
        <v>835600.00000000582</v>
      </c>
      <c r="M80" s="1186">
        <v>0</v>
      </c>
      <c r="N80" s="1191">
        <f t="shared" si="6"/>
        <v>8.3560000000000585</v>
      </c>
      <c r="P80" t="s">
        <v>1582</v>
      </c>
    </row>
    <row r="81" spans="1:16">
      <c r="A81" s="1186">
        <v>76</v>
      </c>
      <c r="B81" s="1401"/>
      <c r="C81" s="1394"/>
      <c r="D81" s="1389"/>
      <c r="E81" s="1390"/>
      <c r="F81" s="1187" t="s">
        <v>1202</v>
      </c>
      <c r="G81" s="1185" t="s">
        <v>3057</v>
      </c>
      <c r="H81" s="1188">
        <v>4464.3500000000004</v>
      </c>
      <c r="I81" s="1188">
        <v>4519.9399999999996</v>
      </c>
      <c r="J81" s="1189">
        <f t="shared" si="4"/>
        <v>55.589999999999236</v>
      </c>
      <c r="K81" s="1186">
        <v>3000</v>
      </c>
      <c r="L81" s="1186">
        <f t="shared" si="5"/>
        <v>166769.9999999977</v>
      </c>
      <c r="M81" s="1186">
        <v>642269.06330000237</v>
      </c>
      <c r="N81" s="1191">
        <f t="shared" si="6"/>
        <v>8.0903906330000002</v>
      </c>
    </row>
    <row r="82" spans="1:16">
      <c r="A82" s="1186">
        <v>77</v>
      </c>
      <c r="B82" s="1401"/>
      <c r="C82" s="1394"/>
      <c r="D82" s="1197"/>
      <c r="E82" s="1395" t="s">
        <v>1587</v>
      </c>
      <c r="F82" s="1187" t="s">
        <v>1585</v>
      </c>
      <c r="G82" s="1185" t="s">
        <v>3057</v>
      </c>
      <c r="H82" s="1188">
        <v>296170</v>
      </c>
      <c r="I82" s="1188">
        <v>315908</v>
      </c>
      <c r="J82" s="1189">
        <f t="shared" si="4"/>
        <v>19738</v>
      </c>
      <c r="K82" s="1186">
        <v>40</v>
      </c>
      <c r="L82" s="1186">
        <f t="shared" si="5"/>
        <v>789520</v>
      </c>
      <c r="M82" s="1186">
        <v>0</v>
      </c>
      <c r="N82" s="1191">
        <f t="shared" si="6"/>
        <v>7.8952</v>
      </c>
    </row>
    <row r="83" spans="1:16">
      <c r="A83" s="1186">
        <v>78</v>
      </c>
      <c r="B83" s="1401"/>
      <c r="C83" s="1394"/>
      <c r="D83" s="1198"/>
      <c r="E83" s="1397"/>
      <c r="F83" s="1187" t="s">
        <v>1587</v>
      </c>
      <c r="G83" s="1185" t="s">
        <v>3057</v>
      </c>
      <c r="H83" s="1188">
        <v>42977.8</v>
      </c>
      <c r="I83" s="1188">
        <v>46695.1</v>
      </c>
      <c r="J83" s="1189">
        <f t="shared" si="4"/>
        <v>3717.2999999999956</v>
      </c>
      <c r="K83" s="1186">
        <v>40</v>
      </c>
      <c r="L83" s="1186">
        <f t="shared" si="5"/>
        <v>148691.99999999983</v>
      </c>
      <c r="M83" s="1186">
        <v>0</v>
      </c>
      <c r="N83" s="1191">
        <f t="shared" si="6"/>
        <v>1.4869199999999982</v>
      </c>
      <c r="P83" t="s">
        <v>1583</v>
      </c>
    </row>
    <row r="84" spans="1:16">
      <c r="A84" s="1186">
        <v>79</v>
      </c>
      <c r="B84" s="1401"/>
      <c r="C84" s="1398" t="s">
        <v>82</v>
      </c>
      <c r="D84" s="1391" t="s">
        <v>924</v>
      </c>
      <c r="E84" s="1395" t="s">
        <v>1322</v>
      </c>
      <c r="F84" s="1187" t="s">
        <v>1602</v>
      </c>
      <c r="G84" s="1185" t="s">
        <v>3057</v>
      </c>
      <c r="H84" s="1188">
        <v>83929.8</v>
      </c>
      <c r="I84" s="1188">
        <v>84364.7</v>
      </c>
      <c r="J84" s="1189">
        <f t="shared" si="4"/>
        <v>434.89999999999418</v>
      </c>
      <c r="K84" s="1186">
        <v>2000</v>
      </c>
      <c r="L84" s="1186">
        <f t="shared" si="5"/>
        <v>869799.99999998836</v>
      </c>
      <c r="M84" s="1186">
        <v>0</v>
      </c>
      <c r="N84" s="1191">
        <f t="shared" si="6"/>
        <v>8.6979999999998832</v>
      </c>
      <c r="P84" t="s">
        <v>1603</v>
      </c>
    </row>
    <row r="85" spans="1:16">
      <c r="A85" s="1186">
        <v>80</v>
      </c>
      <c r="B85" s="1401"/>
      <c r="C85" s="1399"/>
      <c r="D85" s="1392"/>
      <c r="E85" s="1396"/>
      <c r="F85" s="1187" t="s">
        <v>1605</v>
      </c>
      <c r="G85" s="1185" t="s">
        <v>3057</v>
      </c>
      <c r="H85" s="1188">
        <v>21795.7</v>
      </c>
      <c r="I85" s="1188">
        <v>23352.3</v>
      </c>
      <c r="J85" s="1189">
        <f t="shared" si="4"/>
        <v>1556.5999999999985</v>
      </c>
      <c r="K85" s="1186">
        <v>200</v>
      </c>
      <c r="L85" s="1186">
        <f t="shared" si="5"/>
        <v>311319.99999999971</v>
      </c>
      <c r="M85" s="1186">
        <v>0</v>
      </c>
      <c r="N85" s="1191">
        <f t="shared" si="6"/>
        <v>3.1131999999999973</v>
      </c>
      <c r="P85" t="s">
        <v>2104</v>
      </c>
    </row>
    <row r="86" spans="1:16">
      <c r="A86" s="1186">
        <v>81</v>
      </c>
      <c r="B86" s="1401"/>
      <c r="C86" s="1399"/>
      <c r="D86" s="1392"/>
      <c r="E86" s="1396"/>
      <c r="F86" s="1187" t="s">
        <v>169</v>
      </c>
      <c r="G86" s="1185" t="s">
        <v>3057</v>
      </c>
      <c r="H86" s="1188">
        <v>16413.400000000001</v>
      </c>
      <c r="I86" s="1188">
        <v>16533.2</v>
      </c>
      <c r="J86" s="1189">
        <f t="shared" si="4"/>
        <v>119.79999999999927</v>
      </c>
      <c r="K86" s="1186">
        <v>2000</v>
      </c>
      <c r="L86" s="1186">
        <f t="shared" si="5"/>
        <v>239599.99999999854</v>
      </c>
      <c r="M86" s="1186">
        <v>123820.40660000144</v>
      </c>
      <c r="N86" s="1191">
        <f t="shared" si="6"/>
        <v>3.6342040659999997</v>
      </c>
      <c r="P86" t="s">
        <v>1608</v>
      </c>
    </row>
    <row r="87" spans="1:16">
      <c r="A87" s="1186">
        <v>82</v>
      </c>
      <c r="B87" s="1401"/>
      <c r="C87" s="1399"/>
      <c r="D87" s="1392"/>
      <c r="E87" s="1397"/>
      <c r="F87" s="1187" t="s">
        <v>1610</v>
      </c>
      <c r="G87" s="1185" t="s">
        <v>3057</v>
      </c>
      <c r="H87" s="1188">
        <v>36552.1</v>
      </c>
      <c r="I87" s="1188">
        <v>36552.1</v>
      </c>
      <c r="J87" s="1189">
        <f t="shared" si="4"/>
        <v>0</v>
      </c>
      <c r="K87" s="1186">
        <v>2000</v>
      </c>
      <c r="L87" s="1186">
        <f t="shared" si="5"/>
        <v>0</v>
      </c>
      <c r="M87" s="1186">
        <v>384480.47129999998</v>
      </c>
      <c r="N87" s="1191">
        <f t="shared" si="6"/>
        <v>3.8448047129999998</v>
      </c>
      <c r="P87" t="s">
        <v>1611</v>
      </c>
    </row>
    <row r="88" spans="1:16">
      <c r="A88" s="1186">
        <v>83</v>
      </c>
      <c r="B88" s="1401"/>
      <c r="C88" s="1399"/>
      <c r="D88" s="1392"/>
      <c r="E88" s="1395" t="s">
        <v>158</v>
      </c>
      <c r="F88" s="1187" t="s">
        <v>1619</v>
      </c>
      <c r="G88" s="1185" t="s">
        <v>3057</v>
      </c>
      <c r="H88" s="1188">
        <v>1030782</v>
      </c>
      <c r="I88" s="1188">
        <v>1048568.5</v>
      </c>
      <c r="J88" s="1189">
        <f t="shared" si="4"/>
        <v>17786.5</v>
      </c>
      <c r="K88" s="1186">
        <v>60</v>
      </c>
      <c r="L88" s="1186">
        <f t="shared" si="5"/>
        <v>1067190</v>
      </c>
      <c r="M88" s="1186">
        <v>0</v>
      </c>
      <c r="N88" s="1191">
        <f t="shared" si="6"/>
        <v>10.671900000000001</v>
      </c>
      <c r="P88" t="s">
        <v>1620</v>
      </c>
    </row>
    <row r="89" spans="1:16">
      <c r="A89" s="1186">
        <v>84</v>
      </c>
      <c r="B89" s="1401"/>
      <c r="C89" s="1399"/>
      <c r="D89" s="1392"/>
      <c r="E89" s="1396"/>
      <c r="F89" s="1187" t="s">
        <v>1622</v>
      </c>
      <c r="G89" s="1185" t="s">
        <v>3057</v>
      </c>
      <c r="H89" s="1188">
        <v>482553</v>
      </c>
      <c r="I89" s="1188">
        <v>496161</v>
      </c>
      <c r="J89" s="1189">
        <f t="shared" si="4"/>
        <v>13608</v>
      </c>
      <c r="K89" s="1186">
        <v>30</v>
      </c>
      <c r="L89" s="1186">
        <f t="shared" si="5"/>
        <v>408240</v>
      </c>
      <c r="M89" s="1186">
        <v>0</v>
      </c>
      <c r="N89" s="1191">
        <f t="shared" si="6"/>
        <v>4.0823999999999998</v>
      </c>
      <c r="P89" t="s">
        <v>1623</v>
      </c>
    </row>
    <row r="90" spans="1:16">
      <c r="A90" s="1186">
        <v>85</v>
      </c>
      <c r="B90" s="1401"/>
      <c r="C90" s="1399"/>
      <c r="D90" s="1392"/>
      <c r="E90" s="1396"/>
      <c r="F90" s="1187" t="s">
        <v>1625</v>
      </c>
      <c r="G90" s="1185" t="s">
        <v>3057</v>
      </c>
      <c r="H90" s="1188">
        <v>4080.8</v>
      </c>
      <c r="I90" s="1188">
        <v>4106</v>
      </c>
      <c r="J90" s="1189">
        <f t="shared" si="4"/>
        <v>25.199999999999818</v>
      </c>
      <c r="K90" s="1186">
        <v>1333.33</v>
      </c>
      <c r="L90" s="1186">
        <f t="shared" si="5"/>
        <v>33599.915999999757</v>
      </c>
      <c r="M90" s="1186">
        <v>12000</v>
      </c>
      <c r="N90" s="1191">
        <f t="shared" si="6"/>
        <v>0.45599915999999757</v>
      </c>
      <c r="P90" t="s">
        <v>1626</v>
      </c>
    </row>
    <row r="91" spans="1:16">
      <c r="A91" s="1186">
        <v>86</v>
      </c>
      <c r="B91" s="1401"/>
      <c r="C91" s="1399"/>
      <c r="D91" s="1393"/>
      <c r="E91" s="1397"/>
      <c r="F91" s="1187" t="s">
        <v>989</v>
      </c>
      <c r="G91" s="1185" t="s">
        <v>3057</v>
      </c>
      <c r="H91" s="1188">
        <v>7443.38</v>
      </c>
      <c r="I91" s="1188">
        <v>7670.03</v>
      </c>
      <c r="J91" s="1189">
        <f t="shared" si="4"/>
        <v>226.64999999999964</v>
      </c>
      <c r="K91" s="1186">
        <v>6000</v>
      </c>
      <c r="L91" s="1186">
        <f t="shared" si="5"/>
        <v>1359899.9999999979</v>
      </c>
      <c r="M91" s="1186">
        <v>0</v>
      </c>
      <c r="N91" s="1191">
        <f t="shared" si="6"/>
        <v>13.598999999999979</v>
      </c>
      <c r="P91" t="s">
        <v>1628</v>
      </c>
    </row>
    <row r="92" spans="1:16">
      <c r="A92" s="1186">
        <v>87</v>
      </c>
      <c r="B92" s="1401"/>
      <c r="C92" s="1399"/>
      <c r="D92" s="1389" t="s">
        <v>979</v>
      </c>
      <c r="E92" s="1395" t="s">
        <v>162</v>
      </c>
      <c r="F92" s="1187" t="s">
        <v>3075</v>
      </c>
      <c r="G92" s="1185" t="s">
        <v>3057</v>
      </c>
      <c r="H92" s="1188">
        <v>2007.48</v>
      </c>
      <c r="I92" s="1188">
        <v>2131.5300000000002</v>
      </c>
      <c r="J92" s="1189">
        <f t="shared" si="4"/>
        <v>124.05000000000018</v>
      </c>
      <c r="K92" s="1186">
        <v>6000</v>
      </c>
      <c r="L92" s="1186">
        <f t="shared" si="5"/>
        <v>744300.00000000105</v>
      </c>
      <c r="M92" s="1186">
        <v>0</v>
      </c>
      <c r="N92" s="1191">
        <f t="shared" si="6"/>
        <v>7.4430000000000103</v>
      </c>
      <c r="P92" t="s">
        <v>1638</v>
      </c>
    </row>
    <row r="93" spans="1:16">
      <c r="A93" s="1186">
        <v>88</v>
      </c>
      <c r="B93" s="1401"/>
      <c r="C93" s="1399"/>
      <c r="D93" s="1389"/>
      <c r="E93" s="1396"/>
      <c r="F93" s="1187" t="s">
        <v>1639</v>
      </c>
      <c r="G93" s="1185" t="s">
        <v>3057</v>
      </c>
      <c r="H93" s="1188">
        <v>7277.7</v>
      </c>
      <c r="I93" s="1188">
        <v>8101.7</v>
      </c>
      <c r="J93" s="1189">
        <f t="shared" si="4"/>
        <v>824</v>
      </c>
      <c r="K93" s="1186">
        <v>2000</v>
      </c>
      <c r="L93" s="1186">
        <f t="shared" si="5"/>
        <v>1648000</v>
      </c>
      <c r="M93" s="1186">
        <v>0</v>
      </c>
      <c r="N93" s="1191">
        <f t="shared" si="6"/>
        <v>16.48</v>
      </c>
      <c r="P93" t="s">
        <v>1640</v>
      </c>
    </row>
    <row r="94" spans="1:16">
      <c r="A94" s="1186">
        <v>89</v>
      </c>
      <c r="B94" s="1401"/>
      <c r="C94" s="1399"/>
      <c r="D94" s="1389"/>
      <c r="E94" s="1396"/>
      <c r="F94" s="1187" t="s">
        <v>1641</v>
      </c>
      <c r="G94" s="1185" t="s">
        <v>3057</v>
      </c>
      <c r="H94" s="1188">
        <v>102706.3</v>
      </c>
      <c r="I94" s="1188">
        <v>102706.3</v>
      </c>
      <c r="J94" s="1189">
        <f t="shared" si="4"/>
        <v>0</v>
      </c>
      <c r="K94" s="1186">
        <v>2000</v>
      </c>
      <c r="L94" s="1186">
        <f t="shared" si="5"/>
        <v>0</v>
      </c>
      <c r="M94" s="1186">
        <v>0</v>
      </c>
      <c r="N94" s="1191">
        <f t="shared" si="6"/>
        <v>0</v>
      </c>
      <c r="P94" t="s">
        <v>1642</v>
      </c>
    </row>
    <row r="95" spans="1:16">
      <c r="A95" s="1186">
        <v>90</v>
      </c>
      <c r="B95" s="1401"/>
      <c r="C95" s="1399"/>
      <c r="D95" s="1389"/>
      <c r="E95" s="1396"/>
      <c r="F95" s="1187" t="s">
        <v>979</v>
      </c>
      <c r="G95" s="1185" t="s">
        <v>3057</v>
      </c>
      <c r="H95" s="1188">
        <v>25248.2</v>
      </c>
      <c r="I95" s="1188">
        <v>29116.6</v>
      </c>
      <c r="J95" s="1189">
        <f t="shared" si="4"/>
        <v>3868.3999999999978</v>
      </c>
      <c r="K95" s="1186">
        <v>200</v>
      </c>
      <c r="L95" s="1186">
        <f t="shared" si="5"/>
        <v>773679.99999999953</v>
      </c>
      <c r="M95" s="1186">
        <v>0</v>
      </c>
      <c r="N95" s="1191">
        <f t="shared" si="6"/>
        <v>7.7367999999999952</v>
      </c>
      <c r="P95" t="s">
        <v>2106</v>
      </c>
    </row>
    <row r="96" spans="1:16">
      <c r="A96" s="1186">
        <v>91</v>
      </c>
      <c r="B96" s="1401"/>
      <c r="C96" s="1399"/>
      <c r="D96" s="1389"/>
      <c r="E96" s="1396"/>
      <c r="F96" s="1187" t="s">
        <v>1644</v>
      </c>
      <c r="G96" s="1185" t="s">
        <v>3057</v>
      </c>
      <c r="H96" s="1188">
        <v>45819.3</v>
      </c>
      <c r="I96" s="1188">
        <v>46010.5</v>
      </c>
      <c r="J96" s="1189">
        <f t="shared" si="4"/>
        <v>191.19999999999709</v>
      </c>
      <c r="K96" s="1186">
        <v>2000</v>
      </c>
      <c r="L96" s="1186">
        <f t="shared" si="5"/>
        <v>382399.99999999418</v>
      </c>
      <c r="M96" s="1186">
        <v>0</v>
      </c>
      <c r="N96" s="1191">
        <f t="shared" si="6"/>
        <v>3.8239999999999417</v>
      </c>
      <c r="P96" t="s">
        <v>1645</v>
      </c>
    </row>
    <row r="97" spans="1:16">
      <c r="A97" s="1186">
        <v>92</v>
      </c>
      <c r="B97" s="1401"/>
      <c r="C97" s="1399"/>
      <c r="D97" s="1389"/>
      <c r="E97" s="1396"/>
      <c r="F97" s="1187" t="s">
        <v>1323</v>
      </c>
      <c r="G97" s="1185" t="s">
        <v>3057</v>
      </c>
      <c r="H97" s="1188">
        <v>112256.8</v>
      </c>
      <c r="I97" s="1188">
        <v>112740</v>
      </c>
      <c r="J97" s="1189">
        <f t="shared" si="4"/>
        <v>483.19999999999709</v>
      </c>
      <c r="K97" s="1186">
        <v>2000</v>
      </c>
      <c r="L97" s="1186">
        <f t="shared" si="5"/>
        <v>966399.99999999418</v>
      </c>
      <c r="M97" s="1186">
        <v>0</v>
      </c>
      <c r="N97" s="1191">
        <f t="shared" si="6"/>
        <v>9.6639999999999411</v>
      </c>
      <c r="P97" t="s">
        <v>1646</v>
      </c>
    </row>
    <row r="98" spans="1:16">
      <c r="A98" s="1186">
        <v>93</v>
      </c>
      <c r="B98" s="1401"/>
      <c r="C98" s="1399"/>
      <c r="D98" s="1389"/>
      <c r="E98" s="1397"/>
      <c r="F98" s="1187" t="s">
        <v>1647</v>
      </c>
      <c r="G98" s="1185" t="s">
        <v>3057</v>
      </c>
      <c r="H98" s="1188">
        <v>26377.5</v>
      </c>
      <c r="I98" s="1188">
        <v>26425.200000000001</v>
      </c>
      <c r="J98" s="1189">
        <f t="shared" si="4"/>
        <v>47.700000000000728</v>
      </c>
      <c r="K98" s="1186">
        <v>2000</v>
      </c>
      <c r="L98" s="1186">
        <f t="shared" si="5"/>
        <v>95400.000000001455</v>
      </c>
      <c r="M98" s="1186">
        <v>229841.21189999854</v>
      </c>
      <c r="N98" s="1191">
        <f t="shared" si="6"/>
        <v>3.2524121190000002</v>
      </c>
      <c r="P98" t="s">
        <v>1648</v>
      </c>
    </row>
    <row r="99" spans="1:16">
      <c r="A99" s="1186">
        <v>94</v>
      </c>
      <c r="B99" s="1401"/>
      <c r="C99" s="1399"/>
      <c r="D99" s="1389" t="s">
        <v>924</v>
      </c>
      <c r="E99" s="1395" t="s">
        <v>1323</v>
      </c>
      <c r="F99" s="1187" t="s">
        <v>1651</v>
      </c>
      <c r="G99" s="1185" t="s">
        <v>3057</v>
      </c>
      <c r="H99" s="1188">
        <v>12039.96</v>
      </c>
      <c r="I99" s="1188">
        <v>12132.22</v>
      </c>
      <c r="J99" s="1189">
        <f t="shared" si="4"/>
        <v>92.260000000000218</v>
      </c>
      <c r="K99" s="1186">
        <v>8000</v>
      </c>
      <c r="L99" s="1186">
        <f t="shared" si="5"/>
        <v>738080.00000000175</v>
      </c>
      <c r="M99" s="1186">
        <v>0</v>
      </c>
      <c r="N99" s="1191">
        <f t="shared" si="6"/>
        <v>7.3808000000000176</v>
      </c>
      <c r="P99" t="s">
        <v>1652</v>
      </c>
    </row>
    <row r="100" spans="1:16">
      <c r="A100" s="1186">
        <v>95</v>
      </c>
      <c r="B100" s="1401"/>
      <c r="C100" s="1399"/>
      <c r="D100" s="1389"/>
      <c r="E100" s="1396"/>
      <c r="F100" s="1187" t="s">
        <v>1653</v>
      </c>
      <c r="G100" s="1185" t="s">
        <v>3057</v>
      </c>
      <c r="H100" s="1188">
        <v>9320.7900000000009</v>
      </c>
      <c r="I100" s="1188">
        <v>9365.5</v>
      </c>
      <c r="J100" s="1189">
        <f t="shared" si="4"/>
        <v>44.709999999999127</v>
      </c>
      <c r="K100" s="1186">
        <v>12000</v>
      </c>
      <c r="L100" s="1186">
        <f t="shared" si="5"/>
        <v>536519.99999998952</v>
      </c>
      <c r="M100" s="1186">
        <v>0</v>
      </c>
      <c r="N100" s="1191">
        <f t="shared" si="6"/>
        <v>5.3651999999998949</v>
      </c>
      <c r="P100" t="s">
        <v>1654</v>
      </c>
    </row>
    <row r="101" spans="1:16">
      <c r="A101" s="1186">
        <v>96</v>
      </c>
      <c r="B101" s="1401"/>
      <c r="C101" s="1399"/>
      <c r="D101" s="1389" t="s">
        <v>979</v>
      </c>
      <c r="E101" s="1396"/>
      <c r="F101" s="1187" t="s">
        <v>1655</v>
      </c>
      <c r="G101" s="1185" t="s">
        <v>3057</v>
      </c>
      <c r="H101" s="1188">
        <v>1557594</v>
      </c>
      <c r="I101" s="1188">
        <v>1585898</v>
      </c>
      <c r="J101" s="1189">
        <f t="shared" si="4"/>
        <v>28304</v>
      </c>
      <c r="K101" s="1186">
        <v>60</v>
      </c>
      <c r="L101" s="1186">
        <f t="shared" si="5"/>
        <v>1698240</v>
      </c>
      <c r="M101" s="1186">
        <v>0</v>
      </c>
      <c r="N101" s="1191">
        <f t="shared" si="6"/>
        <v>16.982399999999998</v>
      </c>
      <c r="P101" t="s">
        <v>1656</v>
      </c>
    </row>
    <row r="102" spans="1:16">
      <c r="A102" s="1186">
        <v>97</v>
      </c>
      <c r="B102" s="1401"/>
      <c r="C102" s="1399"/>
      <c r="D102" s="1389"/>
      <c r="E102" s="1397"/>
      <c r="F102" s="1187" t="s">
        <v>1657</v>
      </c>
      <c r="G102" s="1185" t="s">
        <v>3057</v>
      </c>
      <c r="H102" s="1188">
        <v>54130.9</v>
      </c>
      <c r="I102" s="1188">
        <v>54426.9</v>
      </c>
      <c r="J102" s="1189">
        <f t="shared" si="4"/>
        <v>296</v>
      </c>
      <c r="K102" s="1186">
        <v>2000</v>
      </c>
      <c r="L102" s="1186">
        <f t="shared" si="5"/>
        <v>592000</v>
      </c>
      <c r="M102" s="1186">
        <v>0</v>
      </c>
      <c r="N102" s="1191">
        <f t="shared" si="6"/>
        <v>5.92</v>
      </c>
      <c r="P102" t="s">
        <v>1658</v>
      </c>
    </row>
    <row r="103" spans="1:16">
      <c r="A103" s="1186">
        <v>98</v>
      </c>
      <c r="B103" s="1401"/>
      <c r="C103" s="1399"/>
      <c r="D103" s="1389" t="s">
        <v>924</v>
      </c>
      <c r="E103" s="1395" t="s">
        <v>904</v>
      </c>
      <c r="F103" s="1187" t="s">
        <v>2107</v>
      </c>
      <c r="G103" s="1185" t="s">
        <v>3057</v>
      </c>
      <c r="H103" s="1188">
        <v>27806.6</v>
      </c>
      <c r="I103" s="1188">
        <v>28311.9</v>
      </c>
      <c r="J103" s="1189">
        <f t="shared" si="4"/>
        <v>505.30000000000291</v>
      </c>
      <c r="K103" s="1186">
        <v>1333.33</v>
      </c>
      <c r="L103" s="1190">
        <f t="shared" si="5"/>
        <v>673731.64900000382</v>
      </c>
      <c r="M103" s="1186">
        <v>0</v>
      </c>
      <c r="N103" s="1191">
        <f t="shared" si="6"/>
        <v>6.7373164900000377</v>
      </c>
      <c r="P103" t="s">
        <v>2108</v>
      </c>
    </row>
    <row r="104" spans="1:16">
      <c r="A104" s="1186">
        <v>99</v>
      </c>
      <c r="B104" s="1401"/>
      <c r="C104" s="1399"/>
      <c r="D104" s="1389"/>
      <c r="E104" s="1396"/>
      <c r="F104" s="1187" t="s">
        <v>1675</v>
      </c>
      <c r="G104" s="1185" t="s">
        <v>3057</v>
      </c>
      <c r="H104" s="1188">
        <v>13654</v>
      </c>
      <c r="I104" s="1188">
        <v>15324.5</v>
      </c>
      <c r="J104" s="1189">
        <f t="shared" si="4"/>
        <v>1670.5</v>
      </c>
      <c r="K104" s="1186">
        <v>200</v>
      </c>
      <c r="L104" s="1186"/>
      <c r="M104" s="1186">
        <v>0</v>
      </c>
      <c r="N104" s="1191">
        <f t="shared" si="6"/>
        <v>0</v>
      </c>
      <c r="P104" t="s">
        <v>1666</v>
      </c>
    </row>
    <row r="105" spans="1:16">
      <c r="A105" s="1186">
        <v>100</v>
      </c>
      <c r="B105" s="1401"/>
      <c r="C105" s="1399"/>
      <c r="D105" s="1389"/>
      <c r="E105" s="1396"/>
      <c r="F105" s="1187" t="s">
        <v>1665</v>
      </c>
      <c r="G105" s="1185" t="s">
        <v>3057</v>
      </c>
      <c r="H105" s="1188">
        <v>31282.799999999999</v>
      </c>
      <c r="I105" s="1188">
        <v>31282.799999999999</v>
      </c>
      <c r="J105" s="1189">
        <f t="shared" si="4"/>
        <v>0</v>
      </c>
      <c r="K105" s="1186">
        <v>2000</v>
      </c>
      <c r="L105" s="1186">
        <f t="shared" si="5"/>
        <v>0</v>
      </c>
      <c r="M105" s="1186">
        <v>373678.71110000001</v>
      </c>
      <c r="N105" s="1191">
        <f t="shared" si="6"/>
        <v>3.7367871109999999</v>
      </c>
      <c r="P105" t="s">
        <v>1669</v>
      </c>
    </row>
    <row r="106" spans="1:16">
      <c r="A106" s="1186">
        <v>101</v>
      </c>
      <c r="B106" s="1401"/>
      <c r="C106" s="1399"/>
      <c r="D106" s="1389"/>
      <c r="E106" s="1396"/>
      <c r="F106" s="1187" t="s">
        <v>1671</v>
      </c>
      <c r="G106" s="1185" t="s">
        <v>3057</v>
      </c>
      <c r="H106" s="1188">
        <v>810780.2</v>
      </c>
      <c r="I106" s="1188">
        <v>820361.2</v>
      </c>
      <c r="J106" s="1189">
        <f t="shared" si="4"/>
        <v>9581</v>
      </c>
      <c r="K106" s="1186">
        <v>6.6660000000000004</v>
      </c>
      <c r="L106" s="1186">
        <f t="shared" si="5"/>
        <v>63866.946000000004</v>
      </c>
      <c r="M106" s="1186">
        <v>0</v>
      </c>
      <c r="N106" s="1191">
        <f t="shared" si="6"/>
        <v>0.63866946000000002</v>
      </c>
      <c r="P106">
        <v>3300078</v>
      </c>
    </row>
    <row r="107" spans="1:16">
      <c r="A107" s="1186"/>
      <c r="B107" s="1401"/>
      <c r="C107" s="1399"/>
      <c r="D107" s="1389"/>
      <c r="E107" s="1396"/>
      <c r="F107" s="1187" t="s">
        <v>1662</v>
      </c>
      <c r="G107" s="1185"/>
      <c r="H107" s="1188">
        <v>4008.1</v>
      </c>
      <c r="I107" s="1188">
        <v>4301.3999999999996</v>
      </c>
      <c r="J107" s="1189">
        <f t="shared" si="4"/>
        <v>293.29999999999973</v>
      </c>
      <c r="K107" s="1186">
        <v>100</v>
      </c>
      <c r="L107" s="1186">
        <f t="shared" si="5"/>
        <v>29329.999999999971</v>
      </c>
      <c r="M107" s="1186">
        <v>0</v>
      </c>
      <c r="N107" s="1191">
        <f t="shared" si="6"/>
        <v>0.29329999999999973</v>
      </c>
      <c r="P107">
        <v>3300076</v>
      </c>
    </row>
    <row r="108" spans="1:16">
      <c r="A108" s="1186">
        <v>102</v>
      </c>
      <c r="B108" s="1401"/>
      <c r="C108" s="1399"/>
      <c r="D108" s="1389"/>
      <c r="E108" s="1397"/>
      <c r="F108" s="1187" t="s">
        <v>1132</v>
      </c>
      <c r="G108" s="1185" t="s">
        <v>3057</v>
      </c>
      <c r="H108" s="1188">
        <v>17242</v>
      </c>
      <c r="I108" s="1188">
        <v>17441.599999999999</v>
      </c>
      <c r="J108" s="1189">
        <f t="shared" si="4"/>
        <v>199.59999999999854</v>
      </c>
      <c r="K108" s="1186">
        <v>100</v>
      </c>
      <c r="L108" s="1186">
        <f t="shared" si="5"/>
        <v>19959.999999999854</v>
      </c>
      <c r="M108" s="1186">
        <v>436144.00000000012</v>
      </c>
      <c r="N108" s="1191">
        <f t="shared" si="6"/>
        <v>4.5610400000000002</v>
      </c>
      <c r="P108" t="s">
        <v>2109</v>
      </c>
    </row>
    <row r="109" spans="1:16">
      <c r="A109" s="1186">
        <v>103</v>
      </c>
      <c r="B109" s="1401"/>
      <c r="C109" s="1399"/>
      <c r="D109" s="1389" t="s">
        <v>210</v>
      </c>
      <c r="E109" s="1389" t="s">
        <v>210</v>
      </c>
      <c r="F109" s="1187" t="s">
        <v>1065</v>
      </c>
      <c r="G109" s="1185" t="s">
        <v>3057</v>
      </c>
      <c r="H109" s="1188">
        <v>48810</v>
      </c>
      <c r="I109" s="1188">
        <v>53412.3</v>
      </c>
      <c r="J109" s="1189">
        <f t="shared" si="4"/>
        <v>4602.3000000000029</v>
      </c>
      <c r="K109" s="1186">
        <v>200</v>
      </c>
      <c r="L109" s="1186">
        <f t="shared" si="5"/>
        <v>920460.00000000058</v>
      </c>
      <c r="M109" s="1186">
        <v>0</v>
      </c>
      <c r="N109" s="1191">
        <f t="shared" si="6"/>
        <v>9.2046000000000063</v>
      </c>
      <c r="P109" t="s">
        <v>1689</v>
      </c>
    </row>
    <row r="110" spans="1:16">
      <c r="A110" s="1186">
        <v>104</v>
      </c>
      <c r="B110" s="1401"/>
      <c r="C110" s="1399"/>
      <c r="D110" s="1389"/>
      <c r="E110" s="1389"/>
      <c r="F110" s="1187" t="s">
        <v>1688</v>
      </c>
      <c r="G110" s="1185" t="s">
        <v>3057</v>
      </c>
      <c r="H110" s="1188">
        <v>43336.800000000003</v>
      </c>
      <c r="I110" s="1188">
        <v>43408.5</v>
      </c>
      <c r="J110" s="1189">
        <f t="shared" si="4"/>
        <v>71.69999999999709</v>
      </c>
      <c r="K110" s="1186">
        <v>2000</v>
      </c>
      <c r="L110" s="1186">
        <f t="shared" si="5"/>
        <v>143399.99999999418</v>
      </c>
      <c r="M110" s="1186">
        <v>0</v>
      </c>
      <c r="N110" s="1191">
        <f t="shared" si="6"/>
        <v>1.4339999999999418</v>
      </c>
      <c r="P110" t="s">
        <v>1690</v>
      </c>
    </row>
    <row r="111" spans="1:16">
      <c r="A111" s="1186">
        <v>105</v>
      </c>
      <c r="B111" s="1401"/>
      <c r="C111" s="1399"/>
      <c r="D111" s="1389"/>
      <c r="E111" s="1389"/>
      <c r="F111" s="1187" t="s">
        <v>1162</v>
      </c>
      <c r="G111" s="1185" t="s">
        <v>3057</v>
      </c>
      <c r="H111" s="1188">
        <v>2729.3</v>
      </c>
      <c r="I111" s="1188">
        <v>2753.4</v>
      </c>
      <c r="J111" s="1189">
        <f t="shared" si="4"/>
        <v>24.099999999999909</v>
      </c>
      <c r="K111" s="1186">
        <v>2000</v>
      </c>
      <c r="L111" s="1186">
        <f t="shared" si="5"/>
        <v>48199.999999999818</v>
      </c>
      <c r="M111" s="1186">
        <v>0</v>
      </c>
      <c r="N111" s="1191">
        <f t="shared" si="6"/>
        <v>0.48199999999999821</v>
      </c>
      <c r="P111" t="s">
        <v>2110</v>
      </c>
    </row>
    <row r="112" spans="1:16">
      <c r="A112" s="1186">
        <v>106</v>
      </c>
      <c r="B112" s="1401"/>
      <c r="C112" s="1399"/>
      <c r="D112" s="1389"/>
      <c r="E112" s="1389"/>
      <c r="F112" s="1187" t="s">
        <v>1691</v>
      </c>
      <c r="G112" s="1185" t="s">
        <v>3057</v>
      </c>
      <c r="H112" s="1188">
        <v>12641</v>
      </c>
      <c r="I112" s="1188">
        <v>13842.4</v>
      </c>
      <c r="J112" s="1189">
        <f t="shared" si="4"/>
        <v>1201.3999999999996</v>
      </c>
      <c r="K112" s="1186">
        <v>200</v>
      </c>
      <c r="L112" s="1186">
        <f t="shared" si="5"/>
        <v>240279.99999999994</v>
      </c>
      <c r="M112" s="1186">
        <v>0</v>
      </c>
      <c r="N112" s="1191">
        <f t="shared" si="6"/>
        <v>2.4027999999999996</v>
      </c>
      <c r="P112" t="s">
        <v>1694</v>
      </c>
    </row>
    <row r="113" spans="1:16">
      <c r="A113" s="1186">
        <v>107</v>
      </c>
      <c r="B113" s="1401"/>
      <c r="C113" s="1399"/>
      <c r="D113" s="1389"/>
      <c r="E113" s="1389"/>
      <c r="F113" s="1187" t="s">
        <v>1693</v>
      </c>
      <c r="G113" s="1185" t="s">
        <v>3057</v>
      </c>
      <c r="H113" s="1188">
        <v>49479.199999999997</v>
      </c>
      <c r="I113" s="1188">
        <v>49737.1</v>
      </c>
      <c r="J113" s="1189">
        <f t="shared" si="4"/>
        <v>257.90000000000146</v>
      </c>
      <c r="K113" s="1186">
        <v>2000</v>
      </c>
      <c r="L113" s="1186">
        <f t="shared" si="5"/>
        <v>515800.00000000291</v>
      </c>
      <c r="M113" s="1186">
        <v>0</v>
      </c>
      <c r="N113" s="1191">
        <f t="shared" si="6"/>
        <v>5.1580000000000288</v>
      </c>
      <c r="P113" t="s">
        <v>1699</v>
      </c>
    </row>
    <row r="114" spans="1:16">
      <c r="A114" s="1186">
        <v>108</v>
      </c>
      <c r="B114" s="1401"/>
      <c r="C114" s="1399"/>
      <c r="D114" s="1389" t="s">
        <v>1068</v>
      </c>
      <c r="E114" s="1389" t="s">
        <v>1068</v>
      </c>
      <c r="F114" s="1187" t="s">
        <v>1698</v>
      </c>
      <c r="G114" s="1185" t="s">
        <v>3057</v>
      </c>
      <c r="H114" s="1188">
        <v>109637.4</v>
      </c>
      <c r="I114" s="1188">
        <v>110562</v>
      </c>
      <c r="J114" s="1189">
        <f t="shared" si="4"/>
        <v>924.60000000000582</v>
      </c>
      <c r="K114" s="1186">
        <v>2000</v>
      </c>
      <c r="L114" s="1186">
        <f t="shared" si="5"/>
        <v>1849200.0000000116</v>
      </c>
      <c r="M114" s="1186">
        <v>0</v>
      </c>
      <c r="N114" s="1191">
        <f t="shared" si="6"/>
        <v>18.492000000000118</v>
      </c>
      <c r="P114" t="s">
        <v>1701</v>
      </c>
    </row>
    <row r="115" spans="1:16">
      <c r="A115" s="1186">
        <v>109</v>
      </c>
      <c r="B115" s="1401"/>
      <c r="C115" s="1399"/>
      <c r="D115" s="1389"/>
      <c r="E115" s="1389"/>
      <c r="F115" s="1187" t="s">
        <v>1700</v>
      </c>
      <c r="G115" s="1185" t="s">
        <v>3057</v>
      </c>
      <c r="H115" s="1188">
        <v>14467.1</v>
      </c>
      <c r="I115" s="1188">
        <v>14758.9</v>
      </c>
      <c r="J115" s="1189">
        <f t="shared" si="4"/>
        <v>291.79999999999927</v>
      </c>
      <c r="K115" s="1186">
        <v>1333.3330000000001</v>
      </c>
      <c r="L115" s="1186">
        <f t="shared" si="5"/>
        <v>389066.56939999905</v>
      </c>
      <c r="M115" s="1186">
        <v>0</v>
      </c>
      <c r="N115" s="1191">
        <f t="shared" si="6"/>
        <v>3.8906656939999906</v>
      </c>
      <c r="P115" t="s">
        <v>1703</v>
      </c>
    </row>
    <row r="116" spans="1:16">
      <c r="A116" s="1186">
        <v>110</v>
      </c>
      <c r="B116" s="1401"/>
      <c r="C116" s="1399"/>
      <c r="D116" s="1389"/>
      <c r="E116" s="1389"/>
      <c r="F116" s="1187" t="s">
        <v>1702</v>
      </c>
      <c r="G116" s="1185" t="s">
        <v>3057</v>
      </c>
      <c r="H116" s="1188">
        <v>22350</v>
      </c>
      <c r="I116" s="1188">
        <v>22698.5</v>
      </c>
      <c r="J116" s="1189">
        <f t="shared" si="4"/>
        <v>348.5</v>
      </c>
      <c r="K116" s="1186">
        <v>2000</v>
      </c>
      <c r="L116" s="1186">
        <f t="shared" si="5"/>
        <v>697000</v>
      </c>
      <c r="M116" s="1186">
        <v>0</v>
      </c>
      <c r="N116" s="1191">
        <f t="shared" si="6"/>
        <v>6.97</v>
      </c>
      <c r="P116" t="s">
        <v>1704</v>
      </c>
    </row>
    <row r="117" spans="1:16">
      <c r="A117" s="1186">
        <v>111</v>
      </c>
      <c r="B117" s="1401"/>
      <c r="C117" s="1399"/>
      <c r="D117" s="1389"/>
      <c r="E117" s="1389"/>
      <c r="F117" s="1187" t="s">
        <v>1067</v>
      </c>
      <c r="G117" s="1185" t="s">
        <v>3057</v>
      </c>
      <c r="H117" s="1188">
        <v>47395.9</v>
      </c>
      <c r="I117" s="1188">
        <v>47806.9</v>
      </c>
      <c r="J117" s="1189">
        <f t="shared" si="4"/>
        <v>411</v>
      </c>
      <c r="K117" s="1186">
        <v>1000</v>
      </c>
      <c r="L117" s="1186">
        <f t="shared" si="5"/>
        <v>411000</v>
      </c>
      <c r="M117" s="1186">
        <v>0</v>
      </c>
      <c r="N117" s="1191">
        <f t="shared" si="6"/>
        <v>4.1100000000000003</v>
      </c>
      <c r="P117" t="s">
        <v>1720</v>
      </c>
    </row>
    <row r="118" spans="1:16">
      <c r="A118" s="1186">
        <v>112</v>
      </c>
      <c r="B118" s="1401"/>
      <c r="C118" s="1399"/>
      <c r="D118" s="1389" t="s">
        <v>2844</v>
      </c>
      <c r="E118" s="1395" t="s">
        <v>1078</v>
      </c>
      <c r="F118" s="1187" t="s">
        <v>1310</v>
      </c>
      <c r="G118" s="1185" t="s">
        <v>3057</v>
      </c>
      <c r="H118" s="1188">
        <v>135170.1</v>
      </c>
      <c r="I118" s="1188">
        <v>135618.1</v>
      </c>
      <c r="J118" s="1189">
        <f t="shared" si="4"/>
        <v>448</v>
      </c>
      <c r="K118" s="1186">
        <v>2000</v>
      </c>
      <c r="L118" s="1186">
        <f t="shared" si="5"/>
        <v>896000</v>
      </c>
      <c r="M118" s="1186">
        <v>0</v>
      </c>
      <c r="N118" s="1191">
        <f t="shared" si="6"/>
        <v>8.9600000000000009</v>
      </c>
      <c r="P118">
        <v>3300079</v>
      </c>
    </row>
    <row r="119" spans="1:16">
      <c r="A119" s="1186">
        <v>113</v>
      </c>
      <c r="B119" s="1401"/>
      <c r="C119" s="1399"/>
      <c r="D119" s="1389"/>
      <c r="E119" s="1396"/>
      <c r="F119" s="1187" t="s">
        <v>1721</v>
      </c>
      <c r="G119" s="1185" t="s">
        <v>3057</v>
      </c>
      <c r="H119" s="1188">
        <v>64965.3</v>
      </c>
      <c r="I119" s="1188">
        <v>82645</v>
      </c>
      <c r="J119" s="1189">
        <f t="shared" si="4"/>
        <v>17679.699999999997</v>
      </c>
      <c r="K119" s="1186">
        <v>20</v>
      </c>
      <c r="L119" s="1186">
        <f t="shared" si="5"/>
        <v>353593.99999999994</v>
      </c>
      <c r="M119" s="1186">
        <v>0</v>
      </c>
      <c r="N119" s="1191">
        <f t="shared" si="6"/>
        <v>3.5359399999999996</v>
      </c>
      <c r="P119" t="s">
        <v>1723</v>
      </c>
    </row>
    <row r="120" spans="1:16">
      <c r="A120" s="1186">
        <v>114</v>
      </c>
      <c r="B120" s="1401"/>
      <c r="C120" s="1399"/>
      <c r="D120" s="1389"/>
      <c r="E120" s="1396"/>
      <c r="F120" s="1187" t="s">
        <v>1722</v>
      </c>
      <c r="G120" s="1185" t="s">
        <v>3057</v>
      </c>
      <c r="H120" s="1188">
        <v>11715.07</v>
      </c>
      <c r="I120" s="1188">
        <v>11816</v>
      </c>
      <c r="J120" s="1189">
        <f t="shared" si="4"/>
        <v>100.93000000000029</v>
      </c>
      <c r="K120" s="1186">
        <v>6000</v>
      </c>
      <c r="L120" s="1186">
        <f t="shared" si="5"/>
        <v>605580.00000000175</v>
      </c>
      <c r="M120" s="1186">
        <v>791912.30769231101</v>
      </c>
      <c r="N120" s="1191">
        <f t="shared" si="6"/>
        <v>13.974923076923126</v>
      </c>
      <c r="P120" t="s">
        <v>2112</v>
      </c>
    </row>
    <row r="121" spans="1:16">
      <c r="A121" s="1186">
        <v>115</v>
      </c>
      <c r="B121" s="1401"/>
      <c r="C121" s="1399"/>
      <c r="D121" s="1192" t="s">
        <v>210</v>
      </c>
      <c r="E121" s="1396"/>
      <c r="F121" s="1187" t="s">
        <v>1724</v>
      </c>
      <c r="G121" s="1185" t="s">
        <v>3057</v>
      </c>
      <c r="H121" s="1188">
        <v>762.38</v>
      </c>
      <c r="I121" s="1188">
        <v>895.89</v>
      </c>
      <c r="J121" s="1189">
        <f t="shared" si="4"/>
        <v>133.51</v>
      </c>
      <c r="K121" s="1186">
        <v>6000</v>
      </c>
      <c r="L121" s="1186">
        <f t="shared" si="5"/>
        <v>801060</v>
      </c>
      <c r="M121" s="1186">
        <v>0</v>
      </c>
      <c r="N121" s="1191">
        <f t="shared" si="6"/>
        <v>8.0106000000000002</v>
      </c>
      <c r="P121" t="s">
        <v>1727</v>
      </c>
    </row>
    <row r="122" spans="1:16">
      <c r="A122" s="1186">
        <v>116</v>
      </c>
      <c r="B122" s="1401"/>
      <c r="C122" s="1399"/>
      <c r="D122" s="1389" t="s">
        <v>2844</v>
      </c>
      <c r="E122" s="1396"/>
      <c r="F122" s="1187" t="s">
        <v>1726</v>
      </c>
      <c r="G122" s="1185" t="s">
        <v>3057</v>
      </c>
      <c r="H122" s="1188">
        <v>71671.7</v>
      </c>
      <c r="I122" s="1188">
        <v>72046.5</v>
      </c>
      <c r="J122" s="1189">
        <f t="shared" si="4"/>
        <v>374.80000000000291</v>
      </c>
      <c r="K122" s="1186">
        <v>2000</v>
      </c>
      <c r="L122" s="1186">
        <f t="shared" si="5"/>
        <v>749600.00000000582</v>
      </c>
      <c r="M122" s="1186">
        <v>0</v>
      </c>
      <c r="N122" s="1191">
        <f t="shared" si="6"/>
        <v>7.4960000000000582</v>
      </c>
      <c r="P122" t="s">
        <v>1729</v>
      </c>
    </row>
    <row r="123" spans="1:16">
      <c r="A123" s="1186">
        <v>117</v>
      </c>
      <c r="B123" s="1401"/>
      <c r="C123" s="1399"/>
      <c r="D123" s="1389"/>
      <c r="E123" s="1396"/>
      <c r="F123" s="1187" t="s">
        <v>1728</v>
      </c>
      <c r="G123" s="1185" t="s">
        <v>3057</v>
      </c>
      <c r="H123" s="1188">
        <v>3419.51</v>
      </c>
      <c r="I123" s="1188">
        <v>3524.5</v>
      </c>
      <c r="J123" s="1189">
        <f t="shared" si="4"/>
        <v>104.98999999999978</v>
      </c>
      <c r="K123" s="1186">
        <v>6000</v>
      </c>
      <c r="L123" s="1186">
        <f t="shared" si="5"/>
        <v>629939.99999999872</v>
      </c>
      <c r="M123" s="1186">
        <v>19199.643900001305</v>
      </c>
      <c r="N123" s="1191">
        <f t="shared" si="6"/>
        <v>6.4913964389999999</v>
      </c>
      <c r="P123" t="s">
        <v>1731</v>
      </c>
    </row>
    <row r="124" spans="1:16">
      <c r="A124" s="1186">
        <v>118</v>
      </c>
      <c r="B124" s="1401"/>
      <c r="C124" s="1399"/>
      <c r="D124" s="1389"/>
      <c r="E124" s="1396"/>
      <c r="F124" s="1187" t="s">
        <v>1730</v>
      </c>
      <c r="G124" s="1185" t="s">
        <v>3057</v>
      </c>
      <c r="H124" s="1188">
        <v>1795.25</v>
      </c>
      <c r="I124" s="1188">
        <v>1815.84</v>
      </c>
      <c r="J124" s="1189">
        <f t="shared" si="4"/>
        <v>20.589999999999918</v>
      </c>
      <c r="K124" s="1186">
        <v>4000</v>
      </c>
      <c r="L124" s="1186">
        <f t="shared" si="5"/>
        <v>82359.99999999968</v>
      </c>
      <c r="M124" s="1186">
        <v>27038.438200000299</v>
      </c>
      <c r="N124" s="1191">
        <f t="shared" si="6"/>
        <v>1.0939843819999997</v>
      </c>
      <c r="P124" t="s">
        <v>2113</v>
      </c>
    </row>
    <row r="125" spans="1:16">
      <c r="A125" s="1186">
        <v>119</v>
      </c>
      <c r="B125" s="1401"/>
      <c r="C125" s="1399"/>
      <c r="D125" s="1389"/>
      <c r="E125" s="1397"/>
      <c r="F125" s="1187" t="s">
        <v>1077</v>
      </c>
      <c r="G125" s="1185" t="s">
        <v>3057</v>
      </c>
      <c r="H125" s="1188">
        <v>1089.42</v>
      </c>
      <c r="I125" s="1188">
        <v>1173.57</v>
      </c>
      <c r="J125" s="1189">
        <f t="shared" si="4"/>
        <v>84.149999999999864</v>
      </c>
      <c r="K125" s="1186">
        <v>4000</v>
      </c>
      <c r="L125" s="1186">
        <f t="shared" si="5"/>
        <v>336599.99999999948</v>
      </c>
      <c r="M125" s="1186">
        <v>0</v>
      </c>
      <c r="N125" s="1191">
        <f t="shared" si="6"/>
        <v>3.3659999999999948</v>
      </c>
      <c r="P125" t="s">
        <v>1738</v>
      </c>
    </row>
    <row r="126" spans="1:16">
      <c r="A126" s="1186">
        <v>120</v>
      </c>
      <c r="B126" s="1401"/>
      <c r="C126" s="1399"/>
      <c r="D126" s="1389"/>
      <c r="E126" s="1395" t="s">
        <v>1326</v>
      </c>
      <c r="F126" s="1187" t="s">
        <v>3076</v>
      </c>
      <c r="G126" s="1185" t="s">
        <v>3057</v>
      </c>
      <c r="H126" s="1188">
        <v>5764.72</v>
      </c>
      <c r="I126" s="1188">
        <v>5817.15</v>
      </c>
      <c r="J126" s="1189">
        <f t="shared" si="4"/>
        <v>52.429999999999382</v>
      </c>
      <c r="K126" s="1186">
        <v>20000</v>
      </c>
      <c r="L126" s="1186">
        <f t="shared" si="5"/>
        <v>1048599.9999999877</v>
      </c>
      <c r="M126" s="1186">
        <v>0</v>
      </c>
      <c r="N126" s="1191">
        <f t="shared" si="6"/>
        <v>10.485999999999876</v>
      </c>
      <c r="P126" t="s">
        <v>2115</v>
      </c>
    </row>
    <row r="127" spans="1:16">
      <c r="A127" s="1186">
        <v>121</v>
      </c>
      <c r="B127" s="1401"/>
      <c r="C127" s="1399"/>
      <c r="D127" s="1389"/>
      <c r="E127" s="1396"/>
      <c r="F127" s="1187" t="s">
        <v>3077</v>
      </c>
      <c r="G127" s="1185" t="s">
        <v>3057</v>
      </c>
      <c r="H127" s="1188">
        <v>1517936</v>
      </c>
      <c r="I127" s="1188">
        <v>1519747</v>
      </c>
      <c r="J127" s="1189">
        <f t="shared" si="4"/>
        <v>1811</v>
      </c>
      <c r="K127" s="1186">
        <v>60</v>
      </c>
      <c r="L127" s="1186">
        <f t="shared" si="5"/>
        <v>108660</v>
      </c>
      <c r="M127" s="1186">
        <v>0</v>
      </c>
      <c r="N127" s="1191">
        <f t="shared" si="6"/>
        <v>1.0866</v>
      </c>
      <c r="P127" t="s">
        <v>1742</v>
      </c>
    </row>
    <row r="128" spans="1:16">
      <c r="A128" s="1186">
        <v>122</v>
      </c>
      <c r="B128" s="1401"/>
      <c r="C128" s="1399"/>
      <c r="D128" s="1389"/>
      <c r="E128" s="1396"/>
      <c r="F128" s="1187" t="s">
        <v>3078</v>
      </c>
      <c r="G128" s="1185" t="s">
        <v>3057</v>
      </c>
      <c r="H128" s="1188">
        <v>67516</v>
      </c>
      <c r="I128" s="1188">
        <v>67652.399999999994</v>
      </c>
      <c r="J128" s="1189">
        <f t="shared" si="4"/>
        <v>136.39999999999418</v>
      </c>
      <c r="K128" s="1186">
        <v>2000</v>
      </c>
      <c r="L128" s="1186">
        <f t="shared" si="5"/>
        <v>272799.99999998836</v>
      </c>
      <c r="M128" s="1186">
        <v>142760.54770001164</v>
      </c>
      <c r="N128" s="1191">
        <f t="shared" si="6"/>
        <v>4.1556054769999999</v>
      </c>
    </row>
    <row r="129" spans="1:16">
      <c r="A129" s="1186">
        <v>123</v>
      </c>
      <c r="B129" s="1401"/>
      <c r="C129" s="1399"/>
      <c r="D129" s="1389"/>
      <c r="E129" s="1396"/>
      <c r="F129" s="1187" t="s">
        <v>2409</v>
      </c>
      <c r="G129" s="1185" t="s">
        <v>3057</v>
      </c>
      <c r="H129" s="1188">
        <v>6405.35</v>
      </c>
      <c r="I129" s="1188">
        <v>6435.99</v>
      </c>
      <c r="J129" s="1189">
        <f t="shared" si="4"/>
        <v>30.639999999999418</v>
      </c>
      <c r="K129" s="1186">
        <v>20000</v>
      </c>
      <c r="L129" s="1186">
        <f t="shared" si="5"/>
        <v>612799.99999998836</v>
      </c>
      <c r="M129" s="1186">
        <v>0</v>
      </c>
      <c r="N129" s="1191">
        <f t="shared" si="6"/>
        <v>6.1279999999998838</v>
      </c>
    </row>
    <row r="130" spans="1:16">
      <c r="A130" s="1186">
        <v>124</v>
      </c>
      <c r="B130" s="1401"/>
      <c r="C130" s="1399"/>
      <c r="D130" s="1389"/>
      <c r="E130" s="1396"/>
      <c r="F130" s="1199" t="s">
        <v>2117</v>
      </c>
      <c r="G130" s="1185" t="s">
        <v>3057</v>
      </c>
      <c r="H130" s="1188">
        <v>988012</v>
      </c>
      <c r="I130" s="1188">
        <v>992161</v>
      </c>
      <c r="J130" s="1189">
        <f t="shared" si="4"/>
        <v>4149</v>
      </c>
      <c r="K130" s="1186">
        <v>60</v>
      </c>
      <c r="L130" s="1186">
        <f t="shared" si="5"/>
        <v>248940</v>
      </c>
      <c r="M130" s="1186">
        <v>242797.30910000001</v>
      </c>
      <c r="N130" s="1191">
        <f t="shared" si="6"/>
        <v>4.917373091</v>
      </c>
      <c r="P130" t="s">
        <v>1744</v>
      </c>
    </row>
    <row r="131" spans="1:16">
      <c r="A131" s="1186">
        <v>125</v>
      </c>
      <c r="B131" s="1401"/>
      <c r="C131" s="1399"/>
      <c r="D131" s="1389"/>
      <c r="E131" s="1397"/>
      <c r="F131" s="1187" t="s">
        <v>1745</v>
      </c>
      <c r="G131" s="1185" t="s">
        <v>3057</v>
      </c>
      <c r="H131" s="1188">
        <v>1020.17</v>
      </c>
      <c r="I131" s="1188">
        <v>1040.07</v>
      </c>
      <c r="J131" s="1189">
        <f t="shared" si="4"/>
        <v>19.899999999999977</v>
      </c>
      <c r="K131" s="1186">
        <v>6000</v>
      </c>
      <c r="L131" s="1186">
        <f t="shared" si="5"/>
        <v>119399.99999999987</v>
      </c>
      <c r="M131" s="1186">
        <v>251519.66660000011</v>
      </c>
      <c r="N131" s="1191">
        <f t="shared" si="6"/>
        <v>3.709196666</v>
      </c>
      <c r="P131" t="s">
        <v>1754</v>
      </c>
    </row>
    <row r="132" spans="1:16">
      <c r="A132" s="1186">
        <v>126</v>
      </c>
      <c r="B132" s="1401"/>
      <c r="C132" s="1399"/>
      <c r="D132" s="1389"/>
      <c r="E132" s="1395" t="s">
        <v>1327</v>
      </c>
      <c r="F132" s="1199" t="s">
        <v>1753</v>
      </c>
      <c r="G132" s="1185" t="s">
        <v>3057</v>
      </c>
      <c r="H132" s="1188">
        <v>62472.4</v>
      </c>
      <c r="I132" s="1188">
        <v>62862.6</v>
      </c>
      <c r="J132" s="1189">
        <f t="shared" si="4"/>
        <v>390.19999999999709</v>
      </c>
      <c r="K132" s="1186">
        <v>2000</v>
      </c>
      <c r="L132" s="1186">
        <f t="shared" si="5"/>
        <v>780399.99999999418</v>
      </c>
      <c r="M132" s="1186">
        <v>34346.092700005858</v>
      </c>
      <c r="N132" s="1191">
        <f t="shared" si="6"/>
        <v>8.1474609270000009</v>
      </c>
      <c r="P132" t="s">
        <v>1756</v>
      </c>
    </row>
    <row r="133" spans="1:16">
      <c r="A133" s="1186">
        <v>127</v>
      </c>
      <c r="B133" s="1401"/>
      <c r="C133" s="1399"/>
      <c r="D133" s="1389"/>
      <c r="E133" s="1396"/>
      <c r="F133" s="1199" t="s">
        <v>1755</v>
      </c>
      <c r="G133" s="1185" t="s">
        <v>3057</v>
      </c>
      <c r="H133" s="1188">
        <v>2155.3000000000002</v>
      </c>
      <c r="I133" s="1188">
        <v>2175.02</v>
      </c>
      <c r="J133" s="1189">
        <f t="shared" si="4"/>
        <v>19.7199999999998</v>
      </c>
      <c r="K133" s="1186">
        <v>20000</v>
      </c>
      <c r="L133" s="1186">
        <f t="shared" si="5"/>
        <v>394399.99999999598</v>
      </c>
      <c r="M133" s="1186">
        <v>0</v>
      </c>
      <c r="N133" s="1191">
        <f t="shared" si="6"/>
        <v>3.94399999999996</v>
      </c>
      <c r="P133">
        <v>3190952</v>
      </c>
    </row>
    <row r="134" spans="1:16">
      <c r="A134" s="1186">
        <v>128</v>
      </c>
      <c r="B134" s="1401"/>
      <c r="C134" s="1399"/>
      <c r="D134" s="1389"/>
      <c r="E134" s="1396"/>
      <c r="F134" s="1199" t="s">
        <v>3079</v>
      </c>
      <c r="G134" s="1185" t="s">
        <v>3057</v>
      </c>
      <c r="H134" s="1188">
        <v>50782.1</v>
      </c>
      <c r="I134" s="1188">
        <v>55125.1</v>
      </c>
      <c r="J134" s="1189">
        <f t="shared" ref="J134:J197" si="7">I134-H134</f>
        <v>4343</v>
      </c>
      <c r="K134" s="1186">
        <v>200</v>
      </c>
      <c r="L134" s="1186"/>
      <c r="M134" s="1186">
        <v>0</v>
      </c>
      <c r="N134" s="1191">
        <f t="shared" si="6"/>
        <v>0</v>
      </c>
      <c r="P134" t="s">
        <v>1637</v>
      </c>
    </row>
    <row r="135" spans="1:16">
      <c r="A135" s="1186">
        <v>129</v>
      </c>
      <c r="B135" s="1401"/>
      <c r="C135" s="1399"/>
      <c r="D135" s="1389"/>
      <c r="E135" s="1396"/>
      <c r="F135" s="1199" t="s">
        <v>1758</v>
      </c>
      <c r="G135" s="1185" t="s">
        <v>3057</v>
      </c>
      <c r="H135" s="1188">
        <v>26596.6</v>
      </c>
      <c r="I135" s="1188">
        <v>29239.9</v>
      </c>
      <c r="J135" s="1189">
        <f t="shared" si="7"/>
        <v>2643.3000000000029</v>
      </c>
      <c r="K135" s="1186">
        <v>100</v>
      </c>
      <c r="L135" s="1186">
        <f t="shared" si="5"/>
        <v>264330.00000000029</v>
      </c>
      <c r="M135" s="1186">
        <v>0</v>
      </c>
      <c r="N135" s="1191">
        <f t="shared" si="6"/>
        <v>2.6433000000000031</v>
      </c>
      <c r="P135" t="s">
        <v>1786</v>
      </c>
    </row>
    <row r="136" spans="1:16">
      <c r="A136" s="1186">
        <v>130</v>
      </c>
      <c r="B136" s="1401"/>
      <c r="C136" s="1399"/>
      <c r="D136" s="1389"/>
      <c r="E136" s="1397"/>
      <c r="F136" s="1199" t="s">
        <v>1760</v>
      </c>
      <c r="G136" s="1185" t="s">
        <v>3057</v>
      </c>
      <c r="H136" s="1188">
        <v>60376.3</v>
      </c>
      <c r="I136" s="1188">
        <v>65203.6</v>
      </c>
      <c r="J136" s="1189">
        <f t="shared" si="7"/>
        <v>4827.2999999999956</v>
      </c>
      <c r="K136" s="1186">
        <v>100</v>
      </c>
      <c r="L136" s="1186">
        <f t="shared" si="5"/>
        <v>482729.99999999953</v>
      </c>
      <c r="M136" s="1186">
        <v>0</v>
      </c>
      <c r="N136" s="1191">
        <f t="shared" si="6"/>
        <v>4.8272999999999957</v>
      </c>
      <c r="P136" t="s">
        <v>1768</v>
      </c>
    </row>
    <row r="137" spans="1:16">
      <c r="A137" s="1186">
        <v>131</v>
      </c>
      <c r="B137" s="1401"/>
      <c r="C137" s="1399"/>
      <c r="D137" s="1389" t="s">
        <v>1068</v>
      </c>
      <c r="E137" s="1395" t="s">
        <v>167</v>
      </c>
      <c r="F137" s="1187" t="s">
        <v>167</v>
      </c>
      <c r="G137" s="1185" t="s">
        <v>3057</v>
      </c>
      <c r="H137" s="1188">
        <v>59444.33</v>
      </c>
      <c r="I137" s="1188">
        <v>60014.71</v>
      </c>
      <c r="J137" s="1189">
        <f t="shared" si="7"/>
        <v>570.37999999999738</v>
      </c>
      <c r="K137" s="1186">
        <v>3000</v>
      </c>
      <c r="L137" s="1186">
        <f t="shared" si="5"/>
        <v>1711139.9999999921</v>
      </c>
      <c r="M137" s="1186">
        <v>0</v>
      </c>
      <c r="N137" s="1191">
        <f t="shared" si="6"/>
        <v>17.111399999999922</v>
      </c>
      <c r="P137" t="s">
        <v>1770</v>
      </c>
    </row>
    <row r="138" spans="1:16">
      <c r="A138" s="1186">
        <v>132</v>
      </c>
      <c r="B138" s="1401"/>
      <c r="C138" s="1399"/>
      <c r="D138" s="1389"/>
      <c r="E138" s="1396"/>
      <c r="F138" s="1187" t="s">
        <v>1769</v>
      </c>
      <c r="G138" s="1185" t="s">
        <v>3057</v>
      </c>
      <c r="H138" s="1188">
        <v>45767.57</v>
      </c>
      <c r="I138" s="1188">
        <v>46104.77</v>
      </c>
      <c r="J138" s="1189">
        <f t="shared" si="7"/>
        <v>337.19999999999709</v>
      </c>
      <c r="K138" s="1186">
        <v>1500</v>
      </c>
      <c r="L138" s="1186">
        <f t="shared" ref="L138:L201" si="8">J138*K138</f>
        <v>505799.99999999563</v>
      </c>
      <c r="M138" s="1186">
        <v>0</v>
      </c>
      <c r="N138" s="1191">
        <f t="shared" ref="N138:N201" si="9">(L138+M138)/100000</f>
        <v>5.0579999999999563</v>
      </c>
      <c r="P138" t="s">
        <v>1772</v>
      </c>
    </row>
    <row r="139" spans="1:16">
      <c r="A139" s="1186">
        <v>133</v>
      </c>
      <c r="B139" s="1401"/>
      <c r="C139" s="1399"/>
      <c r="D139" s="1389"/>
      <c r="E139" s="1396"/>
      <c r="F139" s="1187" t="s">
        <v>1771</v>
      </c>
      <c r="G139" s="1185" t="s">
        <v>3057</v>
      </c>
      <c r="H139" s="1188">
        <v>46372.6</v>
      </c>
      <c r="I139" s="1188">
        <v>46857.5</v>
      </c>
      <c r="J139" s="1189">
        <f t="shared" si="7"/>
        <v>484.90000000000146</v>
      </c>
      <c r="K139" s="1186">
        <v>2000</v>
      </c>
      <c r="L139" s="1186">
        <f t="shared" si="8"/>
        <v>969800.00000000291</v>
      </c>
      <c r="M139" s="1186">
        <v>0</v>
      </c>
      <c r="N139" s="1191">
        <f t="shared" si="9"/>
        <v>9.6980000000000288</v>
      </c>
      <c r="P139" t="s">
        <v>1774</v>
      </c>
    </row>
    <row r="140" spans="1:16">
      <c r="A140" s="1186">
        <v>134</v>
      </c>
      <c r="B140" s="1401"/>
      <c r="C140" s="1399"/>
      <c r="D140" s="1389"/>
      <c r="E140" s="1397"/>
      <c r="F140" s="1187" t="s">
        <v>1773</v>
      </c>
      <c r="G140" s="1185" t="s">
        <v>3057</v>
      </c>
      <c r="H140" s="1188">
        <v>60853.5</v>
      </c>
      <c r="I140" s="1188">
        <v>60935.7</v>
      </c>
      <c r="J140" s="1189">
        <f t="shared" si="7"/>
        <v>82.19999999999709</v>
      </c>
      <c r="K140" s="1186">
        <v>1000</v>
      </c>
      <c r="L140" s="1186">
        <f t="shared" si="8"/>
        <v>82199.99999999709</v>
      </c>
      <c r="M140" s="1186">
        <v>125000</v>
      </c>
      <c r="N140" s="1191">
        <f t="shared" si="9"/>
        <v>2.0719999999999708</v>
      </c>
      <c r="P140" t="s">
        <v>1780</v>
      </c>
    </row>
    <row r="141" spans="1:16">
      <c r="A141" s="1186">
        <v>135</v>
      </c>
      <c r="B141" s="1401"/>
      <c r="C141" s="1399"/>
      <c r="D141" s="1391" t="s">
        <v>210</v>
      </c>
      <c r="E141" s="1395" t="s">
        <v>1328</v>
      </c>
      <c r="F141" s="1187" t="s">
        <v>3080</v>
      </c>
      <c r="G141" s="1185" t="s">
        <v>3057</v>
      </c>
      <c r="H141" s="1188">
        <v>4336.3599999999997</v>
      </c>
      <c r="I141" s="1188">
        <v>4375.24</v>
      </c>
      <c r="J141" s="1189">
        <f t="shared" si="7"/>
        <v>38.880000000000109</v>
      </c>
      <c r="K141" s="1186">
        <v>20000</v>
      </c>
      <c r="L141" s="1186">
        <f t="shared" si="8"/>
        <v>777600.00000000221</v>
      </c>
      <c r="M141" s="1186">
        <v>0</v>
      </c>
      <c r="N141" s="1191">
        <f t="shared" si="9"/>
        <v>7.776000000000022</v>
      </c>
      <c r="P141" t="s">
        <v>1782</v>
      </c>
    </row>
    <row r="142" spans="1:16">
      <c r="A142" s="1186">
        <v>136</v>
      </c>
      <c r="B142" s="1401"/>
      <c r="C142" s="1399"/>
      <c r="D142" s="1392"/>
      <c r="E142" s="1396"/>
      <c r="F142" s="1187" t="s">
        <v>3081</v>
      </c>
      <c r="G142" s="1185" t="s">
        <v>3057</v>
      </c>
      <c r="H142" s="1188">
        <v>105482.8</v>
      </c>
      <c r="I142" s="1188">
        <v>106934.5</v>
      </c>
      <c r="J142" s="1189">
        <f t="shared" si="7"/>
        <v>1451.6999999999971</v>
      </c>
      <c r="K142" s="1186">
        <v>666.66</v>
      </c>
      <c r="L142" s="1186">
        <f t="shared" si="8"/>
        <v>967790.32199999806</v>
      </c>
      <c r="M142" s="1186">
        <v>0</v>
      </c>
      <c r="N142" s="1191">
        <f t="shared" si="9"/>
        <v>9.6779032199999815</v>
      </c>
      <c r="P142" t="s">
        <v>1784</v>
      </c>
    </row>
    <row r="143" spans="1:16">
      <c r="A143" s="1186">
        <v>137</v>
      </c>
      <c r="B143" s="1401"/>
      <c r="C143" s="1399"/>
      <c r="D143" s="1392"/>
      <c r="E143" s="1396"/>
      <c r="F143" s="1200" t="s">
        <v>1783</v>
      </c>
      <c r="G143" s="1185" t="s">
        <v>3057</v>
      </c>
      <c r="H143" s="1188">
        <v>11723.7</v>
      </c>
      <c r="I143" s="1188">
        <v>11946.8</v>
      </c>
      <c r="J143" s="1189">
        <f t="shared" si="7"/>
        <v>223.09999999999854</v>
      </c>
      <c r="K143" s="1186">
        <v>2000</v>
      </c>
      <c r="L143" s="1186">
        <f t="shared" si="8"/>
        <v>446199.99999999709</v>
      </c>
      <c r="M143" s="1186">
        <v>0</v>
      </c>
      <c r="N143" s="1191">
        <f t="shared" si="9"/>
        <v>4.4619999999999713</v>
      </c>
      <c r="P143" t="s">
        <v>1838</v>
      </c>
    </row>
    <row r="144" spans="1:16">
      <c r="A144" s="1186">
        <v>138</v>
      </c>
      <c r="B144" s="1401"/>
      <c r="C144" s="1399"/>
      <c r="D144" s="1393"/>
      <c r="E144" s="1397"/>
      <c r="F144" s="1195" t="s">
        <v>1785</v>
      </c>
      <c r="G144" s="1185" t="s">
        <v>3057</v>
      </c>
      <c r="H144" s="1188">
        <v>2778.12</v>
      </c>
      <c r="I144" s="1188">
        <v>2811.85</v>
      </c>
      <c r="J144" s="1189">
        <f t="shared" si="7"/>
        <v>33.730000000000018</v>
      </c>
      <c r="K144" s="1186">
        <v>20000</v>
      </c>
      <c r="L144" s="1186">
        <f t="shared" si="8"/>
        <v>674600.00000000035</v>
      </c>
      <c r="M144" s="1186">
        <v>0</v>
      </c>
      <c r="N144" s="1191">
        <f t="shared" si="9"/>
        <v>6.7460000000000031</v>
      </c>
      <c r="P144" t="s">
        <v>1800</v>
      </c>
    </row>
    <row r="145" spans="1:16">
      <c r="A145" s="1186">
        <v>139</v>
      </c>
      <c r="B145" s="1401"/>
      <c r="C145" s="1399"/>
      <c r="D145" s="1389" t="s">
        <v>2844</v>
      </c>
      <c r="E145" s="1395" t="s">
        <v>1329</v>
      </c>
      <c r="F145" s="1187" t="s">
        <v>1799</v>
      </c>
      <c r="G145" s="1185" t="s">
        <v>3057</v>
      </c>
      <c r="H145" s="1188">
        <v>17496.310000000001</v>
      </c>
      <c r="I145" s="1188">
        <v>17648.689999999999</v>
      </c>
      <c r="J145" s="1189">
        <f t="shared" si="7"/>
        <v>152.37999999999738</v>
      </c>
      <c r="K145" s="1186">
        <v>6666</v>
      </c>
      <c r="L145" s="1186">
        <f t="shared" si="8"/>
        <v>1015765.0799999825</v>
      </c>
      <c r="M145" s="1186">
        <v>31742.097000000998</v>
      </c>
      <c r="N145" s="1191">
        <f t="shared" si="9"/>
        <v>10.475071769999834</v>
      </c>
      <c r="P145" t="s">
        <v>1802</v>
      </c>
    </row>
    <row r="146" spans="1:16">
      <c r="A146" s="1186">
        <v>140</v>
      </c>
      <c r="B146" s="1401"/>
      <c r="C146" s="1399"/>
      <c r="D146" s="1389"/>
      <c r="E146" s="1397"/>
      <c r="F146" s="1194" t="s">
        <v>3082</v>
      </c>
      <c r="G146" s="1185" t="s">
        <v>3057</v>
      </c>
      <c r="H146" s="1188">
        <v>172414.5</v>
      </c>
      <c r="I146" s="1188">
        <v>178589</v>
      </c>
      <c r="J146" s="1189">
        <f t="shared" si="7"/>
        <v>6174.5</v>
      </c>
      <c r="K146" s="1186">
        <v>60</v>
      </c>
      <c r="L146" s="1186">
        <f t="shared" si="8"/>
        <v>370470</v>
      </c>
      <c r="M146" s="1186">
        <v>65010.435200000007</v>
      </c>
      <c r="N146" s="1191">
        <f t="shared" si="9"/>
        <v>4.3548043520000004</v>
      </c>
      <c r="P146" t="s">
        <v>1807</v>
      </c>
    </row>
    <row r="147" spans="1:16">
      <c r="A147" s="1186">
        <v>141</v>
      </c>
      <c r="B147" s="1401"/>
      <c r="C147" s="1399"/>
      <c r="D147" s="1389" t="s">
        <v>924</v>
      </c>
      <c r="E147" s="1395" t="s">
        <v>1812</v>
      </c>
      <c r="F147" s="1187" t="s">
        <v>1806</v>
      </c>
      <c r="G147" s="1185" t="s">
        <v>3057</v>
      </c>
      <c r="H147" s="1188">
        <v>21309.4</v>
      </c>
      <c r="I147" s="1188">
        <v>21515.7</v>
      </c>
      <c r="J147" s="1189">
        <f t="shared" si="7"/>
        <v>206.29999999999927</v>
      </c>
      <c r="K147" s="1186">
        <v>2000</v>
      </c>
      <c r="L147" s="1186">
        <f t="shared" si="8"/>
        <v>412599.99999999854</v>
      </c>
      <c r="M147" s="1186">
        <v>0</v>
      </c>
      <c r="N147" s="1191">
        <f t="shared" si="9"/>
        <v>4.1259999999999852</v>
      </c>
      <c r="P147" t="s">
        <v>1810</v>
      </c>
    </row>
    <row r="148" spans="1:16">
      <c r="A148" s="1186">
        <v>142</v>
      </c>
      <c r="B148" s="1401"/>
      <c r="C148" s="1399"/>
      <c r="D148" s="1389"/>
      <c r="E148" s="1396"/>
      <c r="F148" s="1187" t="s">
        <v>1809</v>
      </c>
      <c r="G148" s="1185" t="s">
        <v>3057</v>
      </c>
      <c r="H148" s="1188">
        <v>38015.1</v>
      </c>
      <c r="I148" s="1188">
        <v>38523.599999999999</v>
      </c>
      <c r="J148" s="1189">
        <f t="shared" si="7"/>
        <v>508.5</v>
      </c>
      <c r="K148" s="1186">
        <v>1333.3330000000001</v>
      </c>
      <c r="L148" s="1186">
        <f t="shared" si="8"/>
        <v>677999.83050000004</v>
      </c>
      <c r="M148" s="1186">
        <v>0</v>
      </c>
      <c r="N148" s="1191">
        <f t="shared" si="9"/>
        <v>6.7799983050000003</v>
      </c>
      <c r="P148" t="s">
        <v>1813</v>
      </c>
    </row>
    <row r="149" spans="1:16">
      <c r="A149" s="1186">
        <v>143</v>
      </c>
      <c r="B149" s="1401"/>
      <c r="C149" s="1399"/>
      <c r="D149" s="1389"/>
      <c r="E149" s="1397"/>
      <c r="F149" s="1187" t="s">
        <v>1812</v>
      </c>
      <c r="G149" s="1185" t="s">
        <v>3057</v>
      </c>
      <c r="H149" s="1188">
        <v>30859.9</v>
      </c>
      <c r="I149" s="1188">
        <v>31169.5</v>
      </c>
      <c r="J149" s="1189">
        <f t="shared" si="7"/>
        <v>309.59999999999854</v>
      </c>
      <c r="K149" s="1186">
        <v>2000</v>
      </c>
      <c r="L149" s="1186">
        <f t="shared" si="8"/>
        <v>619199.99999999709</v>
      </c>
      <c r="M149" s="1186">
        <v>0</v>
      </c>
      <c r="N149" s="1191">
        <f t="shared" si="9"/>
        <v>6.1919999999999709</v>
      </c>
      <c r="P149" t="s">
        <v>1818</v>
      </c>
    </row>
    <row r="150" spans="1:16">
      <c r="A150" s="1186">
        <v>144</v>
      </c>
      <c r="B150" s="1401"/>
      <c r="C150" s="1399"/>
      <c r="D150" s="1389"/>
      <c r="E150" s="1395" t="s">
        <v>1817</v>
      </c>
      <c r="F150" s="1187" t="s">
        <v>1817</v>
      </c>
      <c r="G150" s="1185" t="s">
        <v>3057</v>
      </c>
      <c r="H150" s="1188">
        <v>40486.800000000003</v>
      </c>
      <c r="I150" s="1188">
        <v>40745.599999999999</v>
      </c>
      <c r="J150" s="1189">
        <f t="shared" si="7"/>
        <v>258.79999999999563</v>
      </c>
      <c r="K150" s="1186">
        <v>2000</v>
      </c>
      <c r="L150" s="1186">
        <f t="shared" si="8"/>
        <v>517599.99999999127</v>
      </c>
      <c r="M150" s="1186">
        <v>280000</v>
      </c>
      <c r="N150" s="1191">
        <f t="shared" si="9"/>
        <v>7.9759999999999129</v>
      </c>
      <c r="P150" t="s">
        <v>1820</v>
      </c>
    </row>
    <row r="151" spans="1:16">
      <c r="A151" s="1186">
        <v>145</v>
      </c>
      <c r="B151" s="1401"/>
      <c r="C151" s="1399"/>
      <c r="D151" s="1389"/>
      <c r="E151" s="1396"/>
      <c r="F151" s="1187" t="s">
        <v>1819</v>
      </c>
      <c r="G151" s="1185" t="s">
        <v>3057</v>
      </c>
      <c r="H151" s="1188">
        <v>16731.3</v>
      </c>
      <c r="I151" s="1188">
        <v>16930.900000000001</v>
      </c>
      <c r="J151" s="1189">
        <f t="shared" si="7"/>
        <v>199.60000000000218</v>
      </c>
      <c r="K151" s="1186">
        <v>2000</v>
      </c>
      <c r="L151" s="1186">
        <f t="shared" si="8"/>
        <v>399200.00000000437</v>
      </c>
      <c r="M151" s="1186">
        <v>0</v>
      </c>
      <c r="N151" s="1191">
        <f t="shared" si="9"/>
        <v>3.9920000000000435</v>
      </c>
      <c r="P151" t="s">
        <v>1822</v>
      </c>
    </row>
    <row r="152" spans="1:16">
      <c r="A152" s="1186">
        <v>146</v>
      </c>
      <c r="B152" s="1401"/>
      <c r="C152" s="1399"/>
      <c r="D152" s="1389"/>
      <c r="E152" s="1397"/>
      <c r="F152" s="1187" t="s">
        <v>1821</v>
      </c>
      <c r="G152" s="1185" t="s">
        <v>3057</v>
      </c>
      <c r="H152" s="1188">
        <v>1426.3</v>
      </c>
      <c r="I152" s="1188">
        <v>1441.1</v>
      </c>
      <c r="J152" s="1189">
        <f t="shared" si="7"/>
        <v>14.799999999999955</v>
      </c>
      <c r="K152" s="1186">
        <v>1000</v>
      </c>
      <c r="L152" s="1186">
        <f t="shared" si="8"/>
        <v>14799.999999999955</v>
      </c>
      <c r="M152" s="1186">
        <v>15280.000000000045</v>
      </c>
      <c r="N152" s="1191">
        <f t="shared" si="9"/>
        <v>0.30080000000000001</v>
      </c>
      <c r="P152" t="s">
        <v>1827</v>
      </c>
    </row>
    <row r="153" spans="1:16">
      <c r="A153" s="1186">
        <v>147</v>
      </c>
      <c r="B153" s="1401"/>
      <c r="C153" s="1399"/>
      <c r="D153" s="1389" t="s">
        <v>1068</v>
      </c>
      <c r="E153" s="1395" t="s">
        <v>3083</v>
      </c>
      <c r="F153" s="1187" t="s">
        <v>3084</v>
      </c>
      <c r="G153" s="1185" t="s">
        <v>3057</v>
      </c>
      <c r="H153" s="1188">
        <v>4421</v>
      </c>
      <c r="I153" s="1188">
        <v>4468.2</v>
      </c>
      <c r="J153" s="1189">
        <f t="shared" si="7"/>
        <v>47.199999999999818</v>
      </c>
      <c r="K153" s="1186">
        <v>1333.3330000000001</v>
      </c>
      <c r="L153" s="1186">
        <f t="shared" si="8"/>
        <v>62933.317599999762</v>
      </c>
      <c r="M153" s="1186">
        <v>0</v>
      </c>
      <c r="N153" s="1191">
        <f t="shared" si="9"/>
        <v>0.62933317599999761</v>
      </c>
      <c r="P153" t="s">
        <v>1829</v>
      </c>
    </row>
    <row r="154" spans="1:16">
      <c r="A154" s="1186">
        <v>148</v>
      </c>
      <c r="B154" s="1401"/>
      <c r="C154" s="1399"/>
      <c r="D154" s="1389"/>
      <c r="E154" s="1396"/>
      <c r="F154" s="1187" t="s">
        <v>3085</v>
      </c>
      <c r="G154" s="1185" t="s">
        <v>3057</v>
      </c>
      <c r="H154" s="1188">
        <v>12993.3</v>
      </c>
      <c r="I154" s="1188">
        <v>13269.2</v>
      </c>
      <c r="J154" s="1189">
        <f t="shared" si="7"/>
        <v>275.90000000000146</v>
      </c>
      <c r="K154" s="1186">
        <v>666.66600000000005</v>
      </c>
      <c r="L154" s="1186">
        <f t="shared" si="8"/>
        <v>183933.14940000098</v>
      </c>
      <c r="M154" s="1186">
        <v>0</v>
      </c>
      <c r="N154" s="1191">
        <f t="shared" si="9"/>
        <v>1.8393314940000098</v>
      </c>
      <c r="P154" t="s">
        <v>1831</v>
      </c>
    </row>
    <row r="155" spans="1:16">
      <c r="A155" s="1186">
        <v>149</v>
      </c>
      <c r="B155" s="1401"/>
      <c r="C155" s="1399"/>
      <c r="D155" s="1389"/>
      <c r="E155" s="1396"/>
      <c r="F155" s="1187" t="s">
        <v>3086</v>
      </c>
      <c r="G155" s="1185" t="s">
        <v>3057</v>
      </c>
      <c r="H155" s="1188">
        <v>5857</v>
      </c>
      <c r="I155" s="1188">
        <v>6377.5</v>
      </c>
      <c r="J155" s="1189">
        <f t="shared" si="7"/>
        <v>520.5</v>
      </c>
      <c r="K155" s="1186">
        <v>1333.33</v>
      </c>
      <c r="L155" s="1186">
        <f t="shared" si="8"/>
        <v>693998.26500000001</v>
      </c>
      <c r="M155" s="1186">
        <v>0</v>
      </c>
      <c r="N155" s="1191">
        <f t="shared" si="9"/>
        <v>6.9399826500000001</v>
      </c>
      <c r="P155">
        <v>3300077</v>
      </c>
    </row>
    <row r="156" spans="1:16">
      <c r="A156" s="1186">
        <v>150</v>
      </c>
      <c r="B156" s="1401"/>
      <c r="C156" s="1399"/>
      <c r="D156" s="1389"/>
      <c r="E156" s="1397"/>
      <c r="F156" s="1187" t="s">
        <v>3087</v>
      </c>
      <c r="G156" s="1185" t="s">
        <v>3057</v>
      </c>
      <c r="H156" s="1188">
        <v>347904.1</v>
      </c>
      <c r="I156" s="1188">
        <v>359982.1</v>
      </c>
      <c r="J156" s="1189">
        <f t="shared" si="7"/>
        <v>12078</v>
      </c>
      <c r="K156" s="1186">
        <v>13.333333</v>
      </c>
      <c r="L156" s="1186">
        <f t="shared" si="8"/>
        <v>161039.99597399999</v>
      </c>
      <c r="M156" s="1186">
        <v>0</v>
      </c>
      <c r="N156" s="1191">
        <f t="shared" si="9"/>
        <v>1.6103999597399998</v>
      </c>
      <c r="P156">
        <v>9916388</v>
      </c>
    </row>
    <row r="157" spans="1:16">
      <c r="A157" s="1186">
        <v>151</v>
      </c>
      <c r="B157" s="1401"/>
      <c r="C157" s="1399"/>
      <c r="D157" s="1391" t="s">
        <v>210</v>
      </c>
      <c r="E157" s="1395" t="s">
        <v>1334</v>
      </c>
      <c r="F157" s="1187" t="s">
        <v>1836</v>
      </c>
      <c r="G157" s="1185" t="s">
        <v>3057</v>
      </c>
      <c r="H157" s="1188">
        <v>1004209.5</v>
      </c>
      <c r="I157" s="1188">
        <v>1022207.8</v>
      </c>
      <c r="J157" s="1189">
        <f t="shared" si="7"/>
        <v>17998.300000000047</v>
      </c>
      <c r="K157" s="1186">
        <v>40</v>
      </c>
      <c r="L157" s="1186">
        <f t="shared" si="8"/>
        <v>719932.00000000186</v>
      </c>
      <c r="M157" s="1186">
        <v>0</v>
      </c>
      <c r="N157" s="1191">
        <f t="shared" si="9"/>
        <v>7.1993200000000188</v>
      </c>
      <c r="P157" t="s">
        <v>2120</v>
      </c>
    </row>
    <row r="158" spans="1:16">
      <c r="A158" s="1186">
        <v>152</v>
      </c>
      <c r="B158" s="1401"/>
      <c r="C158" s="1399"/>
      <c r="D158" s="1392"/>
      <c r="E158" s="1396"/>
      <c r="F158" s="1187" t="s">
        <v>1837</v>
      </c>
      <c r="G158" s="1185" t="s">
        <v>3057</v>
      </c>
      <c r="H158" s="1188">
        <v>5894.28</v>
      </c>
      <c r="I158" s="1188">
        <v>6101.64</v>
      </c>
      <c r="J158" s="1189">
        <f t="shared" si="7"/>
        <v>207.36000000000058</v>
      </c>
      <c r="K158" s="1186">
        <v>6000</v>
      </c>
      <c r="L158" s="1186">
        <f t="shared" si="8"/>
        <v>1244160.0000000035</v>
      </c>
      <c r="M158" s="1186">
        <v>0</v>
      </c>
      <c r="N158" s="1191">
        <f t="shared" si="9"/>
        <v>12.441600000000035</v>
      </c>
      <c r="P158">
        <v>9916393</v>
      </c>
    </row>
    <row r="159" spans="1:16">
      <c r="A159" s="1186">
        <v>153</v>
      </c>
      <c r="B159" s="1401"/>
      <c r="C159" s="1399"/>
      <c r="D159" s="1392"/>
      <c r="E159" s="1396"/>
      <c r="F159" s="1201" t="s">
        <v>1839</v>
      </c>
      <c r="G159" s="1185" t="s">
        <v>3057</v>
      </c>
      <c r="H159" s="1188">
        <v>200988.2</v>
      </c>
      <c r="I159" s="1188">
        <v>200988.2</v>
      </c>
      <c r="J159" s="1189">
        <f t="shared" si="7"/>
        <v>0</v>
      </c>
      <c r="K159" s="1186">
        <v>40</v>
      </c>
      <c r="L159" s="1186">
        <f t="shared" si="8"/>
        <v>0</v>
      </c>
      <c r="M159" s="1186">
        <v>574599.9999999986</v>
      </c>
      <c r="N159" s="1191">
        <f t="shared" si="9"/>
        <v>5.7459999999999862</v>
      </c>
      <c r="P159">
        <v>9916390</v>
      </c>
    </row>
    <row r="160" spans="1:16">
      <c r="A160" s="1186">
        <v>154</v>
      </c>
      <c r="B160" s="1401"/>
      <c r="C160" s="1399"/>
      <c r="D160" s="1392"/>
      <c r="E160" s="1396"/>
      <c r="F160" s="1187" t="s">
        <v>1841</v>
      </c>
      <c r="G160" s="1185" t="s">
        <v>3057</v>
      </c>
      <c r="H160" s="1188">
        <v>699040.5</v>
      </c>
      <c r="I160" s="1188">
        <v>712256.4</v>
      </c>
      <c r="J160" s="1189">
        <f t="shared" si="7"/>
        <v>13215.900000000023</v>
      </c>
      <c r="K160" s="1186">
        <v>40</v>
      </c>
      <c r="L160" s="1186">
        <f t="shared" si="8"/>
        <v>528636.00000000093</v>
      </c>
      <c r="M160" s="1186">
        <v>0</v>
      </c>
      <c r="N160" s="1191">
        <f t="shared" si="9"/>
        <v>5.2863600000000091</v>
      </c>
      <c r="P160" t="s">
        <v>1843</v>
      </c>
    </row>
    <row r="161" spans="1:16">
      <c r="A161" s="1186">
        <v>155</v>
      </c>
      <c r="B161" s="1401"/>
      <c r="C161" s="1399"/>
      <c r="D161" s="1393"/>
      <c r="E161" s="1397"/>
      <c r="F161" s="1201" t="s">
        <v>3088</v>
      </c>
      <c r="G161" s="1185" t="s">
        <v>3057</v>
      </c>
      <c r="H161" s="1188">
        <v>47404.1</v>
      </c>
      <c r="I161" s="1188">
        <v>48008.800000000003</v>
      </c>
      <c r="J161" s="1189">
        <f t="shared" si="7"/>
        <v>604.70000000000437</v>
      </c>
      <c r="K161" s="1186">
        <v>1333.3330000000001</v>
      </c>
      <c r="L161" s="1186">
        <f t="shared" si="8"/>
        <v>806266.46510000585</v>
      </c>
      <c r="M161" s="1186">
        <v>0</v>
      </c>
      <c r="N161" s="1191">
        <f t="shared" si="9"/>
        <v>8.062664651000059</v>
      </c>
      <c r="P161" t="s">
        <v>1846</v>
      </c>
    </row>
    <row r="162" spans="1:16">
      <c r="A162" s="1186">
        <v>156</v>
      </c>
      <c r="B162" s="1401"/>
      <c r="C162" s="1399"/>
      <c r="D162" s="1389" t="s">
        <v>2844</v>
      </c>
      <c r="E162" s="1395" t="s">
        <v>3089</v>
      </c>
      <c r="F162" s="1187" t="s">
        <v>3089</v>
      </c>
      <c r="G162" s="1185" t="s">
        <v>3057</v>
      </c>
      <c r="H162" s="1188">
        <v>31863.3</v>
      </c>
      <c r="I162" s="1188">
        <v>32192.799999999999</v>
      </c>
      <c r="J162" s="1189">
        <f t="shared" si="7"/>
        <v>329.5</v>
      </c>
      <c r="K162" s="1186">
        <v>1333.33</v>
      </c>
      <c r="L162" s="1186">
        <f t="shared" si="8"/>
        <v>439332.23499999999</v>
      </c>
      <c r="M162" s="1186">
        <v>0</v>
      </c>
      <c r="N162" s="1191">
        <f t="shared" si="9"/>
        <v>4.39332235</v>
      </c>
      <c r="P162" t="s">
        <v>1847</v>
      </c>
    </row>
    <row r="163" spans="1:16">
      <c r="A163" s="1186">
        <v>157</v>
      </c>
      <c r="B163" s="1401"/>
      <c r="C163" s="1399"/>
      <c r="D163" s="1389"/>
      <c r="E163" s="1397"/>
      <c r="F163" s="1187" t="s">
        <v>3090</v>
      </c>
      <c r="G163" s="1185" t="s">
        <v>3057</v>
      </c>
      <c r="H163" s="1188">
        <v>38949.4</v>
      </c>
      <c r="I163" s="1188">
        <v>39510.199999999997</v>
      </c>
      <c r="J163" s="1189">
        <f t="shared" si="7"/>
        <v>560.79999999999563</v>
      </c>
      <c r="K163" s="1186">
        <v>1333.33</v>
      </c>
      <c r="L163" s="1186">
        <f t="shared" si="8"/>
        <v>747731.4639999941</v>
      </c>
      <c r="M163" s="1186">
        <v>0</v>
      </c>
      <c r="N163" s="1191">
        <f t="shared" si="9"/>
        <v>7.4773146399999408</v>
      </c>
      <c r="P163" t="s">
        <v>1850</v>
      </c>
    </row>
    <row r="164" spans="1:16">
      <c r="A164" s="1186">
        <v>158</v>
      </c>
      <c r="B164" s="1401"/>
      <c r="C164" s="1399"/>
      <c r="D164" s="1389" t="s">
        <v>924</v>
      </c>
      <c r="E164" s="1395" t="s">
        <v>927</v>
      </c>
      <c r="F164" s="1187" t="s">
        <v>927</v>
      </c>
      <c r="G164" s="1185" t="s">
        <v>3057</v>
      </c>
      <c r="H164" s="1188">
        <v>5392.63</v>
      </c>
      <c r="I164" s="1188">
        <v>5463.26</v>
      </c>
      <c r="J164" s="1189">
        <f t="shared" si="7"/>
        <v>70.630000000000109</v>
      </c>
      <c r="K164" s="1186">
        <v>6000</v>
      </c>
      <c r="L164" s="1186">
        <f t="shared" si="8"/>
        <v>423780.00000000064</v>
      </c>
      <c r="M164" s="1186">
        <v>0</v>
      </c>
      <c r="N164" s="1191">
        <f t="shared" si="9"/>
        <v>4.2378000000000062</v>
      </c>
      <c r="P164" t="s">
        <v>1852</v>
      </c>
    </row>
    <row r="165" spans="1:16">
      <c r="A165" s="1186">
        <v>159</v>
      </c>
      <c r="B165" s="1401"/>
      <c r="C165" s="1399"/>
      <c r="D165" s="1389"/>
      <c r="E165" s="1396"/>
      <c r="F165" s="1187" t="s">
        <v>1851</v>
      </c>
      <c r="G165" s="1185" t="s">
        <v>3057</v>
      </c>
      <c r="H165" s="1188">
        <v>8210.57</v>
      </c>
      <c r="I165" s="1188">
        <v>8339.98</v>
      </c>
      <c r="J165" s="1189">
        <f t="shared" si="7"/>
        <v>129.40999999999985</v>
      </c>
      <c r="K165" s="1186">
        <v>6000</v>
      </c>
      <c r="L165" s="1186">
        <f t="shared" si="8"/>
        <v>776459.99999999907</v>
      </c>
      <c r="M165" s="1186">
        <v>37738.240600000951</v>
      </c>
      <c r="N165" s="1191">
        <f t="shared" si="9"/>
        <v>8.1419824060000003</v>
      </c>
      <c r="P165" t="s">
        <v>1854</v>
      </c>
    </row>
    <row r="166" spans="1:16">
      <c r="A166" s="1186">
        <v>160</v>
      </c>
      <c r="B166" s="1401"/>
      <c r="C166" s="1399"/>
      <c r="D166" s="1389"/>
      <c r="E166" s="1397"/>
      <c r="F166" s="1187" t="s">
        <v>2486</v>
      </c>
      <c r="G166" s="1185" t="s">
        <v>3057</v>
      </c>
      <c r="H166" s="1188">
        <v>4109.6899999999996</v>
      </c>
      <c r="I166" s="1188">
        <v>4184.8900000000003</v>
      </c>
      <c r="J166" s="1189">
        <f t="shared" si="7"/>
        <v>75.200000000000728</v>
      </c>
      <c r="K166" s="1186">
        <v>6000</v>
      </c>
      <c r="L166" s="1186">
        <f t="shared" si="8"/>
        <v>451200.00000000437</v>
      </c>
      <c r="M166" s="1186">
        <v>0</v>
      </c>
      <c r="N166" s="1191">
        <f t="shared" si="9"/>
        <v>4.512000000000044</v>
      </c>
      <c r="P166" t="s">
        <v>1858</v>
      </c>
    </row>
    <row r="167" spans="1:16">
      <c r="A167" s="1186">
        <v>161</v>
      </c>
      <c r="B167" s="1401"/>
      <c r="C167" s="1399"/>
      <c r="D167" s="1389" t="s">
        <v>2844</v>
      </c>
      <c r="E167" s="1395" t="s">
        <v>1336</v>
      </c>
      <c r="F167" s="1187" t="s">
        <v>1336</v>
      </c>
      <c r="G167" s="1185" t="s">
        <v>3057</v>
      </c>
      <c r="H167" s="1188">
        <v>11038.13</v>
      </c>
      <c r="I167" s="1188">
        <v>11286.38</v>
      </c>
      <c r="J167" s="1189">
        <f t="shared" si="7"/>
        <v>248.25</v>
      </c>
      <c r="K167" s="1186">
        <v>6000</v>
      </c>
      <c r="L167" s="1186">
        <f t="shared" si="8"/>
        <v>1489500</v>
      </c>
      <c r="M167" s="1186">
        <v>0</v>
      </c>
      <c r="N167" s="1191">
        <f t="shared" si="9"/>
        <v>14.895</v>
      </c>
      <c r="P167" t="s">
        <v>1860</v>
      </c>
    </row>
    <row r="168" spans="1:16">
      <c r="A168" s="1186">
        <v>162</v>
      </c>
      <c r="B168" s="1401"/>
      <c r="C168" s="1399"/>
      <c r="D168" s="1389"/>
      <c r="E168" s="1396"/>
      <c r="F168" s="1187" t="s">
        <v>1859</v>
      </c>
      <c r="G168" s="1185" t="s">
        <v>3057</v>
      </c>
      <c r="H168" s="1188">
        <v>7270.82</v>
      </c>
      <c r="I168" s="1188">
        <v>7360.88</v>
      </c>
      <c r="J168" s="1189">
        <f t="shared" si="7"/>
        <v>90.0600000000004</v>
      </c>
      <c r="K168" s="1186">
        <v>6000</v>
      </c>
      <c r="L168" s="1186">
        <f t="shared" si="8"/>
        <v>540360.00000000244</v>
      </c>
      <c r="M168" s="1186">
        <v>0</v>
      </c>
      <c r="N168" s="1191">
        <f t="shared" si="9"/>
        <v>5.4036000000000248</v>
      </c>
      <c r="P168" t="s">
        <v>1862</v>
      </c>
    </row>
    <row r="169" spans="1:16">
      <c r="A169" s="1186">
        <v>163</v>
      </c>
      <c r="B169" s="1401"/>
      <c r="C169" s="1399"/>
      <c r="D169" s="1389"/>
      <c r="E169" s="1397"/>
      <c r="F169" s="1187" t="s">
        <v>1861</v>
      </c>
      <c r="G169" s="1185" t="s">
        <v>3057</v>
      </c>
      <c r="H169" s="1188">
        <v>5399.91</v>
      </c>
      <c r="I169" s="1188">
        <v>5529.45</v>
      </c>
      <c r="J169" s="1189">
        <f t="shared" si="7"/>
        <v>129.53999999999996</v>
      </c>
      <c r="K169" s="1186">
        <v>6000</v>
      </c>
      <c r="L169" s="1186">
        <f t="shared" si="8"/>
        <v>777239.99999999977</v>
      </c>
      <c r="M169" s="1186">
        <v>0</v>
      </c>
      <c r="N169" s="1191">
        <f t="shared" si="9"/>
        <v>7.7723999999999975</v>
      </c>
      <c r="P169" t="s">
        <v>1866</v>
      </c>
    </row>
    <row r="170" spans="1:16">
      <c r="A170" s="1186">
        <v>164</v>
      </c>
      <c r="B170" s="1401"/>
      <c r="C170" s="1399"/>
      <c r="D170" s="1389" t="s">
        <v>979</v>
      </c>
      <c r="E170" s="1395" t="s">
        <v>1337</v>
      </c>
      <c r="F170" s="1202" t="s">
        <v>1865</v>
      </c>
      <c r="G170" s="1185" t="s">
        <v>3057</v>
      </c>
      <c r="H170" s="1188">
        <v>7184</v>
      </c>
      <c r="I170" s="1188">
        <v>7376.5</v>
      </c>
      <c r="J170" s="1189">
        <f t="shared" si="7"/>
        <v>192.5</v>
      </c>
      <c r="K170" s="1186">
        <v>40</v>
      </c>
      <c r="L170" s="1186">
        <f t="shared" si="8"/>
        <v>7700</v>
      </c>
      <c r="M170" s="1186">
        <v>0</v>
      </c>
      <c r="N170" s="1191">
        <f t="shared" si="9"/>
        <v>7.6999999999999999E-2</v>
      </c>
      <c r="P170" t="s">
        <v>1868</v>
      </c>
    </row>
    <row r="171" spans="1:16">
      <c r="A171" s="1186">
        <v>165</v>
      </c>
      <c r="B171" s="1401"/>
      <c r="C171" s="1399"/>
      <c r="D171" s="1389"/>
      <c r="E171" s="1396"/>
      <c r="F171" s="1202" t="s">
        <v>1867</v>
      </c>
      <c r="G171" s="1185" t="s">
        <v>3057</v>
      </c>
      <c r="H171" s="1188">
        <v>15762</v>
      </c>
      <c r="I171" s="1188">
        <v>15893.5</v>
      </c>
      <c r="J171" s="1189">
        <f t="shared" si="7"/>
        <v>131.5</v>
      </c>
      <c r="K171" s="1186">
        <v>40</v>
      </c>
      <c r="L171" s="1186">
        <f t="shared" si="8"/>
        <v>5260</v>
      </c>
      <c r="M171" s="1186">
        <v>21540</v>
      </c>
      <c r="N171" s="1191">
        <f t="shared" si="9"/>
        <v>0.26800000000000002</v>
      </c>
      <c r="P171" t="s">
        <v>1870</v>
      </c>
    </row>
    <row r="172" spans="1:16">
      <c r="A172" s="1186">
        <v>166</v>
      </c>
      <c r="B172" s="1401"/>
      <c r="C172" s="1399"/>
      <c r="D172" s="1389"/>
      <c r="E172" s="1397"/>
      <c r="F172" s="1202" t="s">
        <v>1869</v>
      </c>
      <c r="G172" s="1185" t="s">
        <v>3057</v>
      </c>
      <c r="H172" s="1188">
        <v>19086</v>
      </c>
      <c r="I172" s="1188">
        <v>19320</v>
      </c>
      <c r="J172" s="1189">
        <f t="shared" si="7"/>
        <v>234</v>
      </c>
      <c r="K172" s="1186">
        <v>40</v>
      </c>
      <c r="L172" s="1186">
        <f t="shared" si="8"/>
        <v>9360</v>
      </c>
      <c r="M172" s="1186">
        <v>4840</v>
      </c>
      <c r="N172" s="1191">
        <f t="shared" si="9"/>
        <v>0.14199999999999999</v>
      </c>
      <c r="P172" t="s">
        <v>2122</v>
      </c>
    </row>
    <row r="173" spans="1:16">
      <c r="A173" s="1186">
        <v>167</v>
      </c>
      <c r="B173" s="1401"/>
      <c r="C173" s="1399"/>
      <c r="D173" s="1391" t="s">
        <v>2844</v>
      </c>
      <c r="E173" s="1395" t="s">
        <v>3091</v>
      </c>
      <c r="F173" s="1187" t="s">
        <v>1797</v>
      </c>
      <c r="G173" s="1185" t="s">
        <v>3057</v>
      </c>
      <c r="H173" s="1188">
        <v>1836160</v>
      </c>
      <c r="I173" s="1188">
        <v>2320500</v>
      </c>
      <c r="J173" s="1189">
        <f t="shared" si="7"/>
        <v>484340</v>
      </c>
      <c r="K173" s="1186">
        <v>1.333</v>
      </c>
      <c r="L173" s="1186">
        <f t="shared" si="8"/>
        <v>645625.22</v>
      </c>
      <c r="M173" s="1186">
        <v>0</v>
      </c>
      <c r="N173" s="1191">
        <f t="shared" si="9"/>
        <v>6.4562521999999998</v>
      </c>
      <c r="P173" t="s">
        <v>1876</v>
      </c>
    </row>
    <row r="174" spans="1:16">
      <c r="A174" s="1186">
        <v>168</v>
      </c>
      <c r="B174" s="1401"/>
      <c r="C174" s="1399"/>
      <c r="D174" s="1392"/>
      <c r="E174" s="1396"/>
      <c r="F174" s="1187" t="s">
        <v>1875</v>
      </c>
      <c r="G174" s="1185" t="s">
        <v>3057</v>
      </c>
      <c r="H174" s="1188">
        <v>175810.5</v>
      </c>
      <c r="I174" s="1188">
        <v>179623</v>
      </c>
      <c r="J174" s="1189">
        <f t="shared" si="7"/>
        <v>3812.5</v>
      </c>
      <c r="K174" s="1186">
        <v>40</v>
      </c>
      <c r="L174" s="1186">
        <f t="shared" si="8"/>
        <v>152500</v>
      </c>
      <c r="M174" s="1186">
        <v>0</v>
      </c>
      <c r="N174" s="1191">
        <f t="shared" si="9"/>
        <v>1.5249999999999999</v>
      </c>
      <c r="P174" t="s">
        <v>1878</v>
      </c>
    </row>
    <row r="175" spans="1:16">
      <c r="A175" s="1186">
        <v>169</v>
      </c>
      <c r="B175" s="1401"/>
      <c r="C175" s="1399"/>
      <c r="D175" s="1393"/>
      <c r="E175" s="1397"/>
      <c r="F175" s="1187" t="s">
        <v>1877</v>
      </c>
      <c r="G175" s="1185" t="s">
        <v>3057</v>
      </c>
      <c r="H175" s="1188">
        <v>587805</v>
      </c>
      <c r="I175" s="1188">
        <v>615037.5</v>
      </c>
      <c r="J175" s="1189">
        <f t="shared" si="7"/>
        <v>27232.5</v>
      </c>
      <c r="K175" s="1186">
        <v>40</v>
      </c>
      <c r="L175" s="1186">
        <f t="shared" si="8"/>
        <v>1089300</v>
      </c>
      <c r="M175" s="1186">
        <v>0</v>
      </c>
      <c r="N175" s="1191">
        <f t="shared" si="9"/>
        <v>10.893000000000001</v>
      </c>
      <c r="P175">
        <v>9916392</v>
      </c>
    </row>
    <row r="176" spans="1:16">
      <c r="A176" s="1186">
        <v>170</v>
      </c>
      <c r="B176" s="1401"/>
      <c r="C176" s="1399"/>
      <c r="D176" s="1389" t="s">
        <v>979</v>
      </c>
      <c r="E176" s="1389" t="s">
        <v>979</v>
      </c>
      <c r="F176" s="1187" t="s">
        <v>1883</v>
      </c>
      <c r="G176" s="1185" t="s">
        <v>3057</v>
      </c>
      <c r="H176" s="1188">
        <v>9438.6659999999993</v>
      </c>
      <c r="I176" s="1188">
        <v>9438.6659999999993</v>
      </c>
      <c r="J176" s="1189">
        <f t="shared" si="7"/>
        <v>0</v>
      </c>
      <c r="K176" s="1186">
        <v>40</v>
      </c>
      <c r="L176" s="1186">
        <f t="shared" si="8"/>
        <v>0</v>
      </c>
      <c r="M176" s="1186">
        <v>611959.96149999998</v>
      </c>
      <c r="N176" s="1191">
        <f t="shared" si="9"/>
        <v>6.1195996149999994</v>
      </c>
      <c r="P176">
        <v>9916391</v>
      </c>
    </row>
    <row r="177" spans="1:16">
      <c r="A177" s="1186">
        <v>171</v>
      </c>
      <c r="B177" s="1401"/>
      <c r="C177" s="1399"/>
      <c r="D177" s="1389"/>
      <c r="E177" s="1389"/>
      <c r="F177" s="1187" t="s">
        <v>1885</v>
      </c>
      <c r="G177" s="1185" t="s">
        <v>3057</v>
      </c>
      <c r="H177" s="1188">
        <v>1051.7</v>
      </c>
      <c r="I177" s="1188">
        <v>1051.7</v>
      </c>
      <c r="J177" s="1189">
        <f t="shared" si="7"/>
        <v>0</v>
      </c>
      <c r="K177" s="1186">
        <v>40</v>
      </c>
      <c r="L177" s="1186">
        <f t="shared" si="8"/>
        <v>0</v>
      </c>
      <c r="M177" s="1186">
        <v>47333.214999999997</v>
      </c>
      <c r="N177" s="1191">
        <f t="shared" si="9"/>
        <v>0.47333214999999995</v>
      </c>
      <c r="P177" t="s">
        <v>1890</v>
      </c>
    </row>
    <row r="178" spans="1:16">
      <c r="A178" s="1186">
        <v>172</v>
      </c>
      <c r="B178" s="1401"/>
      <c r="C178" s="1399"/>
      <c r="D178" s="1391" t="s">
        <v>924</v>
      </c>
      <c r="E178" s="1391" t="s">
        <v>2123</v>
      </c>
      <c r="F178" s="1195" t="s">
        <v>23</v>
      </c>
      <c r="G178" s="1185" t="s">
        <v>3057</v>
      </c>
      <c r="H178" s="1188">
        <v>96008</v>
      </c>
      <c r="I178" s="1188">
        <v>101130.5</v>
      </c>
      <c r="J178" s="1189">
        <f t="shared" si="7"/>
        <v>5122.5</v>
      </c>
      <c r="K178" s="1186">
        <v>40</v>
      </c>
      <c r="L178" s="1186">
        <f t="shared" si="8"/>
        <v>204900</v>
      </c>
      <c r="M178" s="1186">
        <v>0</v>
      </c>
      <c r="N178" s="1191">
        <f t="shared" si="9"/>
        <v>2.0489999999999999</v>
      </c>
      <c r="P178" t="s">
        <v>1892</v>
      </c>
    </row>
    <row r="179" spans="1:16">
      <c r="A179" s="1186">
        <v>173</v>
      </c>
      <c r="B179" s="1401"/>
      <c r="C179" s="1399"/>
      <c r="D179" s="1392"/>
      <c r="E179" s="1392"/>
      <c r="F179" s="1195" t="s">
        <v>1891</v>
      </c>
      <c r="G179" s="1185" t="s">
        <v>3057</v>
      </c>
      <c r="H179" s="1188">
        <v>31730.5</v>
      </c>
      <c r="I179" s="1188">
        <v>32673</v>
      </c>
      <c r="J179" s="1189">
        <f t="shared" si="7"/>
        <v>942.5</v>
      </c>
      <c r="K179" s="1186">
        <v>40</v>
      </c>
      <c r="L179" s="1186">
        <f t="shared" si="8"/>
        <v>37700</v>
      </c>
      <c r="M179" s="1186">
        <v>0</v>
      </c>
      <c r="N179" s="1191">
        <f t="shared" si="9"/>
        <v>0.377</v>
      </c>
      <c r="P179" t="s">
        <v>1894</v>
      </c>
    </row>
    <row r="180" spans="1:16" ht="15" customHeight="1">
      <c r="A180" s="1186">
        <v>174</v>
      </c>
      <c r="B180" s="1401"/>
      <c r="C180" s="1400"/>
      <c r="D180" s="1393"/>
      <c r="E180" s="1393"/>
      <c r="F180" s="1195" t="s">
        <v>1893</v>
      </c>
      <c r="G180" s="1185" t="s">
        <v>3057</v>
      </c>
      <c r="H180" s="1188">
        <v>194205</v>
      </c>
      <c r="I180" s="1188">
        <v>196020</v>
      </c>
      <c r="J180" s="1189">
        <f t="shared" si="7"/>
        <v>1815</v>
      </c>
      <c r="K180" s="1186">
        <v>40</v>
      </c>
      <c r="L180" s="1186">
        <f t="shared" si="8"/>
        <v>72600</v>
      </c>
      <c r="M180" s="1186">
        <v>0</v>
      </c>
      <c r="N180" s="1191">
        <f t="shared" si="9"/>
        <v>0.72599999999999998</v>
      </c>
      <c r="P180" t="s">
        <v>1904</v>
      </c>
    </row>
    <row r="181" spans="1:16" ht="15" customHeight="1">
      <c r="A181" s="1186">
        <v>175</v>
      </c>
      <c r="B181" s="1401"/>
      <c r="C181" s="1394" t="s">
        <v>83</v>
      </c>
      <c r="D181" s="1389" t="s">
        <v>973</v>
      </c>
      <c r="E181" s="1395" t="s">
        <v>973</v>
      </c>
      <c r="F181" s="1187" t="s">
        <v>1221</v>
      </c>
      <c r="G181" s="1185" t="s">
        <v>3057</v>
      </c>
      <c r="H181" s="1188">
        <v>10389.219999999999</v>
      </c>
      <c r="I181" s="1188">
        <v>10572.93</v>
      </c>
      <c r="J181" s="1189">
        <f t="shared" si="7"/>
        <v>183.71000000000095</v>
      </c>
      <c r="K181" s="1186">
        <v>6000</v>
      </c>
      <c r="L181" s="1186">
        <f t="shared" si="8"/>
        <v>1102260.0000000056</v>
      </c>
      <c r="M181" s="1186">
        <v>0</v>
      </c>
      <c r="N181" s="1191">
        <f t="shared" si="9"/>
        <v>11.022600000000056</v>
      </c>
      <c r="P181" t="s">
        <v>1905</v>
      </c>
    </row>
    <row r="182" spans="1:16">
      <c r="A182" s="1186">
        <v>176</v>
      </c>
      <c r="B182" s="1401"/>
      <c r="C182" s="1394"/>
      <c r="D182" s="1389"/>
      <c r="E182" s="1396"/>
      <c r="F182" s="1187" t="s">
        <v>1215</v>
      </c>
      <c r="G182" s="1185" t="s">
        <v>3057</v>
      </c>
      <c r="H182" s="1188">
        <v>1238849</v>
      </c>
      <c r="I182" s="1188">
        <v>1260909.5</v>
      </c>
      <c r="J182" s="1189">
        <f t="shared" si="7"/>
        <v>22060.5</v>
      </c>
      <c r="K182" s="1186">
        <v>60</v>
      </c>
      <c r="L182" s="1186">
        <f t="shared" si="8"/>
        <v>1323630</v>
      </c>
      <c r="M182" s="1186">
        <v>0</v>
      </c>
      <c r="N182" s="1191">
        <f t="shared" si="9"/>
        <v>13.2363</v>
      </c>
      <c r="P182" t="s">
        <v>1907</v>
      </c>
    </row>
    <row r="183" spans="1:16">
      <c r="A183" s="1186">
        <v>177</v>
      </c>
      <c r="B183" s="1401"/>
      <c r="C183" s="1394"/>
      <c r="D183" s="1389"/>
      <c r="E183" s="1396"/>
      <c r="F183" s="1187" t="s">
        <v>1906</v>
      </c>
      <c r="G183" s="1185" t="s">
        <v>3057</v>
      </c>
      <c r="H183" s="1188">
        <v>73229.600000000006</v>
      </c>
      <c r="I183" s="1188">
        <v>73409</v>
      </c>
      <c r="J183" s="1189">
        <f t="shared" si="7"/>
        <v>179.39999999999418</v>
      </c>
      <c r="K183" s="1186">
        <v>2000</v>
      </c>
      <c r="L183" s="1186">
        <f t="shared" si="8"/>
        <v>358799.99999998836</v>
      </c>
      <c r="M183" s="1186">
        <v>0</v>
      </c>
      <c r="N183" s="1191">
        <f t="shared" si="9"/>
        <v>3.5879999999998837</v>
      </c>
      <c r="P183" t="s">
        <v>1909</v>
      </c>
    </row>
    <row r="184" spans="1:16">
      <c r="A184" s="1186">
        <v>178</v>
      </c>
      <c r="B184" s="1401"/>
      <c r="C184" s="1394"/>
      <c r="D184" s="1389"/>
      <c r="E184" s="1396"/>
      <c r="F184" s="1187" t="s">
        <v>1908</v>
      </c>
      <c r="G184" s="1185" t="s">
        <v>3057</v>
      </c>
      <c r="H184" s="1188">
        <v>1257.93</v>
      </c>
      <c r="I184" s="1188">
        <v>1280.23</v>
      </c>
      <c r="J184" s="1189">
        <f t="shared" si="7"/>
        <v>22.299999999999955</v>
      </c>
      <c r="K184" s="1186">
        <v>6000</v>
      </c>
      <c r="L184" s="1186">
        <f t="shared" si="8"/>
        <v>133799.99999999974</v>
      </c>
      <c r="M184" s="1186">
        <v>0</v>
      </c>
      <c r="N184" s="1191">
        <f t="shared" si="9"/>
        <v>1.3379999999999974</v>
      </c>
      <c r="P184" t="s">
        <v>1910</v>
      </c>
    </row>
    <row r="185" spans="1:16">
      <c r="A185" s="1186">
        <v>179</v>
      </c>
      <c r="B185" s="1401"/>
      <c r="C185" s="1394"/>
      <c r="D185" s="1389"/>
      <c r="E185" s="1396"/>
      <c r="F185" s="1187" t="s">
        <v>1225</v>
      </c>
      <c r="G185" s="1185" t="s">
        <v>3057</v>
      </c>
      <c r="H185" s="1188">
        <v>506826</v>
      </c>
      <c r="I185" s="1188">
        <v>519877</v>
      </c>
      <c r="J185" s="1189">
        <f t="shared" si="7"/>
        <v>13051</v>
      </c>
      <c r="K185" s="1186">
        <v>60</v>
      </c>
      <c r="L185" s="1186">
        <f t="shared" si="8"/>
        <v>783060</v>
      </c>
      <c r="M185" s="1186">
        <v>0</v>
      </c>
      <c r="N185" s="1191">
        <f t="shared" si="9"/>
        <v>7.8305999999999996</v>
      </c>
      <c r="P185" t="s">
        <v>1919</v>
      </c>
    </row>
    <row r="186" spans="1:16">
      <c r="A186" s="1186">
        <v>180</v>
      </c>
      <c r="B186" s="1401"/>
      <c r="C186" s="1394"/>
      <c r="D186" s="1389" t="s">
        <v>3092</v>
      </c>
      <c r="E186" s="1395" t="s">
        <v>1310</v>
      </c>
      <c r="F186" s="1187" t="s">
        <v>1918</v>
      </c>
      <c r="G186" s="1185" t="s">
        <v>3057</v>
      </c>
      <c r="H186" s="1188">
        <v>126033.8</v>
      </c>
      <c r="I186" s="1188">
        <v>126398.7</v>
      </c>
      <c r="J186" s="1189">
        <f t="shared" si="7"/>
        <v>364.89999999999418</v>
      </c>
      <c r="K186" s="1186">
        <v>2000</v>
      </c>
      <c r="L186" s="1186">
        <f t="shared" si="8"/>
        <v>729799.99999998836</v>
      </c>
      <c r="M186" s="1186">
        <v>0</v>
      </c>
      <c r="N186" s="1191">
        <f t="shared" si="9"/>
        <v>7.2979999999998837</v>
      </c>
      <c r="P186" t="s">
        <v>1921</v>
      </c>
    </row>
    <row r="187" spans="1:16">
      <c r="A187" s="1186">
        <v>181</v>
      </c>
      <c r="B187" s="1401"/>
      <c r="C187" s="1394"/>
      <c r="D187" s="1389"/>
      <c r="E187" s="1396"/>
      <c r="F187" s="1187" t="s">
        <v>1920</v>
      </c>
      <c r="G187" s="1185" t="s">
        <v>3057</v>
      </c>
      <c r="H187" s="1188">
        <v>138098.20000000001</v>
      </c>
      <c r="I187" s="1188">
        <v>138847.6</v>
      </c>
      <c r="J187" s="1189">
        <f t="shared" si="7"/>
        <v>749.39999999999418</v>
      </c>
      <c r="K187" s="1186">
        <v>2000</v>
      </c>
      <c r="L187" s="1186">
        <f t="shared" si="8"/>
        <v>1498799.9999999884</v>
      </c>
      <c r="M187" s="1186">
        <v>0</v>
      </c>
      <c r="N187" s="1191">
        <f t="shared" si="9"/>
        <v>14.987999999999884</v>
      </c>
      <c r="P187" t="s">
        <v>3093</v>
      </c>
    </row>
    <row r="188" spans="1:16">
      <c r="A188" s="1186">
        <v>182</v>
      </c>
      <c r="B188" s="1401"/>
      <c r="C188" s="1394"/>
      <c r="D188" s="1389"/>
      <c r="E188" s="1396"/>
      <c r="F188" s="1187" t="s">
        <v>2291</v>
      </c>
      <c r="G188" s="1185" t="s">
        <v>3057</v>
      </c>
      <c r="H188" s="1188">
        <v>30849.4</v>
      </c>
      <c r="I188" s="1188">
        <v>31524.9</v>
      </c>
      <c r="J188" s="1189">
        <f t="shared" si="7"/>
        <v>675.5</v>
      </c>
      <c r="K188" s="1186">
        <v>2000</v>
      </c>
      <c r="L188" s="1186">
        <f t="shared" si="8"/>
        <v>1351000</v>
      </c>
      <c r="M188" s="1186">
        <v>0</v>
      </c>
      <c r="N188" s="1191">
        <f t="shared" si="9"/>
        <v>13.51</v>
      </c>
      <c r="P188" t="s">
        <v>1926</v>
      </c>
    </row>
    <row r="189" spans="1:16">
      <c r="A189" s="1186">
        <v>183</v>
      </c>
      <c r="B189" s="1401"/>
      <c r="C189" s="1394"/>
      <c r="D189" s="1389"/>
      <c r="E189" s="1396"/>
      <c r="F189" s="1187" t="s">
        <v>1925</v>
      </c>
      <c r="G189" s="1185" t="s">
        <v>3057</v>
      </c>
      <c r="H189" s="1188">
        <v>2944.74</v>
      </c>
      <c r="I189" s="1188">
        <v>3037.48</v>
      </c>
      <c r="J189" s="1189">
        <f t="shared" si="7"/>
        <v>92.740000000000236</v>
      </c>
      <c r="K189" s="1186">
        <v>6000</v>
      </c>
      <c r="L189" s="1186">
        <f t="shared" si="8"/>
        <v>556440.0000000014</v>
      </c>
      <c r="M189" s="1186">
        <v>0</v>
      </c>
      <c r="N189" s="1191">
        <f t="shared" si="9"/>
        <v>5.5644000000000142</v>
      </c>
      <c r="P189" t="s">
        <v>2125</v>
      </c>
    </row>
    <row r="190" spans="1:16">
      <c r="A190" s="1186">
        <v>184</v>
      </c>
      <c r="B190" s="1401"/>
      <c r="C190" s="1394"/>
      <c r="D190" s="1389"/>
      <c r="E190" s="1396"/>
      <c r="F190" s="1196" t="s">
        <v>1927</v>
      </c>
      <c r="G190" s="1185" t="s">
        <v>3057</v>
      </c>
      <c r="H190" s="1188">
        <v>389579</v>
      </c>
      <c r="I190" s="1188">
        <v>407558.5</v>
      </c>
      <c r="J190" s="1189">
        <f t="shared" si="7"/>
        <v>17979.5</v>
      </c>
      <c r="K190" s="1186">
        <v>60</v>
      </c>
      <c r="L190" s="1186">
        <f t="shared" si="8"/>
        <v>1078770</v>
      </c>
      <c r="M190" s="1186">
        <v>80000</v>
      </c>
      <c r="N190" s="1191">
        <f t="shared" si="9"/>
        <v>11.5877</v>
      </c>
      <c r="P190" t="s">
        <v>2126</v>
      </c>
    </row>
    <row r="191" spans="1:16">
      <c r="A191" s="1186">
        <v>185</v>
      </c>
      <c r="B191" s="1401"/>
      <c r="C191" s="1394"/>
      <c r="D191" s="1389"/>
      <c r="E191" s="1397"/>
      <c r="F191" s="1187" t="s">
        <v>1929</v>
      </c>
      <c r="G191" s="1185" t="s">
        <v>3057</v>
      </c>
      <c r="H191" s="1188">
        <v>131605.70000000001</v>
      </c>
      <c r="I191" s="1188">
        <v>132457.70000000001</v>
      </c>
      <c r="J191" s="1189">
        <f t="shared" si="7"/>
        <v>852</v>
      </c>
      <c r="K191" s="1186">
        <v>200</v>
      </c>
      <c r="L191" s="1186">
        <f t="shared" si="8"/>
        <v>170400</v>
      </c>
      <c r="M191" s="1186">
        <v>750000</v>
      </c>
      <c r="N191" s="1191">
        <f t="shared" si="9"/>
        <v>9.2040000000000006</v>
      </c>
      <c r="P191" t="s">
        <v>1936</v>
      </c>
    </row>
    <row r="192" spans="1:16">
      <c r="A192" s="1186">
        <v>186</v>
      </c>
      <c r="B192" s="1401"/>
      <c r="C192" s="1394"/>
      <c r="D192" s="1389" t="s">
        <v>2339</v>
      </c>
      <c r="E192" s="1389" t="s">
        <v>2339</v>
      </c>
      <c r="F192" s="1187" t="s">
        <v>1935</v>
      </c>
      <c r="G192" s="1185" t="s">
        <v>3057</v>
      </c>
      <c r="H192" s="1188">
        <v>48075.1</v>
      </c>
      <c r="I192" s="1188">
        <v>48260.800000000003</v>
      </c>
      <c r="J192" s="1189">
        <f t="shared" si="7"/>
        <v>185.70000000000437</v>
      </c>
      <c r="K192" s="1186">
        <v>2000</v>
      </c>
      <c r="L192" s="1186">
        <f t="shared" si="8"/>
        <v>371400.00000000873</v>
      </c>
      <c r="M192" s="1186">
        <v>0</v>
      </c>
      <c r="N192" s="1191">
        <f t="shared" si="9"/>
        <v>3.7140000000000875</v>
      </c>
      <c r="P192" t="s">
        <v>1938</v>
      </c>
    </row>
    <row r="193" spans="1:16">
      <c r="A193" s="1186">
        <v>187</v>
      </c>
      <c r="B193" s="1401"/>
      <c r="C193" s="1394"/>
      <c r="D193" s="1389"/>
      <c r="E193" s="1389"/>
      <c r="F193" s="1187" t="s">
        <v>1937</v>
      </c>
      <c r="G193" s="1185" t="s">
        <v>3057</v>
      </c>
      <c r="H193" s="1188">
        <v>60914.3</v>
      </c>
      <c r="I193" s="1188">
        <v>61177</v>
      </c>
      <c r="J193" s="1189">
        <f t="shared" si="7"/>
        <v>262.69999999999709</v>
      </c>
      <c r="K193" s="1186">
        <v>2000</v>
      </c>
      <c r="L193" s="1186">
        <f t="shared" si="8"/>
        <v>525399.99999999418</v>
      </c>
      <c r="M193" s="1186">
        <v>0</v>
      </c>
      <c r="N193" s="1191">
        <f t="shared" si="9"/>
        <v>5.2539999999999418</v>
      </c>
      <c r="P193" t="s">
        <v>1940</v>
      </c>
    </row>
    <row r="194" spans="1:16">
      <c r="A194" s="1186">
        <v>188</v>
      </c>
      <c r="B194" s="1401"/>
      <c r="C194" s="1394"/>
      <c r="D194" s="1389"/>
      <c r="E194" s="1389"/>
      <c r="F194" s="1187" t="s">
        <v>1939</v>
      </c>
      <c r="G194" s="1185" t="s">
        <v>3057</v>
      </c>
      <c r="H194" s="1188">
        <v>83496.7</v>
      </c>
      <c r="I194" s="1188">
        <v>83749.2</v>
      </c>
      <c r="J194" s="1189">
        <f t="shared" si="7"/>
        <v>252.5</v>
      </c>
      <c r="K194" s="1186">
        <v>2000</v>
      </c>
      <c r="L194" s="1186">
        <f t="shared" si="8"/>
        <v>505000</v>
      </c>
      <c r="M194" s="1186">
        <v>0</v>
      </c>
      <c r="N194" s="1191">
        <f t="shared" si="9"/>
        <v>5.05</v>
      </c>
      <c r="P194" t="s">
        <v>1946</v>
      </c>
    </row>
    <row r="195" spans="1:16">
      <c r="A195" s="1186">
        <v>189</v>
      </c>
      <c r="B195" s="1401"/>
      <c r="C195" s="1394"/>
      <c r="D195" s="1391" t="s">
        <v>2262</v>
      </c>
      <c r="E195" s="1391" t="s">
        <v>2262</v>
      </c>
      <c r="F195" s="1187" t="s">
        <v>1945</v>
      </c>
      <c r="G195" s="1185" t="s">
        <v>3057</v>
      </c>
      <c r="H195" s="1188">
        <v>195233.6</v>
      </c>
      <c r="I195" s="1188">
        <v>195590.8</v>
      </c>
      <c r="J195" s="1189">
        <f t="shared" si="7"/>
        <v>357.19999999998254</v>
      </c>
      <c r="K195" s="1186">
        <v>2000</v>
      </c>
      <c r="L195" s="1186">
        <f t="shared" si="8"/>
        <v>714399.99999996508</v>
      </c>
      <c r="M195" s="1186">
        <v>0</v>
      </c>
      <c r="N195" s="1191">
        <f t="shared" si="9"/>
        <v>7.1439999999996511</v>
      </c>
      <c r="P195" t="s">
        <v>1962</v>
      </c>
    </row>
    <row r="196" spans="1:16">
      <c r="A196" s="1186">
        <v>190</v>
      </c>
      <c r="B196" s="1401"/>
      <c r="C196" s="1394"/>
      <c r="D196" s="1392"/>
      <c r="E196" s="1392"/>
      <c r="F196" s="1187" t="s">
        <v>1947</v>
      </c>
      <c r="G196" s="1185" t="s">
        <v>3057</v>
      </c>
      <c r="H196" s="1188">
        <v>30521.98</v>
      </c>
      <c r="I196" s="1188">
        <v>30525.360000000001</v>
      </c>
      <c r="J196" s="1189">
        <f t="shared" si="7"/>
        <v>3.3800000000010186</v>
      </c>
      <c r="K196" s="1186">
        <v>6000</v>
      </c>
      <c r="L196" s="1186">
        <f t="shared" si="8"/>
        <v>20280.000000006112</v>
      </c>
      <c r="M196" s="1186">
        <v>1459139.9999999939</v>
      </c>
      <c r="N196" s="1191">
        <f t="shared" si="9"/>
        <v>14.7942</v>
      </c>
      <c r="P196" t="s">
        <v>1949</v>
      </c>
    </row>
    <row r="197" spans="1:16">
      <c r="A197" s="1186">
        <v>191</v>
      </c>
      <c r="B197" s="1401"/>
      <c r="C197" s="1394"/>
      <c r="D197" s="1392"/>
      <c r="E197" s="1392"/>
      <c r="F197" s="1187" t="s">
        <v>220</v>
      </c>
      <c r="G197" s="1185" t="s">
        <v>3057</v>
      </c>
      <c r="H197" s="1188">
        <v>3667.47</v>
      </c>
      <c r="I197" s="1188">
        <v>3702.96</v>
      </c>
      <c r="J197" s="1189">
        <f t="shared" si="7"/>
        <v>35.490000000000236</v>
      </c>
      <c r="K197" s="1186">
        <v>20000</v>
      </c>
      <c r="L197" s="1186">
        <f t="shared" si="8"/>
        <v>709800.00000000477</v>
      </c>
      <c r="M197" s="1186">
        <v>0</v>
      </c>
      <c r="N197" s="1191">
        <f t="shared" si="9"/>
        <v>7.0980000000000478</v>
      </c>
      <c r="P197" t="s">
        <v>1951</v>
      </c>
    </row>
    <row r="198" spans="1:16">
      <c r="A198" s="1186">
        <v>192</v>
      </c>
      <c r="B198" s="1401"/>
      <c r="C198" s="1394"/>
      <c r="D198" s="1392"/>
      <c r="E198" s="1392"/>
      <c r="F198" s="1187" t="s">
        <v>1950</v>
      </c>
      <c r="G198" s="1185" t="s">
        <v>3057</v>
      </c>
      <c r="H198" s="1188">
        <v>83436.2</v>
      </c>
      <c r="I198" s="1188">
        <v>83748</v>
      </c>
      <c r="J198" s="1189">
        <f t="shared" ref="J198:J237" si="10">I198-H198</f>
        <v>311.80000000000291</v>
      </c>
      <c r="K198" s="1186">
        <v>2000</v>
      </c>
      <c r="L198" s="1186">
        <f t="shared" si="8"/>
        <v>623600.00000000582</v>
      </c>
      <c r="M198" s="1186">
        <v>0</v>
      </c>
      <c r="N198" s="1191">
        <f t="shared" si="9"/>
        <v>6.2360000000000584</v>
      </c>
      <c r="P198" t="s">
        <v>1952</v>
      </c>
    </row>
    <row r="199" spans="1:16">
      <c r="A199" s="1186">
        <v>193</v>
      </c>
      <c r="B199" s="1401"/>
      <c r="C199" s="1394"/>
      <c r="D199" s="1392"/>
      <c r="E199" s="1392"/>
      <c r="F199" s="1187" t="s">
        <v>1230</v>
      </c>
      <c r="G199" s="1185" t="s">
        <v>3057</v>
      </c>
      <c r="H199" s="1188">
        <v>29772.400000000001</v>
      </c>
      <c r="I199" s="1188">
        <v>29904.3</v>
      </c>
      <c r="J199" s="1189">
        <f t="shared" si="10"/>
        <v>131.89999999999782</v>
      </c>
      <c r="K199" s="1186">
        <v>2000</v>
      </c>
      <c r="L199" s="1186">
        <f t="shared" si="8"/>
        <v>263799.99999999563</v>
      </c>
      <c r="M199" s="1186">
        <v>0</v>
      </c>
      <c r="N199" s="1191">
        <f t="shared" si="9"/>
        <v>2.6379999999999564</v>
      </c>
      <c r="P199" t="s">
        <v>1954</v>
      </c>
    </row>
    <row r="200" spans="1:16">
      <c r="A200" s="1186">
        <v>194</v>
      </c>
      <c r="B200" s="1401"/>
      <c r="C200" s="1394"/>
      <c r="D200" s="1392"/>
      <c r="E200" s="1392"/>
      <c r="F200" s="1187" t="s">
        <v>1953</v>
      </c>
      <c r="G200" s="1185" t="s">
        <v>3057</v>
      </c>
      <c r="H200" s="1188">
        <v>3351.57</v>
      </c>
      <c r="I200" s="1188">
        <v>3351.57</v>
      </c>
      <c r="J200" s="1189">
        <f t="shared" si="10"/>
        <v>0</v>
      </c>
      <c r="K200" s="1186">
        <v>4000</v>
      </c>
      <c r="L200" s="1186">
        <f t="shared" si="8"/>
        <v>0</v>
      </c>
      <c r="M200" s="1186">
        <v>0</v>
      </c>
      <c r="N200" s="1191">
        <f t="shared" si="9"/>
        <v>0</v>
      </c>
      <c r="P200" t="s">
        <v>2127</v>
      </c>
    </row>
    <row r="201" spans="1:16">
      <c r="A201" s="1186">
        <v>195</v>
      </c>
      <c r="B201" s="1401"/>
      <c r="C201" s="1394"/>
      <c r="D201" s="1392"/>
      <c r="E201" s="1392"/>
      <c r="F201" s="1187" t="s">
        <v>1961</v>
      </c>
      <c r="G201" s="1185" t="s">
        <v>3057</v>
      </c>
      <c r="H201" s="1188">
        <v>150459.20000000001</v>
      </c>
      <c r="I201" s="1188">
        <v>150911.9</v>
      </c>
      <c r="J201" s="1189">
        <f t="shared" si="10"/>
        <v>452.69999999998254</v>
      </c>
      <c r="K201" s="1186">
        <v>2000</v>
      </c>
      <c r="L201" s="1186">
        <f t="shared" si="8"/>
        <v>905399.99999996508</v>
      </c>
      <c r="M201" s="1186">
        <v>0</v>
      </c>
      <c r="N201" s="1191">
        <f t="shared" si="9"/>
        <v>9.0539999999996503</v>
      </c>
      <c r="P201" t="s">
        <v>1958</v>
      </c>
    </row>
    <row r="202" spans="1:16">
      <c r="A202" s="1186">
        <v>196</v>
      </c>
      <c r="B202" s="1401"/>
      <c r="C202" s="1394"/>
      <c r="D202" s="1392"/>
      <c r="E202" s="1392"/>
      <c r="F202" s="1187" t="s">
        <v>1957</v>
      </c>
      <c r="G202" s="1185" t="s">
        <v>3057</v>
      </c>
      <c r="H202" s="1188">
        <v>1926.317</v>
      </c>
      <c r="I202" s="1188">
        <v>1939.865</v>
      </c>
      <c r="J202" s="1189">
        <f t="shared" si="10"/>
        <v>13.548000000000002</v>
      </c>
      <c r="K202" s="1186">
        <v>60000</v>
      </c>
      <c r="L202" s="1186">
        <f t="shared" ref="L202:L237" si="11">J202*K202</f>
        <v>812880.00000000012</v>
      </c>
      <c r="M202" s="1186">
        <v>0</v>
      </c>
      <c r="N202" s="1191">
        <f t="shared" ref="N202:N237" si="12">(L202+M202)/100000</f>
        <v>8.1288000000000018</v>
      </c>
      <c r="P202" t="s">
        <v>1960</v>
      </c>
    </row>
    <row r="203" spans="1:16">
      <c r="A203" s="1186">
        <v>197</v>
      </c>
      <c r="B203" s="1401"/>
      <c r="C203" s="1394"/>
      <c r="D203" s="1392"/>
      <c r="E203" s="1392"/>
      <c r="F203" s="1187" t="s">
        <v>1959</v>
      </c>
      <c r="G203" s="1185" t="s">
        <v>3057</v>
      </c>
      <c r="H203" s="1188">
        <v>611.6</v>
      </c>
      <c r="I203" s="1188">
        <v>660.82</v>
      </c>
      <c r="J203" s="1189">
        <f t="shared" si="10"/>
        <v>49.220000000000027</v>
      </c>
      <c r="K203" s="1186">
        <v>4000</v>
      </c>
      <c r="L203" s="1186">
        <f t="shared" si="11"/>
        <v>196880.00000000012</v>
      </c>
      <c r="M203" s="1186">
        <v>337820.11910000001</v>
      </c>
      <c r="N203" s="1191">
        <f t="shared" si="12"/>
        <v>5.3470011910000013</v>
      </c>
    </row>
    <row r="204" spans="1:16">
      <c r="A204" s="1186"/>
      <c r="B204" s="1401"/>
      <c r="C204" s="1394"/>
      <c r="D204" s="1393"/>
      <c r="E204" s="1393"/>
      <c r="F204" s="1187" t="s">
        <v>1955</v>
      </c>
      <c r="G204" s="1185" t="s">
        <v>3057</v>
      </c>
      <c r="H204" s="1188">
        <v>1510.5</v>
      </c>
      <c r="I204" s="1188">
        <v>1640.07</v>
      </c>
      <c r="J204" s="1189">
        <f t="shared" si="10"/>
        <v>129.56999999999994</v>
      </c>
      <c r="K204" s="1186">
        <v>4000</v>
      </c>
      <c r="L204" s="1186">
        <v>32200</v>
      </c>
      <c r="M204" s="1186">
        <v>450139.92060000001</v>
      </c>
      <c r="N204" s="1191">
        <f t="shared" si="12"/>
        <v>4.8233992060000004</v>
      </c>
      <c r="P204" t="s">
        <v>1968</v>
      </c>
    </row>
    <row r="205" spans="1:16">
      <c r="A205" s="1186">
        <v>198</v>
      </c>
      <c r="B205" s="1401"/>
      <c r="C205" s="1394"/>
      <c r="D205" s="1389" t="s">
        <v>2339</v>
      </c>
      <c r="E205" s="1395" t="s">
        <v>961</v>
      </c>
      <c r="F205" s="1187" t="s">
        <v>2351</v>
      </c>
      <c r="G205" s="1185" t="s">
        <v>3057</v>
      </c>
      <c r="H205" s="1188">
        <v>5414.61</v>
      </c>
      <c r="I205" s="1188">
        <v>5418.87</v>
      </c>
      <c r="J205" s="1189">
        <f t="shared" si="10"/>
        <v>4.2600000000002183</v>
      </c>
      <c r="K205" s="1186">
        <v>6000</v>
      </c>
      <c r="L205" s="1186">
        <f t="shared" si="11"/>
        <v>25560.00000000131</v>
      </c>
      <c r="M205" s="1186">
        <v>42020.4739999987</v>
      </c>
      <c r="N205" s="1191">
        <f t="shared" si="12"/>
        <v>0.67580474000000013</v>
      </c>
      <c r="P205" t="s">
        <v>1970</v>
      </c>
    </row>
    <row r="206" spans="1:16">
      <c r="A206" s="1186">
        <v>199</v>
      </c>
      <c r="B206" s="1401"/>
      <c r="C206" s="1394"/>
      <c r="D206" s="1389"/>
      <c r="E206" s="1396"/>
      <c r="F206" s="1187" t="s">
        <v>2345</v>
      </c>
      <c r="G206" s="1185" t="s">
        <v>3057</v>
      </c>
      <c r="H206" s="1188">
        <v>735327.5</v>
      </c>
      <c r="I206" s="1188">
        <v>746884</v>
      </c>
      <c r="J206" s="1189">
        <f t="shared" si="10"/>
        <v>11556.5</v>
      </c>
      <c r="K206" s="1186">
        <v>60</v>
      </c>
      <c r="L206" s="1186">
        <f t="shared" si="11"/>
        <v>693390</v>
      </c>
      <c r="M206" s="1186">
        <v>295844.37540000002</v>
      </c>
      <c r="N206" s="1191">
        <f t="shared" si="12"/>
        <v>9.8923437540000005</v>
      </c>
      <c r="P206" t="s">
        <v>1972</v>
      </c>
    </row>
    <row r="207" spans="1:16">
      <c r="A207" s="1186">
        <v>200</v>
      </c>
      <c r="B207" s="1401"/>
      <c r="C207" s="1394"/>
      <c r="D207" s="1389"/>
      <c r="E207" s="1396"/>
      <c r="F207" s="1187" t="s">
        <v>2348</v>
      </c>
      <c r="G207" s="1185" t="s">
        <v>3057</v>
      </c>
      <c r="H207" s="1188">
        <v>102483.1</v>
      </c>
      <c r="I207" s="1188">
        <v>103387.2</v>
      </c>
      <c r="J207" s="1189">
        <f t="shared" si="10"/>
        <v>904.09999999999127</v>
      </c>
      <c r="K207" s="1186">
        <v>2000</v>
      </c>
      <c r="L207" s="1186">
        <f t="shared" si="11"/>
        <v>1808199.9999999825</v>
      </c>
      <c r="M207" s="1186">
        <v>0</v>
      </c>
      <c r="N207" s="1191">
        <f t="shared" si="12"/>
        <v>18.081999999999827</v>
      </c>
      <c r="P207" t="s">
        <v>1974</v>
      </c>
    </row>
    <row r="208" spans="1:16">
      <c r="A208" s="1186">
        <v>201</v>
      </c>
      <c r="B208" s="1401"/>
      <c r="C208" s="1394"/>
      <c r="D208" s="1389" t="s">
        <v>3092</v>
      </c>
      <c r="E208" s="1397"/>
      <c r="F208" s="1187" t="s">
        <v>1973</v>
      </c>
      <c r="G208" s="1185" t="s">
        <v>3057</v>
      </c>
      <c r="H208" s="1188">
        <v>1711294.5</v>
      </c>
      <c r="I208" s="1188">
        <v>1732085.5</v>
      </c>
      <c r="J208" s="1189">
        <f t="shared" si="10"/>
        <v>20791</v>
      </c>
      <c r="K208" s="1186">
        <v>40</v>
      </c>
      <c r="L208" s="1186">
        <f t="shared" si="11"/>
        <v>831640</v>
      </c>
      <c r="M208" s="1186">
        <v>609719.98620000004</v>
      </c>
      <c r="N208" s="1191">
        <f t="shared" si="12"/>
        <v>14.413599862000002</v>
      </c>
      <c r="P208" t="s">
        <v>1979</v>
      </c>
    </row>
    <row r="209" spans="1:16">
      <c r="A209" s="1186">
        <v>202</v>
      </c>
      <c r="B209" s="1401"/>
      <c r="C209" s="1394"/>
      <c r="D209" s="1389"/>
      <c r="E209" s="1395" t="s">
        <v>1314</v>
      </c>
      <c r="F209" s="1187" t="s">
        <v>1978</v>
      </c>
      <c r="G209" s="1185" t="s">
        <v>3057</v>
      </c>
      <c r="H209" s="1188">
        <v>40815.5</v>
      </c>
      <c r="I209" s="1188">
        <v>41104.300000000003</v>
      </c>
      <c r="J209" s="1189">
        <f t="shared" si="10"/>
        <v>288.80000000000291</v>
      </c>
      <c r="K209" s="1186">
        <v>2000</v>
      </c>
      <c r="L209" s="1186">
        <f t="shared" si="11"/>
        <v>577600.00000000582</v>
      </c>
      <c r="M209" s="1186">
        <v>0</v>
      </c>
      <c r="N209" s="1191">
        <f t="shared" si="12"/>
        <v>5.7760000000000584</v>
      </c>
      <c r="P209" t="s">
        <v>1981</v>
      </c>
    </row>
    <row r="210" spans="1:16">
      <c r="A210" s="1186">
        <v>203</v>
      </c>
      <c r="B210" s="1401"/>
      <c r="C210" s="1394"/>
      <c r="D210" s="1389"/>
      <c r="E210" s="1396"/>
      <c r="F210" s="1187" t="s">
        <v>1980</v>
      </c>
      <c r="G210" s="1185" t="s">
        <v>3057</v>
      </c>
      <c r="H210" s="1188">
        <v>5456.5</v>
      </c>
      <c r="I210" s="1188">
        <v>5568.05</v>
      </c>
      <c r="J210" s="1189">
        <f t="shared" si="10"/>
        <v>111.55000000000018</v>
      </c>
      <c r="K210" s="1186">
        <v>6000</v>
      </c>
      <c r="L210" s="1186">
        <f t="shared" si="11"/>
        <v>669300.00000000105</v>
      </c>
      <c r="M210" s="1186">
        <v>0</v>
      </c>
      <c r="N210" s="1191">
        <f t="shared" si="12"/>
        <v>6.6930000000000103</v>
      </c>
      <c r="P210" t="s">
        <v>1983</v>
      </c>
    </row>
    <row r="211" spans="1:16" ht="15" customHeight="1">
      <c r="A211" s="1186">
        <v>204</v>
      </c>
      <c r="B211" s="1401"/>
      <c r="C211" s="1394"/>
      <c r="D211" s="1389"/>
      <c r="E211" s="1397"/>
      <c r="F211" s="1187" t="s">
        <v>1982</v>
      </c>
      <c r="G211" s="1185" t="s">
        <v>3057</v>
      </c>
      <c r="H211" s="1188">
        <v>69526.100000000006</v>
      </c>
      <c r="I211" s="1188">
        <v>69551.3</v>
      </c>
      <c r="J211" s="1189">
        <f t="shared" si="10"/>
        <v>25.19999999999709</v>
      </c>
      <c r="K211" s="1186">
        <v>2000</v>
      </c>
      <c r="L211" s="1186">
        <f t="shared" si="11"/>
        <v>50399.999999994179</v>
      </c>
      <c r="M211" s="1186">
        <v>984605.86020000605</v>
      </c>
      <c r="N211" s="1191">
        <f t="shared" si="12"/>
        <v>10.350058602000002</v>
      </c>
      <c r="P211" t="s">
        <v>1990</v>
      </c>
    </row>
    <row r="212" spans="1:16" ht="15" customHeight="1">
      <c r="A212" s="1186">
        <v>205</v>
      </c>
      <c r="B212" s="1401"/>
      <c r="C212" s="1394"/>
      <c r="D212" s="1389" t="s">
        <v>222</v>
      </c>
      <c r="E212" s="1395" t="s">
        <v>222</v>
      </c>
      <c r="F212" s="1187" t="s">
        <v>2325</v>
      </c>
      <c r="G212" s="1185" t="s">
        <v>3057</v>
      </c>
      <c r="H212" s="1188">
        <v>12645.2</v>
      </c>
      <c r="I212" s="1188">
        <v>12960.7</v>
      </c>
      <c r="J212" s="1189">
        <f t="shared" si="10"/>
        <v>315.5</v>
      </c>
      <c r="K212" s="1186">
        <v>1600</v>
      </c>
      <c r="L212" s="1186">
        <f t="shared" si="11"/>
        <v>504800</v>
      </c>
      <c r="M212" s="1186">
        <v>-44479.6875</v>
      </c>
      <c r="N212" s="1191">
        <f t="shared" si="12"/>
        <v>4.6032031250000003</v>
      </c>
      <c r="P212" t="s">
        <v>1992</v>
      </c>
    </row>
    <row r="213" spans="1:16">
      <c r="A213" s="1186">
        <v>206</v>
      </c>
      <c r="B213" s="1401"/>
      <c r="C213" s="1394"/>
      <c r="D213" s="1389"/>
      <c r="E213" s="1396"/>
      <c r="F213" s="1187" t="s">
        <v>2328</v>
      </c>
      <c r="G213" s="1185" t="s">
        <v>3057</v>
      </c>
      <c r="H213" s="1188">
        <v>23403.5</v>
      </c>
      <c r="I213" s="1188">
        <v>23653.7</v>
      </c>
      <c r="J213" s="1189">
        <f t="shared" si="10"/>
        <v>250.20000000000073</v>
      </c>
      <c r="K213" s="1186">
        <v>2000</v>
      </c>
      <c r="L213" s="1186">
        <f t="shared" si="11"/>
        <v>500400.00000000146</v>
      </c>
      <c r="M213" s="1186">
        <v>0</v>
      </c>
      <c r="N213" s="1191">
        <f t="shared" si="12"/>
        <v>5.0040000000000147</v>
      </c>
      <c r="P213" t="s">
        <v>1838</v>
      </c>
    </row>
    <row r="214" spans="1:16">
      <c r="A214" s="1186">
        <v>207</v>
      </c>
      <c r="B214" s="1401"/>
      <c r="C214" s="1394"/>
      <c r="D214" s="1389"/>
      <c r="E214" s="1396"/>
      <c r="F214" s="1187" t="s">
        <v>2330</v>
      </c>
      <c r="G214" s="1185" t="s">
        <v>3057</v>
      </c>
      <c r="H214" s="1188">
        <v>26559.4</v>
      </c>
      <c r="I214" s="1188">
        <v>26559.4</v>
      </c>
      <c r="J214" s="1189">
        <f t="shared" si="10"/>
        <v>0</v>
      </c>
      <c r="K214" s="1186">
        <v>2000</v>
      </c>
      <c r="L214" s="1186">
        <f t="shared" si="11"/>
        <v>0</v>
      </c>
      <c r="M214" s="1186">
        <v>637640.62390000001</v>
      </c>
      <c r="N214" s="1191">
        <f t="shared" si="12"/>
        <v>6.3764062390000005</v>
      </c>
      <c r="P214" t="s">
        <v>1996</v>
      </c>
    </row>
    <row r="215" spans="1:16">
      <c r="A215" s="1186">
        <v>208</v>
      </c>
      <c r="B215" s="1401"/>
      <c r="C215" s="1394"/>
      <c r="D215" s="1389"/>
      <c r="E215" s="1396"/>
      <c r="F215" s="1187" t="s">
        <v>2321</v>
      </c>
      <c r="G215" s="1185" t="s">
        <v>3057</v>
      </c>
      <c r="H215" s="1188">
        <v>43835.7</v>
      </c>
      <c r="I215" s="1188">
        <v>44075.6</v>
      </c>
      <c r="J215" s="1189">
        <f t="shared" si="10"/>
        <v>239.90000000000146</v>
      </c>
      <c r="K215" s="1186">
        <v>2000</v>
      </c>
      <c r="L215" s="1186">
        <f t="shared" si="11"/>
        <v>479800.00000000291</v>
      </c>
      <c r="M215" s="1186">
        <v>0</v>
      </c>
      <c r="N215" s="1191">
        <f t="shared" si="12"/>
        <v>4.7980000000000294</v>
      </c>
      <c r="P215" t="s">
        <v>1998</v>
      </c>
    </row>
    <row r="216" spans="1:16">
      <c r="A216" s="1186">
        <v>209</v>
      </c>
      <c r="B216" s="1401"/>
      <c r="C216" s="1394"/>
      <c r="D216" s="1389"/>
      <c r="E216" s="1396"/>
      <c r="F216" s="1187" t="s">
        <v>2323</v>
      </c>
      <c r="G216" s="1185" t="s">
        <v>3057</v>
      </c>
      <c r="H216" s="1188">
        <v>2515.9</v>
      </c>
      <c r="I216" s="1188">
        <v>2576.1</v>
      </c>
      <c r="J216" s="1189">
        <f t="shared" si="10"/>
        <v>60.199999999999818</v>
      </c>
      <c r="K216" s="1186">
        <v>2000</v>
      </c>
      <c r="L216" s="1186">
        <f t="shared" si="11"/>
        <v>120399.99999999964</v>
      </c>
      <c r="M216" s="1186">
        <v>0</v>
      </c>
      <c r="N216" s="1191">
        <f t="shared" si="12"/>
        <v>1.2039999999999964</v>
      </c>
      <c r="P216" t="s">
        <v>2000</v>
      </c>
    </row>
    <row r="217" spans="1:16">
      <c r="A217" s="1186">
        <v>210</v>
      </c>
      <c r="B217" s="1401"/>
      <c r="C217" s="1394"/>
      <c r="D217" s="1389"/>
      <c r="E217" s="1397"/>
      <c r="F217" s="1187" t="s">
        <v>1999</v>
      </c>
      <c r="G217" s="1185" t="s">
        <v>3057</v>
      </c>
      <c r="H217" s="1188">
        <v>5135.13</v>
      </c>
      <c r="I217" s="1188">
        <v>5274.68</v>
      </c>
      <c r="J217" s="1189">
        <f t="shared" si="10"/>
        <v>139.55000000000018</v>
      </c>
      <c r="K217" s="1186">
        <v>4000</v>
      </c>
      <c r="L217" s="1186">
        <f t="shared" si="11"/>
        <v>558200.0000000007</v>
      </c>
      <c r="M217" s="1186">
        <v>0</v>
      </c>
      <c r="N217" s="1191">
        <f t="shared" si="12"/>
        <v>5.582000000000007</v>
      </c>
      <c r="P217" t="s">
        <v>2006</v>
      </c>
    </row>
    <row r="218" spans="1:16">
      <c r="A218" s="1186">
        <v>211</v>
      </c>
      <c r="B218" s="1401"/>
      <c r="C218" s="1394"/>
      <c r="D218" s="1389"/>
      <c r="E218" s="1395" t="s">
        <v>1315</v>
      </c>
      <c r="F218" s="1187" t="s">
        <v>2005</v>
      </c>
      <c r="G218" s="1185" t="s">
        <v>3057</v>
      </c>
      <c r="H218" s="1188">
        <v>3336.7</v>
      </c>
      <c r="I218" s="1188">
        <v>3369.98</v>
      </c>
      <c r="J218" s="1189">
        <f t="shared" si="10"/>
        <v>33.2800000000002</v>
      </c>
      <c r="K218" s="1186">
        <v>20000</v>
      </c>
      <c r="L218" s="1186">
        <f t="shared" si="11"/>
        <v>665600.00000000396</v>
      </c>
      <c r="M218" s="1186">
        <v>0</v>
      </c>
      <c r="N218" s="1191">
        <f t="shared" si="12"/>
        <v>6.6560000000000397</v>
      </c>
      <c r="P218" t="s">
        <v>2008</v>
      </c>
    </row>
    <row r="219" spans="1:16">
      <c r="A219" s="1186">
        <v>212</v>
      </c>
      <c r="B219" s="1401"/>
      <c r="C219" s="1394"/>
      <c r="D219" s="1389"/>
      <c r="E219" s="1396"/>
      <c r="F219" s="1187" t="s">
        <v>2007</v>
      </c>
      <c r="G219" s="1185" t="s">
        <v>3057</v>
      </c>
      <c r="H219" s="1188">
        <v>38167.9</v>
      </c>
      <c r="I219" s="1188">
        <v>38193.1</v>
      </c>
      <c r="J219" s="1189">
        <f t="shared" si="10"/>
        <v>25.19999999999709</v>
      </c>
      <c r="K219" s="1186">
        <v>2000</v>
      </c>
      <c r="L219" s="1186">
        <f t="shared" si="11"/>
        <v>50399.999999994179</v>
      </c>
      <c r="M219" s="1186">
        <v>966158.59290000587</v>
      </c>
      <c r="N219" s="1191">
        <f t="shared" si="12"/>
        <v>10.165585929000001</v>
      </c>
      <c r="P219" t="s">
        <v>2010</v>
      </c>
    </row>
    <row r="220" spans="1:16">
      <c r="A220" s="1186">
        <v>213</v>
      </c>
      <c r="B220" s="1401"/>
      <c r="C220" s="1394"/>
      <c r="D220" s="1389"/>
      <c r="E220" s="1396"/>
      <c r="F220" s="1187" t="s">
        <v>2009</v>
      </c>
      <c r="G220" s="1185" t="s">
        <v>3057</v>
      </c>
      <c r="H220" s="1188">
        <v>5504.48</v>
      </c>
      <c r="I220" s="1188">
        <v>5603.99</v>
      </c>
      <c r="J220" s="1189">
        <f t="shared" si="10"/>
        <v>99.510000000000218</v>
      </c>
      <c r="K220" s="1186">
        <v>6000</v>
      </c>
      <c r="L220" s="1186">
        <f t="shared" si="11"/>
        <v>597060.00000000128</v>
      </c>
      <c r="M220" s="1186">
        <v>164222.22509999876</v>
      </c>
      <c r="N220" s="1191">
        <f t="shared" si="12"/>
        <v>7.6128222510000008</v>
      </c>
      <c r="P220" t="s">
        <v>2011</v>
      </c>
    </row>
    <row r="221" spans="1:16">
      <c r="A221" s="1186">
        <v>214</v>
      </c>
      <c r="B221" s="1401"/>
      <c r="C221" s="1394"/>
      <c r="D221" s="1389"/>
      <c r="E221" s="1396"/>
      <c r="F221" s="1187" t="s">
        <v>931</v>
      </c>
      <c r="G221" s="1185" t="s">
        <v>3057</v>
      </c>
      <c r="H221" s="1188">
        <v>37454.1</v>
      </c>
      <c r="I221" s="1188">
        <v>37903.599999999999</v>
      </c>
      <c r="J221" s="1189">
        <f t="shared" si="10"/>
        <v>449.5</v>
      </c>
      <c r="K221" s="1186">
        <v>2000</v>
      </c>
      <c r="L221" s="1186">
        <f t="shared" si="11"/>
        <v>899000</v>
      </c>
      <c r="M221" s="1186">
        <v>0</v>
      </c>
      <c r="N221" s="1191">
        <f t="shared" si="12"/>
        <v>8.99</v>
      </c>
      <c r="P221" t="s">
        <v>2013</v>
      </c>
    </row>
    <row r="222" spans="1:16">
      <c r="A222" s="1186">
        <v>215</v>
      </c>
      <c r="B222" s="1401"/>
      <c r="C222" s="1394"/>
      <c r="D222" s="1389"/>
      <c r="E222" s="1396"/>
      <c r="F222" s="1187" t="s">
        <v>2012</v>
      </c>
      <c r="G222" s="1185" t="s">
        <v>3057</v>
      </c>
      <c r="H222" s="1188">
        <v>3510.72</v>
      </c>
      <c r="I222" s="1188">
        <v>3552.24</v>
      </c>
      <c r="J222" s="1189">
        <f t="shared" si="10"/>
        <v>41.519999999999982</v>
      </c>
      <c r="K222" s="1186">
        <v>6000</v>
      </c>
      <c r="L222" s="1186">
        <f t="shared" si="11"/>
        <v>249119.99999999988</v>
      </c>
      <c r="M222" s="1186">
        <v>400000</v>
      </c>
      <c r="N222" s="1191">
        <f t="shared" si="12"/>
        <v>6.4911999999999992</v>
      </c>
      <c r="P222" t="s">
        <v>2018</v>
      </c>
    </row>
    <row r="223" spans="1:16">
      <c r="A223" s="1186">
        <v>216</v>
      </c>
      <c r="B223" s="1401"/>
      <c r="C223" s="1394"/>
      <c r="D223" s="1391" t="s">
        <v>3092</v>
      </c>
      <c r="E223" s="1395" t="s">
        <v>1213</v>
      </c>
      <c r="F223" s="1187" t="s">
        <v>2017</v>
      </c>
      <c r="G223" s="1185" t="s">
        <v>3057</v>
      </c>
      <c r="H223" s="1188">
        <v>27469.1</v>
      </c>
      <c r="I223" s="1188">
        <v>27662.6</v>
      </c>
      <c r="J223" s="1189">
        <f t="shared" si="10"/>
        <v>193.5</v>
      </c>
      <c r="K223" s="1186">
        <v>2000</v>
      </c>
      <c r="L223" s="1186">
        <f t="shared" si="11"/>
        <v>387000</v>
      </c>
      <c r="M223" s="1186">
        <v>600000</v>
      </c>
      <c r="N223" s="1191">
        <f t="shared" si="12"/>
        <v>9.8699999999999992</v>
      </c>
      <c r="P223" t="s">
        <v>2019</v>
      </c>
    </row>
    <row r="224" spans="1:16">
      <c r="A224" s="1186">
        <v>217</v>
      </c>
      <c r="B224" s="1401"/>
      <c r="C224" s="1394"/>
      <c r="D224" s="1392"/>
      <c r="E224" s="1396"/>
      <c r="F224" s="1187" t="s">
        <v>1213</v>
      </c>
      <c r="G224" s="1185" t="s">
        <v>3057</v>
      </c>
      <c r="H224" s="1188">
        <v>54803</v>
      </c>
      <c r="I224" s="1188">
        <v>54803</v>
      </c>
      <c r="J224" s="1189">
        <f t="shared" si="10"/>
        <v>0</v>
      </c>
      <c r="K224" s="1186">
        <v>2000</v>
      </c>
      <c r="L224" s="1186">
        <f t="shared" si="11"/>
        <v>0</v>
      </c>
      <c r="M224" s="1186">
        <v>795186</v>
      </c>
      <c r="N224" s="1191">
        <f t="shared" si="12"/>
        <v>7.9518599999999999</v>
      </c>
      <c r="P224" t="s">
        <v>2021</v>
      </c>
    </row>
    <row r="225" spans="1:16">
      <c r="A225" s="1186">
        <v>218</v>
      </c>
      <c r="B225" s="1401"/>
      <c r="C225" s="1394"/>
      <c r="D225" s="1392"/>
      <c r="E225" s="1396"/>
      <c r="F225" s="1187" t="s">
        <v>2020</v>
      </c>
      <c r="G225" s="1185" t="s">
        <v>3057</v>
      </c>
      <c r="H225" s="1188">
        <v>3988.1</v>
      </c>
      <c r="I225" s="1188">
        <v>4019.1</v>
      </c>
      <c r="J225" s="1189">
        <f t="shared" si="10"/>
        <v>31</v>
      </c>
      <c r="K225" s="1186">
        <v>2000</v>
      </c>
      <c r="L225" s="1186">
        <f t="shared" si="11"/>
        <v>62000</v>
      </c>
      <c r="M225" s="1186">
        <v>0</v>
      </c>
      <c r="N225" s="1191">
        <f t="shared" si="12"/>
        <v>0.62</v>
      </c>
    </row>
    <row r="226" spans="1:16">
      <c r="A226" s="1186">
        <v>219</v>
      </c>
      <c r="B226" s="1401"/>
      <c r="C226" s="1394"/>
      <c r="D226" s="1393"/>
      <c r="E226" s="1397"/>
      <c r="F226" s="1187" t="s">
        <v>1570</v>
      </c>
      <c r="G226" s="1185" t="s">
        <v>3057</v>
      </c>
      <c r="H226" s="1203">
        <v>490.92</v>
      </c>
      <c r="I226" s="1188">
        <v>535.80999999999995</v>
      </c>
      <c r="J226" s="1189">
        <f t="shared" si="10"/>
        <v>44.88999999999993</v>
      </c>
      <c r="K226" s="1186">
        <v>1000</v>
      </c>
      <c r="L226" s="1188">
        <f>J226*K226</f>
        <v>44889.999999999927</v>
      </c>
      <c r="M226" s="1186">
        <v>1477000</v>
      </c>
      <c r="N226" s="1191">
        <f t="shared" si="12"/>
        <v>15.2189</v>
      </c>
      <c r="P226" t="s">
        <v>2026</v>
      </c>
    </row>
    <row r="227" spans="1:16">
      <c r="A227" s="1186">
        <v>220</v>
      </c>
      <c r="B227" s="1401"/>
      <c r="C227" s="1394"/>
      <c r="D227" s="1389" t="s">
        <v>2339</v>
      </c>
      <c r="E227" s="1395" t="s">
        <v>2025</v>
      </c>
      <c r="F227" s="1187" t="s">
        <v>2025</v>
      </c>
      <c r="G227" s="1185" t="s">
        <v>3057</v>
      </c>
      <c r="H227" s="1188">
        <v>33305.300000000003</v>
      </c>
      <c r="I227" s="1188">
        <v>33807.800000000003</v>
      </c>
      <c r="J227" s="1189">
        <f t="shared" si="10"/>
        <v>502.5</v>
      </c>
      <c r="K227" s="1186">
        <v>2000</v>
      </c>
      <c r="L227" s="1186">
        <f t="shared" si="11"/>
        <v>1005000</v>
      </c>
      <c r="M227" s="1186">
        <v>0</v>
      </c>
      <c r="N227" s="1191">
        <f t="shared" si="12"/>
        <v>10.050000000000001</v>
      </c>
      <c r="P227" t="s">
        <v>2028</v>
      </c>
    </row>
    <row r="228" spans="1:16">
      <c r="A228" s="1186">
        <v>221</v>
      </c>
      <c r="B228" s="1401"/>
      <c r="C228" s="1394"/>
      <c r="D228" s="1389"/>
      <c r="E228" s="1396"/>
      <c r="F228" s="1187" t="s">
        <v>2353</v>
      </c>
      <c r="G228" s="1185" t="s">
        <v>3057</v>
      </c>
      <c r="H228" s="1188">
        <v>48810</v>
      </c>
      <c r="I228" s="1188">
        <v>53412.3</v>
      </c>
      <c r="J228" s="1189">
        <f t="shared" si="10"/>
        <v>4602.3000000000029</v>
      </c>
      <c r="K228" s="1186">
        <v>200</v>
      </c>
      <c r="L228" s="1186">
        <f t="shared" si="11"/>
        <v>920460.00000000058</v>
      </c>
      <c r="M228" s="1186">
        <v>0</v>
      </c>
      <c r="N228" s="1191">
        <f t="shared" si="12"/>
        <v>9.2046000000000063</v>
      </c>
      <c r="P228" t="s">
        <v>2030</v>
      </c>
    </row>
    <row r="229" spans="1:16">
      <c r="A229" s="1186">
        <v>222</v>
      </c>
      <c r="B229" s="1401"/>
      <c r="C229" s="1394"/>
      <c r="D229" s="1389"/>
      <c r="E229" s="1397"/>
      <c r="F229" s="1187" t="s">
        <v>2029</v>
      </c>
      <c r="G229" s="1185" t="s">
        <v>3057</v>
      </c>
      <c r="H229" s="1188">
        <v>17329.7</v>
      </c>
      <c r="I229" s="1188">
        <v>17513.5</v>
      </c>
      <c r="J229" s="1189">
        <f t="shared" si="10"/>
        <v>183.79999999999927</v>
      </c>
      <c r="K229" s="1186">
        <v>2000</v>
      </c>
      <c r="L229" s="1186">
        <f t="shared" si="11"/>
        <v>367599.99999999854</v>
      </c>
      <c r="M229" s="1186">
        <v>0</v>
      </c>
      <c r="N229" s="1191">
        <f t="shared" si="12"/>
        <v>3.6759999999999855</v>
      </c>
      <c r="P229" t="s">
        <v>2034</v>
      </c>
    </row>
    <row r="230" spans="1:16">
      <c r="A230" s="1186">
        <v>223</v>
      </c>
      <c r="B230" s="1401"/>
      <c r="C230" s="1394"/>
      <c r="D230" s="1389" t="s">
        <v>2262</v>
      </c>
      <c r="E230" s="1395" t="s">
        <v>2278</v>
      </c>
      <c r="F230" s="1187" t="s">
        <v>2280</v>
      </c>
      <c r="G230" s="1185" t="s">
        <v>3057</v>
      </c>
      <c r="H230" s="1188">
        <v>16110.8</v>
      </c>
      <c r="I230" s="1188">
        <v>16482.2</v>
      </c>
      <c r="J230" s="1189">
        <f t="shared" si="10"/>
        <v>371.40000000000146</v>
      </c>
      <c r="K230" s="1186">
        <v>2000</v>
      </c>
      <c r="L230" s="1186">
        <f t="shared" si="11"/>
        <v>742800.00000000291</v>
      </c>
      <c r="M230" s="1186">
        <v>0</v>
      </c>
      <c r="N230" s="1191">
        <f t="shared" si="12"/>
        <v>7.4280000000000292</v>
      </c>
      <c r="P230" t="s">
        <v>2036</v>
      </c>
    </row>
    <row r="231" spans="1:16">
      <c r="A231" s="1186">
        <v>224</v>
      </c>
      <c r="B231" s="1401"/>
      <c r="C231" s="1394"/>
      <c r="D231" s="1389"/>
      <c r="E231" s="1396"/>
      <c r="F231" s="1187" t="s">
        <v>2278</v>
      </c>
      <c r="G231" s="1185" t="s">
        <v>3057</v>
      </c>
      <c r="H231" s="1188">
        <v>12292.2</v>
      </c>
      <c r="I231" s="1188">
        <v>12452.4</v>
      </c>
      <c r="J231" s="1189">
        <f t="shared" si="10"/>
        <v>160.19999999999891</v>
      </c>
      <c r="K231" s="1186">
        <v>2000</v>
      </c>
      <c r="L231" s="1186">
        <f t="shared" si="11"/>
        <v>320399.99999999779</v>
      </c>
      <c r="M231" s="1186">
        <v>0</v>
      </c>
      <c r="N231" s="1191">
        <f t="shared" si="12"/>
        <v>3.203999999999978</v>
      </c>
      <c r="P231" t="s">
        <v>2038</v>
      </c>
    </row>
    <row r="232" spans="1:16" ht="15" customHeight="1">
      <c r="A232" s="1186">
        <v>225</v>
      </c>
      <c r="B232" s="1401"/>
      <c r="C232" s="1394"/>
      <c r="D232" s="1389"/>
      <c r="E232" s="1397"/>
      <c r="F232" s="1187" t="s">
        <v>2282</v>
      </c>
      <c r="G232" s="1185" t="s">
        <v>3057</v>
      </c>
      <c r="H232" s="1188">
        <v>16718.73</v>
      </c>
      <c r="I232" s="1188">
        <v>16895.240000000002</v>
      </c>
      <c r="J232" s="1189">
        <f t="shared" si="10"/>
        <v>176.51000000000204</v>
      </c>
      <c r="K232" s="1186">
        <v>2000</v>
      </c>
      <c r="L232" s="1186">
        <f t="shared" si="11"/>
        <v>353020.00000000407</v>
      </c>
      <c r="M232" s="1186">
        <v>0</v>
      </c>
      <c r="N232" s="1191">
        <f t="shared" si="12"/>
        <v>3.5302000000000406</v>
      </c>
      <c r="P232">
        <v>7060898</v>
      </c>
    </row>
    <row r="233" spans="1:16" ht="15" customHeight="1">
      <c r="A233" s="1186">
        <v>226</v>
      </c>
      <c r="B233" s="1401"/>
      <c r="C233" s="1394"/>
      <c r="D233" s="1389" t="s">
        <v>222</v>
      </c>
      <c r="E233" s="1395" t="s">
        <v>2358</v>
      </c>
      <c r="F233" s="1187" t="s">
        <v>3094</v>
      </c>
      <c r="G233" s="1185" t="s">
        <v>3057</v>
      </c>
      <c r="H233" s="1188">
        <v>1352.9</v>
      </c>
      <c r="I233" s="1188">
        <v>1460.9</v>
      </c>
      <c r="J233" s="1189">
        <f t="shared" si="10"/>
        <v>108</v>
      </c>
      <c r="K233" s="1186">
        <v>66.665999999999997</v>
      </c>
      <c r="L233" s="1186">
        <f t="shared" si="11"/>
        <v>7199.9279999999999</v>
      </c>
      <c r="M233" s="1186">
        <v>5740.092200000001</v>
      </c>
      <c r="N233" s="1191">
        <f t="shared" si="12"/>
        <v>0.12940020200000002</v>
      </c>
      <c r="P233">
        <v>7060896</v>
      </c>
    </row>
    <row r="234" spans="1:16">
      <c r="A234" s="1186">
        <v>227</v>
      </c>
      <c r="B234" s="1401"/>
      <c r="C234" s="1394"/>
      <c r="D234" s="1389"/>
      <c r="E234" s="1396"/>
      <c r="F234" s="1187" t="s">
        <v>3095</v>
      </c>
      <c r="G234" s="1185" t="s">
        <v>3057</v>
      </c>
      <c r="H234" s="1188">
        <v>597.1</v>
      </c>
      <c r="I234" s="1188">
        <v>700</v>
      </c>
      <c r="J234" s="1189">
        <f t="shared" si="10"/>
        <v>102.89999999999998</v>
      </c>
      <c r="K234" s="1186">
        <v>66.665999999999997</v>
      </c>
      <c r="L234" s="1186">
        <f t="shared" si="11"/>
        <v>6859.9313999999986</v>
      </c>
      <c r="M234" s="1186">
        <v>6960.0668000000014</v>
      </c>
      <c r="N234" s="1191">
        <f t="shared" si="12"/>
        <v>0.138199982</v>
      </c>
      <c r="P234" t="s">
        <v>2046</v>
      </c>
    </row>
    <row r="235" spans="1:16">
      <c r="A235" s="1186">
        <v>228</v>
      </c>
      <c r="B235" s="1401"/>
      <c r="C235" s="1394"/>
      <c r="D235" s="1389"/>
      <c r="E235" s="1397"/>
      <c r="F235" s="1187" t="s">
        <v>3096</v>
      </c>
      <c r="G235" s="1185" t="s">
        <v>3057</v>
      </c>
      <c r="H235" s="1188">
        <v>155847.4</v>
      </c>
      <c r="I235" s="1188">
        <v>155848</v>
      </c>
      <c r="J235" s="1189">
        <f t="shared" si="10"/>
        <v>0.60000000000582077</v>
      </c>
      <c r="K235" s="1186">
        <v>1500</v>
      </c>
      <c r="L235" s="1186">
        <f t="shared" si="11"/>
        <v>900.00000000873115</v>
      </c>
      <c r="M235" s="1186">
        <v>10319.966899999999</v>
      </c>
      <c r="N235" s="1191">
        <f t="shared" si="12"/>
        <v>0.11219966900008731</v>
      </c>
      <c r="P235" t="s">
        <v>2051</v>
      </c>
    </row>
    <row r="236" spans="1:16">
      <c r="A236" s="1186">
        <v>229</v>
      </c>
      <c r="B236" s="1401"/>
      <c r="C236" s="1394"/>
      <c r="D236" s="1389" t="s">
        <v>973</v>
      </c>
      <c r="E236" s="1390" t="s">
        <v>1221</v>
      </c>
      <c r="F236" s="1187" t="s">
        <v>2050</v>
      </c>
      <c r="G236" s="1185" t="s">
        <v>3057</v>
      </c>
      <c r="H236" s="1188">
        <v>4871.3999999999996</v>
      </c>
      <c r="I236" s="1188">
        <v>5134.7700000000004</v>
      </c>
      <c r="J236" s="1189">
        <f t="shared" si="10"/>
        <v>263.3700000000008</v>
      </c>
      <c r="K236" s="1186">
        <v>6000</v>
      </c>
      <c r="L236" s="1186">
        <f t="shared" si="11"/>
        <v>1580220.0000000049</v>
      </c>
      <c r="M236" s="1186">
        <v>0</v>
      </c>
      <c r="N236" s="1191">
        <f t="shared" si="12"/>
        <v>15.802200000000049</v>
      </c>
      <c r="P236" t="s">
        <v>2053</v>
      </c>
    </row>
    <row r="237" spans="1:16">
      <c r="A237" s="1186">
        <v>230</v>
      </c>
      <c r="B237" s="1401"/>
      <c r="C237" s="1394"/>
      <c r="D237" s="1389"/>
      <c r="E237" s="1390"/>
      <c r="F237" s="1187" t="s">
        <v>2052</v>
      </c>
      <c r="G237" s="1185" t="s">
        <v>3057</v>
      </c>
      <c r="H237" s="1188">
        <v>1740.68</v>
      </c>
      <c r="I237" s="1188">
        <v>1784.16</v>
      </c>
      <c r="J237" s="1189">
        <f t="shared" si="10"/>
        <v>43.480000000000018</v>
      </c>
      <c r="K237" s="1186">
        <v>6000</v>
      </c>
      <c r="L237" s="1186">
        <f t="shared" si="11"/>
        <v>260880.00000000012</v>
      </c>
      <c r="M237" s="1186">
        <v>34080.202999999899</v>
      </c>
      <c r="N237" s="1191">
        <f t="shared" si="12"/>
        <v>2.9496020300000003</v>
      </c>
    </row>
    <row r="240" spans="1:16">
      <c r="F240" s="1204" t="s">
        <v>2071</v>
      </c>
      <c r="G240" s="1195" t="s">
        <v>2072</v>
      </c>
      <c r="H240" s="1188">
        <v>26601.3</v>
      </c>
      <c r="I240" s="1188">
        <v>26601.3</v>
      </c>
      <c r="J240" s="1188">
        <v>0</v>
      </c>
      <c r="K240" s="1188">
        <v>2000</v>
      </c>
      <c r="L240" s="1188">
        <v>0</v>
      </c>
      <c r="M240" s="1205">
        <v>325152.00000000006</v>
      </c>
      <c r="N240" s="1205">
        <f>L240+M240</f>
        <v>325152.00000000006</v>
      </c>
    </row>
  </sheetData>
  <autoFilter ref="A4:N237"/>
  <mergeCells count="133">
    <mergeCell ref="A1:N1"/>
    <mergeCell ref="A2:A3"/>
    <mergeCell ref="B2:B3"/>
    <mergeCell ref="C2:C3"/>
    <mergeCell ref="D2:D3"/>
    <mergeCell ref="E2:E3"/>
    <mergeCell ref="F2:F3"/>
    <mergeCell ref="G2:G3"/>
    <mergeCell ref="H2:J2"/>
    <mergeCell ref="M2:M3"/>
    <mergeCell ref="N2:N3"/>
    <mergeCell ref="B5:B237"/>
    <mergeCell ref="C5:C48"/>
    <mergeCell ref="D5:D10"/>
    <mergeCell ref="E5:E10"/>
    <mergeCell ref="A9:A10"/>
    <mergeCell ref="F9:F10"/>
    <mergeCell ref="D11:D16"/>
    <mergeCell ref="E11:E13"/>
    <mergeCell ref="E14:E16"/>
    <mergeCell ref="D17:D19"/>
    <mergeCell ref="E17:E19"/>
    <mergeCell ref="E20:E21"/>
    <mergeCell ref="D21:D24"/>
    <mergeCell ref="E22:E24"/>
    <mergeCell ref="D25:D26"/>
    <mergeCell ref="E25:E29"/>
    <mergeCell ref="D28:D29"/>
    <mergeCell ref="D30:D33"/>
    <mergeCell ref="E30:E33"/>
    <mergeCell ref="D34:D35"/>
    <mergeCell ref="E34:E35"/>
    <mergeCell ref="D36:D38"/>
    <mergeCell ref="E37:E38"/>
    <mergeCell ref="D39:D42"/>
    <mergeCell ref="E39:E42"/>
    <mergeCell ref="D43:D44"/>
    <mergeCell ref="E43:E44"/>
    <mergeCell ref="D45:D46"/>
    <mergeCell ref="E45:E46"/>
    <mergeCell ref="D47:D48"/>
    <mergeCell ref="E47:E48"/>
    <mergeCell ref="C49:C83"/>
    <mergeCell ref="D49:D50"/>
    <mergeCell ref="E49:E56"/>
    <mergeCell ref="D52:D54"/>
    <mergeCell ref="D57:D58"/>
    <mergeCell ref="E57:E63"/>
    <mergeCell ref="D60:D61"/>
    <mergeCell ref="D62:D67"/>
    <mergeCell ref="E64:E67"/>
    <mergeCell ref="D68:D70"/>
    <mergeCell ref="E68:E70"/>
    <mergeCell ref="D71:D74"/>
    <mergeCell ref="E71:E74"/>
    <mergeCell ref="D75:D78"/>
    <mergeCell ref="E75:E77"/>
    <mergeCell ref="E78:E81"/>
    <mergeCell ref="D79:D81"/>
    <mergeCell ref="E82:E83"/>
    <mergeCell ref="C84:C180"/>
    <mergeCell ref="D84:D91"/>
    <mergeCell ref="E84:E87"/>
    <mergeCell ref="E88:E91"/>
    <mergeCell ref="D92:D98"/>
    <mergeCell ref="E92:E98"/>
    <mergeCell ref="D99:D100"/>
    <mergeCell ref="E99:E102"/>
    <mergeCell ref="D101:D102"/>
    <mergeCell ref="D103:D108"/>
    <mergeCell ref="E103:E108"/>
    <mergeCell ref="D109:D113"/>
    <mergeCell ref="E109:E113"/>
    <mergeCell ref="D114:D117"/>
    <mergeCell ref="E114:E117"/>
    <mergeCell ref="D118:D120"/>
    <mergeCell ref="E118:E125"/>
    <mergeCell ref="D122:D136"/>
    <mergeCell ref="E126:E131"/>
    <mergeCell ref="E132:E136"/>
    <mergeCell ref="D137:D140"/>
    <mergeCell ref="E137:E140"/>
    <mergeCell ref="D141:D144"/>
    <mergeCell ref="E141:E144"/>
    <mergeCell ref="D145:D146"/>
    <mergeCell ref="E145:E146"/>
    <mergeCell ref="D147:D152"/>
    <mergeCell ref="E147:E149"/>
    <mergeCell ref="E150:E152"/>
    <mergeCell ref="D153:D156"/>
    <mergeCell ref="E153:E156"/>
    <mergeCell ref="D157:D161"/>
    <mergeCell ref="E157:E161"/>
    <mergeCell ref="D227:D229"/>
    <mergeCell ref="E227:E229"/>
    <mergeCell ref="D230:D232"/>
    <mergeCell ref="E230:E232"/>
    <mergeCell ref="D233:D235"/>
    <mergeCell ref="E233:E235"/>
    <mergeCell ref="D162:D163"/>
    <mergeCell ref="E162:E163"/>
    <mergeCell ref="D164:D166"/>
    <mergeCell ref="E164:E166"/>
    <mergeCell ref="D167:D169"/>
    <mergeCell ref="E167:E169"/>
    <mergeCell ref="D170:D172"/>
    <mergeCell ref="E170:E172"/>
    <mergeCell ref="D173:D175"/>
    <mergeCell ref="E173:E175"/>
    <mergeCell ref="D236:D237"/>
    <mergeCell ref="E236:E237"/>
    <mergeCell ref="D176:D177"/>
    <mergeCell ref="E176:E177"/>
    <mergeCell ref="D178:D180"/>
    <mergeCell ref="E178:E180"/>
    <mergeCell ref="C181:C237"/>
    <mergeCell ref="D181:D185"/>
    <mergeCell ref="E181:E185"/>
    <mergeCell ref="D186:D191"/>
    <mergeCell ref="E186:E191"/>
    <mergeCell ref="D192:D194"/>
    <mergeCell ref="E192:E194"/>
    <mergeCell ref="D195:D204"/>
    <mergeCell ref="E195:E204"/>
    <mergeCell ref="D205:D207"/>
    <mergeCell ref="E205:E208"/>
    <mergeCell ref="D208:D211"/>
    <mergeCell ref="E209:E211"/>
    <mergeCell ref="D212:D222"/>
    <mergeCell ref="E212:E217"/>
    <mergeCell ref="E218:E222"/>
    <mergeCell ref="D223:D226"/>
    <mergeCell ref="E223:E226"/>
  </mergeCells>
  <pageMargins left="0.7" right="0.7" top="0.75" bottom="0.75" header="0.51180555555555496" footer="0.51180555555555496"/>
  <pageSetup scale="70" firstPageNumber="0" orientation="landscape" horizontalDpi="300" verticalDpi="300"/>
  <drawing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720"/>
  <sheetViews>
    <sheetView topLeftCell="A685" zoomScaleNormal="100" workbookViewId="0">
      <selection activeCell="I697" sqref="I697"/>
    </sheetView>
  </sheetViews>
  <sheetFormatPr defaultRowHeight="15"/>
  <cols>
    <col min="1" max="1" width="5.5703125" style="386" customWidth="1"/>
    <col min="2" max="2" width="30.5703125" style="724" customWidth="1"/>
    <col min="3" max="3" width="11.140625" style="386" customWidth="1"/>
    <col min="4" max="5" width="16.5703125" style="386" customWidth="1"/>
    <col min="6" max="6" width="10.5703125" style="386" bestFit="1" customWidth="1"/>
    <col min="7" max="7" width="9" style="386" customWidth="1"/>
    <col min="8" max="8" width="10.7109375" style="386" customWidth="1"/>
    <col min="9" max="9" width="11" style="386" customWidth="1"/>
    <col min="10" max="10" width="12.5703125" style="386" customWidth="1"/>
    <col min="11" max="11" width="16.7109375" style="386" customWidth="1"/>
    <col min="12" max="12" width="14" style="386" customWidth="1"/>
    <col min="13" max="13" width="12.7109375" style="386" customWidth="1"/>
    <col min="14" max="14" width="11" style="386" customWidth="1"/>
    <col min="15" max="16" width="8.7109375" style="386" customWidth="1"/>
    <col min="17" max="17" width="11" style="386" customWidth="1"/>
    <col min="18" max="19" width="8.7109375" style="386" customWidth="1"/>
    <col min="20" max="20" width="9" style="386" customWidth="1"/>
    <col min="21" max="1025" width="9.140625" style="386" customWidth="1"/>
  </cols>
  <sheetData>
    <row r="1" spans="1:14" customFormat="1" ht="18">
      <c r="A1" s="1041" t="s">
        <v>1349</v>
      </c>
      <c r="B1" s="1042"/>
      <c r="C1" s="1042"/>
      <c r="D1" s="1042"/>
      <c r="E1" s="1042"/>
      <c r="F1" s="1042"/>
      <c r="G1" s="1042"/>
      <c r="H1" s="1042"/>
      <c r="I1" s="1042"/>
      <c r="J1" s="1042"/>
      <c r="K1" s="1043"/>
      <c r="L1" s="386"/>
      <c r="M1" s="386"/>
      <c r="N1" s="386"/>
    </row>
    <row r="2" spans="1:14" customFormat="1" ht="15" customHeight="1">
      <c r="A2" s="1044" t="s">
        <v>1350</v>
      </c>
      <c r="B2" s="1045"/>
      <c r="C2" s="1046"/>
      <c r="D2" s="1047" t="str">
        <f>'CIRCLE INPUT'!Q3</f>
        <v>OCT.2024</v>
      </c>
      <c r="E2" s="1182"/>
      <c r="F2" s="241"/>
      <c r="G2" s="241"/>
      <c r="H2" s="241"/>
      <c r="I2" s="241"/>
      <c r="J2" s="241"/>
      <c r="K2" s="241"/>
      <c r="L2" s="386"/>
      <c r="M2" s="386"/>
      <c r="N2" s="386"/>
    </row>
    <row r="3" spans="1:14" customFormat="1" ht="34.5" customHeight="1">
      <c r="A3" s="1238" t="s">
        <v>345</v>
      </c>
      <c r="B3" s="1240" t="s">
        <v>898</v>
      </c>
      <c r="C3" s="726" t="s">
        <v>1351</v>
      </c>
      <c r="D3" s="1049" t="s">
        <v>1352</v>
      </c>
      <c r="E3" s="1048"/>
      <c r="F3" s="1237" t="s">
        <v>1353</v>
      </c>
      <c r="G3" s="1238" t="s">
        <v>135</v>
      </c>
      <c r="H3" s="1238" t="s">
        <v>13</v>
      </c>
      <c r="I3" s="728" t="s">
        <v>292</v>
      </c>
      <c r="J3" s="1237" t="s">
        <v>291</v>
      </c>
      <c r="K3" s="729"/>
      <c r="L3" s="386" t="s">
        <v>291</v>
      </c>
      <c r="M3" s="386"/>
      <c r="N3" s="386"/>
    </row>
    <row r="4" spans="1:14" customFormat="1" ht="15.75">
      <c r="A4" s="1238"/>
      <c r="B4" s="1240"/>
      <c r="C4" s="238"/>
      <c r="D4" s="730">
        <v>45535</v>
      </c>
      <c r="E4" s="730">
        <v>45565</v>
      </c>
      <c r="F4" s="1238"/>
      <c r="G4" s="1238"/>
      <c r="H4" s="1238"/>
      <c r="I4" s="1238"/>
      <c r="J4" s="731"/>
      <c r="K4" s="241" t="s">
        <v>1354</v>
      </c>
      <c r="L4" s="386"/>
      <c r="M4" s="386"/>
      <c r="N4" s="386"/>
    </row>
    <row r="5" spans="1:14" customFormat="1">
      <c r="A5" s="241">
        <v>1</v>
      </c>
      <c r="B5" s="732" t="s">
        <v>1355</v>
      </c>
      <c r="C5" s="733"/>
      <c r="D5" s="241"/>
      <c r="E5" s="241"/>
      <c r="F5" s="241"/>
      <c r="G5" s="241"/>
      <c r="H5" s="241"/>
      <c r="I5" s="241"/>
      <c r="J5" s="241"/>
      <c r="K5" s="241"/>
      <c r="L5" s="386"/>
      <c r="M5" s="386"/>
      <c r="N5" s="386"/>
    </row>
    <row r="6" spans="1:14" customFormat="1" ht="14.45" customHeight="1">
      <c r="A6" s="241">
        <v>1</v>
      </c>
      <c r="B6" s="734" t="s">
        <v>1356</v>
      </c>
      <c r="C6" s="238" t="s">
        <v>1357</v>
      </c>
      <c r="D6" s="241">
        <v>588.64</v>
      </c>
      <c r="E6" s="241">
        <v>588.64</v>
      </c>
      <c r="F6" s="247">
        <f>E6-D6</f>
        <v>0</v>
      </c>
      <c r="G6" s="241">
        <v>80000</v>
      </c>
      <c r="H6" s="241">
        <f>F6*G6</f>
        <v>0</v>
      </c>
      <c r="I6" s="241"/>
      <c r="J6" s="241">
        <f>H6+I6</f>
        <v>0</v>
      </c>
      <c r="K6" s="241"/>
      <c r="L6" s="735">
        <v>238400.00000000099</v>
      </c>
      <c r="M6" s="736">
        <f t="shared" ref="M6:M67" si="0">J6/L6</f>
        <v>0</v>
      </c>
      <c r="N6" s="386"/>
    </row>
    <row r="7" spans="1:14" customFormat="1" ht="14.45" customHeight="1">
      <c r="A7" s="241">
        <v>2</v>
      </c>
      <c r="B7" s="734" t="s">
        <v>1358</v>
      </c>
      <c r="C7" s="238" t="s">
        <v>1359</v>
      </c>
      <c r="D7" s="241">
        <v>100948.1</v>
      </c>
      <c r="E7" s="241">
        <v>100948.1</v>
      </c>
      <c r="F7" s="241">
        <f>E7-D7</f>
        <v>0</v>
      </c>
      <c r="G7" s="241">
        <v>4000</v>
      </c>
      <c r="H7" s="241">
        <f>F7*G7</f>
        <v>0</v>
      </c>
      <c r="I7" s="241">
        <v>1760000</v>
      </c>
      <c r="J7" s="241">
        <f>H7+I7</f>
        <v>1760000</v>
      </c>
      <c r="K7" s="241"/>
      <c r="L7" s="735">
        <v>956000</v>
      </c>
      <c r="M7" s="736">
        <f t="shared" si="0"/>
        <v>1.8410041841004183</v>
      </c>
      <c r="N7" s="386"/>
    </row>
    <row r="8" spans="1:14" customFormat="1" ht="14.45" customHeight="1">
      <c r="A8" s="241"/>
      <c r="B8" s="737" t="s">
        <v>1360</v>
      </c>
      <c r="C8" s="733"/>
      <c r="D8" s="241"/>
      <c r="E8" s="241"/>
      <c r="F8" s="241"/>
      <c r="G8" s="241"/>
      <c r="H8" s="241"/>
      <c r="I8" s="241"/>
      <c r="J8" s="241"/>
      <c r="K8" s="241"/>
      <c r="L8" s="735"/>
      <c r="M8" s="736" t="e">
        <f t="shared" si="0"/>
        <v>#DIV/0!</v>
      </c>
      <c r="N8" s="386"/>
    </row>
    <row r="9" spans="1:14" customFormat="1" ht="14.45" customHeight="1">
      <c r="A9" s="241">
        <v>1</v>
      </c>
      <c r="B9" s="734" t="s">
        <v>1361</v>
      </c>
      <c r="C9" s="241" t="s">
        <v>1362</v>
      </c>
      <c r="D9" s="241">
        <v>109.16</v>
      </c>
      <c r="E9" s="241">
        <v>109.16</v>
      </c>
      <c r="F9" s="241">
        <f>E9-D9</f>
        <v>0</v>
      </c>
      <c r="G9" s="241">
        <v>24000</v>
      </c>
      <c r="H9" s="241">
        <f>F9*G9</f>
        <v>0</v>
      </c>
      <c r="I9" s="241"/>
      <c r="J9" s="241">
        <f>H9+I9</f>
        <v>0</v>
      </c>
      <c r="K9" s="241"/>
      <c r="L9" s="735">
        <v>32000</v>
      </c>
      <c r="M9" s="736">
        <f t="shared" si="0"/>
        <v>0</v>
      </c>
      <c r="N9" s="386"/>
    </row>
    <row r="10" spans="1:14" customFormat="1" ht="14.45" customHeight="1">
      <c r="A10" s="241">
        <v>2</v>
      </c>
      <c r="B10" s="734" t="s">
        <v>1358</v>
      </c>
      <c r="C10" s="241" t="s">
        <v>1359</v>
      </c>
      <c r="D10" s="241">
        <v>74.599999999999994</v>
      </c>
      <c r="E10" s="241">
        <v>74.599999999999994</v>
      </c>
      <c r="F10" s="241">
        <f>E10-D10</f>
        <v>0</v>
      </c>
      <c r="G10" s="241">
        <v>4000</v>
      </c>
      <c r="H10" s="241">
        <f>F10*G10</f>
        <v>0</v>
      </c>
      <c r="I10" s="241"/>
      <c r="J10" s="241">
        <f>H10+I10</f>
        <v>0</v>
      </c>
      <c r="K10" s="241"/>
      <c r="L10" s="735">
        <v>20400</v>
      </c>
      <c r="M10" s="736">
        <f t="shared" si="0"/>
        <v>0</v>
      </c>
      <c r="N10" s="386"/>
    </row>
    <row r="11" spans="1:14" customFormat="1" ht="14.45" customHeight="1">
      <c r="A11" s="241">
        <v>2</v>
      </c>
      <c r="B11" s="734" t="s">
        <v>1356</v>
      </c>
      <c r="C11" s="238" t="s">
        <v>1357</v>
      </c>
      <c r="D11" s="241">
        <v>7.77</v>
      </c>
      <c r="E11" s="241">
        <v>7.77</v>
      </c>
      <c r="F11" s="241">
        <f>E11-D11</f>
        <v>0</v>
      </c>
      <c r="G11" s="241">
        <v>80000</v>
      </c>
      <c r="H11" s="241">
        <f>F11*G11</f>
        <v>0</v>
      </c>
      <c r="I11" s="241"/>
      <c r="J11" s="241">
        <f>H11+I11</f>
        <v>0</v>
      </c>
      <c r="K11" s="241"/>
      <c r="L11" s="735">
        <v>7199.99999999999</v>
      </c>
      <c r="M11" s="736">
        <f t="shared" si="0"/>
        <v>0</v>
      </c>
      <c r="N11" s="386"/>
    </row>
    <row r="12" spans="1:14" customFormat="1" ht="14.45" customHeight="1">
      <c r="A12" s="241"/>
      <c r="B12" s="734" t="s">
        <v>1363</v>
      </c>
      <c r="C12" s="238"/>
      <c r="D12" s="241"/>
      <c r="E12" s="241"/>
      <c r="F12" s="241"/>
      <c r="G12" s="241"/>
      <c r="H12" s="241"/>
      <c r="I12" s="241"/>
      <c r="J12" s="241">
        <f>J6+J7-J11-J10-J9</f>
        <v>1760000</v>
      </c>
      <c r="K12" s="241"/>
      <c r="L12" s="735">
        <v>1134800</v>
      </c>
      <c r="M12" s="736">
        <f t="shared" si="0"/>
        <v>1.5509340853013747</v>
      </c>
      <c r="N12" s="386"/>
    </row>
    <row r="13" spans="1:14" customFormat="1" ht="14.45" customHeight="1">
      <c r="A13" s="241"/>
      <c r="B13" s="737" t="s">
        <v>1364</v>
      </c>
      <c r="C13" s="733"/>
      <c r="D13" s="241"/>
      <c r="E13" s="241"/>
      <c r="F13" s="241"/>
      <c r="G13" s="241"/>
      <c r="H13" s="241"/>
      <c r="I13" s="241"/>
      <c r="J13" s="241"/>
      <c r="K13" s="241"/>
      <c r="L13" s="735"/>
      <c r="M13" s="736" t="e">
        <f t="shared" si="0"/>
        <v>#DIV/0!</v>
      </c>
      <c r="N13" s="386"/>
    </row>
    <row r="14" spans="1:14" customFormat="1" ht="14.45" customHeight="1">
      <c r="A14" s="241">
        <v>1</v>
      </c>
      <c r="B14" s="734" t="s">
        <v>1365</v>
      </c>
      <c r="C14" s="238" t="s">
        <v>1366</v>
      </c>
      <c r="D14" s="241">
        <v>48489.2</v>
      </c>
      <c r="E14" s="241">
        <v>52882.2</v>
      </c>
      <c r="F14" s="241">
        <f t="shared" ref="F14:F19" si="1">E14-D14</f>
        <v>4393</v>
      </c>
      <c r="G14" s="241">
        <v>133.333</v>
      </c>
      <c r="H14" s="244">
        <f t="shared" ref="H14:H19" si="2">F14*G14</f>
        <v>585731.86899999995</v>
      </c>
      <c r="I14" s="244"/>
      <c r="J14" s="244">
        <f t="shared" ref="J14:J19" si="3">H14+I14</f>
        <v>585731.86899999995</v>
      </c>
      <c r="K14" s="241"/>
      <c r="L14" s="735">
        <v>397932.33850000001</v>
      </c>
      <c r="M14" s="736">
        <f t="shared" si="0"/>
        <v>1.4719383481320152</v>
      </c>
      <c r="N14" s="386"/>
    </row>
    <row r="15" spans="1:14" customFormat="1">
      <c r="A15" s="241">
        <v>2</v>
      </c>
      <c r="B15" s="734" t="s">
        <v>1296</v>
      </c>
      <c r="C15" s="238" t="s">
        <v>1367</v>
      </c>
      <c r="D15" s="241">
        <v>89990.7</v>
      </c>
      <c r="E15" s="241">
        <v>89990.7</v>
      </c>
      <c r="F15" s="241">
        <f t="shared" si="1"/>
        <v>0</v>
      </c>
      <c r="G15" s="241">
        <v>2000</v>
      </c>
      <c r="H15" s="241">
        <f t="shared" si="2"/>
        <v>0</v>
      </c>
      <c r="I15" s="241"/>
      <c r="J15" s="241">
        <f t="shared" si="3"/>
        <v>0</v>
      </c>
      <c r="K15" s="241"/>
      <c r="L15" s="735">
        <v>72799.999999988402</v>
      </c>
      <c r="M15" s="736">
        <f t="shared" si="0"/>
        <v>0</v>
      </c>
      <c r="N15" s="386">
        <f>L15*M14</f>
        <v>107157.11174399364</v>
      </c>
    </row>
    <row r="16" spans="1:14" customFormat="1">
      <c r="A16" s="241">
        <v>3</v>
      </c>
      <c r="B16" s="734" t="s">
        <v>1368</v>
      </c>
      <c r="C16" s="238" t="s">
        <v>1369</v>
      </c>
      <c r="D16" s="241">
        <v>5799.3</v>
      </c>
      <c r="E16" s="241">
        <v>5818.2</v>
      </c>
      <c r="F16" s="241">
        <f t="shared" si="1"/>
        <v>18.899999999999636</v>
      </c>
      <c r="G16" s="241">
        <v>1000</v>
      </c>
      <c r="H16" s="241">
        <f t="shared" si="2"/>
        <v>18899.999999999636</v>
      </c>
      <c r="I16" s="241"/>
      <c r="J16" s="241">
        <f t="shared" si="3"/>
        <v>18899.999999999636</v>
      </c>
      <c r="K16" s="241"/>
      <c r="L16" s="735">
        <v>38500</v>
      </c>
      <c r="M16" s="736">
        <f t="shared" si="0"/>
        <v>0.49090909090908147</v>
      </c>
      <c r="N16" s="386">
        <f>L15*0.71</f>
        <v>51687.999999991764</v>
      </c>
    </row>
    <row r="17" spans="1:16" customFormat="1">
      <c r="A17" s="241">
        <v>4</v>
      </c>
      <c r="B17" s="734" t="s">
        <v>1154</v>
      </c>
      <c r="C17" s="238" t="s">
        <v>1370</v>
      </c>
      <c r="D17" s="241">
        <v>105923.4</v>
      </c>
      <c r="E17" s="241">
        <v>106481.1</v>
      </c>
      <c r="F17" s="241">
        <f t="shared" si="1"/>
        <v>557.70000000001164</v>
      </c>
      <c r="G17" s="241">
        <v>2000</v>
      </c>
      <c r="H17" s="241">
        <f t="shared" si="2"/>
        <v>1115400.0000000233</v>
      </c>
      <c r="I17" s="244"/>
      <c r="J17" s="244">
        <f t="shared" si="3"/>
        <v>1115400.0000000233</v>
      </c>
      <c r="K17" s="738"/>
      <c r="L17" s="735">
        <v>588800.00000001804</v>
      </c>
      <c r="M17" s="736">
        <f t="shared" si="0"/>
        <v>1.8943614130434598</v>
      </c>
      <c r="N17" s="386"/>
      <c r="O17" s="386"/>
      <c r="P17" s="386"/>
    </row>
    <row r="18" spans="1:16" customFormat="1">
      <c r="A18" s="41">
        <v>5</v>
      </c>
      <c r="B18" s="1050" t="s">
        <v>1371</v>
      </c>
      <c r="C18" s="238" t="s">
        <v>1372</v>
      </c>
      <c r="D18" s="241">
        <v>2097.9</v>
      </c>
      <c r="E18" s="241">
        <v>2186.1999999999998</v>
      </c>
      <c r="F18" s="241">
        <f t="shared" si="1"/>
        <v>88.299999999999727</v>
      </c>
      <c r="G18" s="241">
        <v>133.33000000000001</v>
      </c>
      <c r="H18" s="244">
        <f t="shared" si="2"/>
        <v>11773.038999999964</v>
      </c>
      <c r="I18" s="244">
        <v>6986.9772000000339</v>
      </c>
      <c r="J18" s="244">
        <f t="shared" si="3"/>
        <v>18760.016199999998</v>
      </c>
      <c r="K18" s="241"/>
      <c r="L18" s="735">
        <v>15040</v>
      </c>
      <c r="M18" s="736">
        <f t="shared" si="0"/>
        <v>1.2473415026595744</v>
      </c>
      <c r="N18" s="386"/>
      <c r="O18" s="386"/>
      <c r="P18" s="386"/>
    </row>
    <row r="19" spans="1:16" customFormat="1">
      <c r="A19" s="744"/>
      <c r="B19" s="1051"/>
      <c r="C19" s="238" t="s">
        <v>1373</v>
      </c>
      <c r="D19" s="241">
        <v>1161680</v>
      </c>
      <c r="E19" s="241">
        <v>1161680</v>
      </c>
      <c r="F19" s="241">
        <f t="shared" si="1"/>
        <v>0</v>
      </c>
      <c r="G19" s="241">
        <v>0.5</v>
      </c>
      <c r="H19" s="244">
        <f t="shared" si="2"/>
        <v>0</v>
      </c>
      <c r="I19" s="244"/>
      <c r="J19" s="244">
        <f t="shared" si="3"/>
        <v>0</v>
      </c>
      <c r="K19" s="241"/>
      <c r="L19" s="735">
        <v>0</v>
      </c>
      <c r="M19" s="736" t="e">
        <f t="shared" si="0"/>
        <v>#DIV/0!</v>
      </c>
      <c r="N19" s="386">
        <f>40/30</f>
        <v>1.3333333333333333</v>
      </c>
      <c r="O19" s="386">
        <f>N19*1000</f>
        <v>1333.3333333333333</v>
      </c>
      <c r="P19" s="386"/>
    </row>
    <row r="20" spans="1:16" customFormat="1">
      <c r="A20" s="241"/>
      <c r="B20" s="238"/>
      <c r="C20" s="238"/>
      <c r="D20" s="241"/>
      <c r="E20" s="241"/>
      <c r="F20" s="241"/>
      <c r="G20" s="241"/>
      <c r="H20" s="241"/>
      <c r="I20" s="244"/>
      <c r="J20" s="244">
        <f>SUM(J14:J19)</f>
        <v>1738791.8852000227</v>
      </c>
      <c r="K20" s="740">
        <f>(J12-J20)/J12</f>
        <v>1.2050065227259819E-2</v>
      </c>
      <c r="L20" s="735">
        <v>1113072.3385000101</v>
      </c>
      <c r="M20" s="736">
        <f t="shared" si="0"/>
        <v>1.5621553290446872</v>
      </c>
      <c r="N20" s="386"/>
      <c r="O20" s="386"/>
      <c r="P20" s="386"/>
    </row>
    <row r="21" spans="1:16" customFormat="1">
      <c r="A21" s="1239">
        <v>2</v>
      </c>
      <c r="B21" s="741" t="s">
        <v>1374</v>
      </c>
      <c r="C21" s="238"/>
      <c r="D21" s="241"/>
      <c r="E21" s="241"/>
      <c r="F21" s="241"/>
      <c r="G21" s="241"/>
      <c r="H21" s="241"/>
      <c r="I21" s="241"/>
      <c r="J21" s="244"/>
      <c r="K21" s="241"/>
      <c r="L21" s="735"/>
      <c r="M21" s="736" t="e">
        <f t="shared" si="0"/>
        <v>#DIV/0!</v>
      </c>
      <c r="N21" s="386"/>
      <c r="O21" s="386"/>
      <c r="P21" s="386"/>
    </row>
    <row r="22" spans="1:16" customFormat="1">
      <c r="A22" s="241">
        <v>1</v>
      </c>
      <c r="B22" s="238" t="s">
        <v>1375</v>
      </c>
      <c r="C22" s="41">
        <v>3743657</v>
      </c>
      <c r="D22" s="742">
        <v>950784.3</v>
      </c>
      <c r="E22" s="742">
        <v>974488.5</v>
      </c>
      <c r="F22" s="41">
        <f>E22-D22</f>
        <v>23704.199999999953</v>
      </c>
      <c r="G22" s="41">
        <v>80</v>
      </c>
      <c r="H22" s="41">
        <f>F22*G22</f>
        <v>1896335.9999999963</v>
      </c>
      <c r="I22" s="1052"/>
      <c r="J22" s="41">
        <f>H22+I22</f>
        <v>1896335.9999999963</v>
      </c>
      <c r="K22" s="743"/>
      <c r="L22" s="735">
        <v>2057944.0000000037</v>
      </c>
      <c r="M22" s="736">
        <f>J22/L22</f>
        <v>0.92147113818451465</v>
      </c>
      <c r="N22" s="386"/>
      <c r="O22" s="386"/>
      <c r="P22" s="386"/>
    </row>
    <row r="23" spans="1:16" customFormat="1">
      <c r="A23" s="241">
        <v>2</v>
      </c>
      <c r="B23" s="238" t="s">
        <v>1376</v>
      </c>
      <c r="C23" s="744"/>
      <c r="D23" s="744"/>
      <c r="E23" s="744"/>
      <c r="F23" s="744"/>
      <c r="G23" s="744"/>
      <c r="H23" s="744"/>
      <c r="I23" s="1053"/>
      <c r="J23" s="744"/>
      <c r="K23" s="241"/>
      <c r="L23" s="735"/>
      <c r="M23" s="736" t="e">
        <f t="shared" si="0"/>
        <v>#DIV/0!</v>
      </c>
      <c r="N23" s="386"/>
      <c r="O23" s="386"/>
      <c r="P23" s="386"/>
    </row>
    <row r="24" spans="1:16" customFormat="1">
      <c r="A24" s="241"/>
      <c r="B24" s="734" t="s">
        <v>1363</v>
      </c>
      <c r="C24" s="238"/>
      <c r="D24" s="241"/>
      <c r="E24" s="241"/>
      <c r="F24" s="241"/>
      <c r="G24" s="241"/>
      <c r="H24" s="241"/>
      <c r="I24" s="241"/>
      <c r="J24" s="241">
        <f>SUM(J22)</f>
        <v>1896335.9999999963</v>
      </c>
      <c r="K24" s="743"/>
      <c r="L24" s="735">
        <v>2057944.0000000037</v>
      </c>
      <c r="M24" s="736">
        <f t="shared" si="0"/>
        <v>0.92147113818451465</v>
      </c>
      <c r="N24" s="386"/>
      <c r="O24" s="386"/>
      <c r="P24" s="386"/>
    </row>
    <row r="25" spans="1:16" customFormat="1">
      <c r="A25" s="241" t="s">
        <v>15</v>
      </c>
      <c r="B25" s="737" t="s">
        <v>1364</v>
      </c>
      <c r="C25" s="238"/>
      <c r="D25" s="241"/>
      <c r="E25" s="241"/>
      <c r="F25" s="241"/>
      <c r="G25" s="241"/>
      <c r="H25" s="241"/>
      <c r="I25" s="241"/>
      <c r="J25" s="241"/>
      <c r="K25" s="241"/>
      <c r="L25" s="735"/>
      <c r="M25" s="736" t="e">
        <f t="shared" si="0"/>
        <v>#DIV/0!</v>
      </c>
      <c r="N25" s="386"/>
      <c r="O25" s="386"/>
      <c r="P25" s="386"/>
    </row>
    <row r="26" spans="1:16" customFormat="1">
      <c r="A26" s="241"/>
      <c r="B26" s="238" t="s">
        <v>1162</v>
      </c>
      <c r="C26" s="238" t="s">
        <v>1377</v>
      </c>
      <c r="D26" s="745">
        <v>2899.7</v>
      </c>
      <c r="E26" s="745">
        <v>2953.83</v>
      </c>
      <c r="F26" s="241">
        <f>E26-D26</f>
        <v>54.130000000000109</v>
      </c>
      <c r="G26" s="241">
        <v>6000</v>
      </c>
      <c r="H26" s="241">
        <f>F26*G26</f>
        <v>324780.00000000064</v>
      </c>
      <c r="I26" s="241">
        <v>20000</v>
      </c>
      <c r="J26" s="241">
        <f>H26+I26</f>
        <v>344780.00000000064</v>
      </c>
      <c r="K26" s="743"/>
      <c r="L26" s="735">
        <v>364679.99999999849</v>
      </c>
      <c r="M26" s="736">
        <f t="shared" si="0"/>
        <v>0.94543161127564457</v>
      </c>
      <c r="N26" s="386"/>
      <c r="O26" s="386"/>
      <c r="P26" s="386"/>
    </row>
    <row r="27" spans="1:16" customFormat="1">
      <c r="A27" s="241">
        <v>7</v>
      </c>
      <c r="B27" s="238" t="s">
        <v>1165</v>
      </c>
      <c r="C27" s="238" t="s">
        <v>1378</v>
      </c>
      <c r="D27" s="241">
        <v>60426.6</v>
      </c>
      <c r="E27" s="241">
        <v>60989</v>
      </c>
      <c r="F27" s="241">
        <f>E27-D27</f>
        <v>562.40000000000146</v>
      </c>
      <c r="G27" s="241">
        <v>2000</v>
      </c>
      <c r="H27" s="244">
        <f>F27*G27</f>
        <v>1124800.0000000028</v>
      </c>
      <c r="I27" s="244">
        <v>220000</v>
      </c>
      <c r="J27" s="244">
        <f>H27+I27</f>
        <v>1344800.0000000028</v>
      </c>
      <c r="K27" s="241"/>
      <c r="L27" s="735">
        <v>1489199.9999999972</v>
      </c>
      <c r="M27" s="736">
        <f t="shared" si="0"/>
        <v>0.90303518667741423</v>
      </c>
      <c r="N27" s="386"/>
      <c r="O27" s="386"/>
      <c r="P27" s="386"/>
    </row>
    <row r="28" spans="1:16" customFormat="1">
      <c r="A28" s="241">
        <v>8</v>
      </c>
      <c r="B28" s="238" t="s">
        <v>1158</v>
      </c>
      <c r="C28" s="238" t="s">
        <v>1379</v>
      </c>
      <c r="D28" s="241">
        <v>62732.9</v>
      </c>
      <c r="E28" s="241">
        <v>62823.9</v>
      </c>
      <c r="F28" s="241">
        <f>E28-D28</f>
        <v>91</v>
      </c>
      <c r="G28" s="241">
        <v>2000</v>
      </c>
      <c r="H28" s="241">
        <f>F28*G28</f>
        <v>182000</v>
      </c>
      <c r="I28" s="241"/>
      <c r="J28" s="241">
        <f>H28+I28</f>
        <v>182000</v>
      </c>
      <c r="K28" s="743"/>
      <c r="L28" s="735">
        <v>197600.00000000582</v>
      </c>
      <c r="M28" s="736">
        <f t="shared" si="0"/>
        <v>0.92105263157892026</v>
      </c>
      <c r="N28" s="386"/>
      <c r="O28" s="386"/>
      <c r="P28" s="386"/>
    </row>
    <row r="29" spans="1:16" customFormat="1">
      <c r="A29" s="241"/>
      <c r="B29" s="238"/>
      <c r="C29" s="238"/>
      <c r="D29" s="241"/>
      <c r="E29" s="241"/>
      <c r="F29" s="241"/>
      <c r="G29" s="241"/>
      <c r="H29" s="241"/>
      <c r="I29" s="241"/>
      <c r="J29" s="244">
        <f>SUM(J26+J27+J28)</f>
        <v>1871580.0000000035</v>
      </c>
      <c r="K29" s="743">
        <f>(J24-J29)/J24</f>
        <v>1.3054648543292344E-2</v>
      </c>
      <c r="L29" s="735">
        <v>2051480.0000000016</v>
      </c>
      <c r="M29" s="736">
        <f t="shared" si="0"/>
        <v>0.9123072123540088</v>
      </c>
      <c r="N29" s="386"/>
      <c r="O29" s="386"/>
      <c r="P29" s="386"/>
    </row>
    <row r="30" spans="1:16" customFormat="1">
      <c r="A30" s="1239">
        <v>3</v>
      </c>
      <c r="B30" s="741" t="s">
        <v>1380</v>
      </c>
      <c r="C30" s="238"/>
      <c r="D30" s="241"/>
      <c r="E30" s="241"/>
      <c r="F30" s="241"/>
      <c r="G30" s="241"/>
      <c r="H30" s="241"/>
      <c r="I30" s="241"/>
      <c r="J30" s="241"/>
      <c r="K30" s="241"/>
      <c r="L30" s="735"/>
      <c r="M30" s="736" t="e">
        <f t="shared" si="0"/>
        <v>#DIV/0!</v>
      </c>
      <c r="N30" s="386"/>
      <c r="O30" s="386"/>
      <c r="P30" s="386"/>
    </row>
    <row r="31" spans="1:16" customFormat="1">
      <c r="A31" s="241">
        <v>1</v>
      </c>
      <c r="B31" s="238" t="s">
        <v>1381</v>
      </c>
      <c r="C31" s="238" t="s">
        <v>1382</v>
      </c>
      <c r="D31" s="241">
        <v>162295.29999999999</v>
      </c>
      <c r="E31" s="241">
        <v>163068.79999999999</v>
      </c>
      <c r="F31" s="241">
        <f>E31-D31</f>
        <v>773.5</v>
      </c>
      <c r="G31" s="241">
        <v>2000</v>
      </c>
      <c r="H31" s="241">
        <f>F31*G31</f>
        <v>1547000</v>
      </c>
      <c r="I31" s="241"/>
      <c r="J31" s="241">
        <f>H31+I31</f>
        <v>1547000</v>
      </c>
      <c r="K31" s="746"/>
      <c r="L31" s="735">
        <v>1028200.00000001</v>
      </c>
      <c r="M31" s="736">
        <f t="shared" si="0"/>
        <v>1.5045710951176667</v>
      </c>
      <c r="N31" s="386"/>
      <c r="O31" s="386"/>
      <c r="P31" s="386"/>
    </row>
    <row r="32" spans="1:16" customFormat="1">
      <c r="A32" s="241"/>
      <c r="B32" s="734" t="s">
        <v>1363</v>
      </c>
      <c r="C32" s="238"/>
      <c r="D32" s="241"/>
      <c r="E32" s="241"/>
      <c r="F32" s="241"/>
      <c r="G32" s="241"/>
      <c r="H32" s="241"/>
      <c r="I32" s="241"/>
      <c r="J32" s="241">
        <f>SUM(J31)</f>
        <v>1547000</v>
      </c>
      <c r="K32" s="241"/>
      <c r="L32" s="735">
        <v>1028200.00000001</v>
      </c>
      <c r="M32" s="736">
        <f t="shared" si="0"/>
        <v>1.5045710951176667</v>
      </c>
      <c r="N32" s="386"/>
      <c r="O32" s="386">
        <v>120000</v>
      </c>
      <c r="P32" s="386">
        <f>O32-H35</f>
        <v>120000</v>
      </c>
    </row>
    <row r="33" spans="1:17" customFormat="1">
      <c r="A33" s="241"/>
      <c r="B33" s="737" t="s">
        <v>1364</v>
      </c>
      <c r="C33" s="238"/>
      <c r="D33" s="747"/>
      <c r="E33" s="747"/>
      <c r="F33" s="747"/>
      <c r="G33" s="747"/>
      <c r="H33" s="747"/>
      <c r="I33" s="747"/>
      <c r="J33" s="747"/>
      <c r="K33" s="743"/>
      <c r="L33" s="735"/>
      <c r="M33" s="736" t="e">
        <f t="shared" si="0"/>
        <v>#DIV/0!</v>
      </c>
      <c r="N33" s="386"/>
      <c r="O33" s="386"/>
      <c r="P33" s="386"/>
      <c r="Q33" s="386"/>
    </row>
    <row r="34" spans="1:17" customFormat="1">
      <c r="A34" s="747"/>
      <c r="B34" s="734" t="s">
        <v>1183</v>
      </c>
      <c r="C34" s="238" t="s">
        <v>335</v>
      </c>
      <c r="D34" s="747">
        <v>38350.5</v>
      </c>
      <c r="E34" s="747">
        <v>38667.800000000003</v>
      </c>
      <c r="F34" s="747">
        <f>E34-D34</f>
        <v>317.30000000000291</v>
      </c>
      <c r="G34" s="747">
        <v>2000</v>
      </c>
      <c r="H34" s="747">
        <f>F34*G34</f>
        <v>634600.00000000582</v>
      </c>
      <c r="I34" s="747"/>
      <c r="J34" s="747">
        <f>H34+I34</f>
        <v>634600.00000000582</v>
      </c>
      <c r="K34" s="743"/>
      <c r="L34" s="735">
        <v>369000</v>
      </c>
      <c r="M34" s="736">
        <f t="shared" si="0"/>
        <v>1.7197831978319942</v>
      </c>
      <c r="N34" s="386">
        <v>34553.5</v>
      </c>
      <c r="O34" s="386">
        <f>N34-D34</f>
        <v>-3797</v>
      </c>
      <c r="P34" s="386">
        <f>O34*G34</f>
        <v>-7594000</v>
      </c>
      <c r="Q34" s="386"/>
    </row>
    <row r="35" spans="1:17" customFormat="1">
      <c r="A35" s="241">
        <v>9</v>
      </c>
      <c r="B35" s="748" t="s">
        <v>1383</v>
      </c>
      <c r="C35" s="748" t="s">
        <v>1384</v>
      </c>
      <c r="D35" s="241">
        <v>42299.9</v>
      </c>
      <c r="E35" s="241">
        <v>42299.9</v>
      </c>
      <c r="F35" s="241">
        <f>E35-D35</f>
        <v>0</v>
      </c>
      <c r="G35" s="241">
        <v>2000</v>
      </c>
      <c r="H35" s="241">
        <f>F35*G35</f>
        <v>0</v>
      </c>
      <c r="I35" s="244">
        <v>39360</v>
      </c>
      <c r="J35" s="749">
        <f>H35+I35</f>
        <v>39360</v>
      </c>
      <c r="K35" s="743"/>
      <c r="L35" s="735">
        <v>160000</v>
      </c>
      <c r="M35" s="736">
        <f t="shared" si="0"/>
        <v>0.246</v>
      </c>
      <c r="N35" s="386">
        <v>41854.9</v>
      </c>
      <c r="O35" s="386">
        <v>41878.5</v>
      </c>
      <c r="P35" s="386">
        <f>O35-N35</f>
        <v>23.599999999998545</v>
      </c>
      <c r="Q35" s="386">
        <f>P35*G35</f>
        <v>47199.99999999709</v>
      </c>
    </row>
    <row r="36" spans="1:17" customFormat="1">
      <c r="A36" s="241">
        <v>10</v>
      </c>
      <c r="B36" s="734" t="s">
        <v>1385</v>
      </c>
      <c r="C36" s="238" t="s">
        <v>1386</v>
      </c>
      <c r="D36" s="241">
        <v>53707.7</v>
      </c>
      <c r="E36" s="241">
        <v>53961.2</v>
      </c>
      <c r="F36" s="241">
        <f>E36-D36</f>
        <v>253.5</v>
      </c>
      <c r="G36" s="241">
        <v>2000</v>
      </c>
      <c r="H36" s="241">
        <f>F36*G36</f>
        <v>507000</v>
      </c>
      <c r="I36" s="241"/>
      <c r="J36" s="161">
        <f>H36+I36</f>
        <v>507000</v>
      </c>
      <c r="K36" s="241"/>
      <c r="L36" s="735">
        <v>498000</v>
      </c>
      <c r="M36" s="736">
        <f t="shared" si="0"/>
        <v>1.0180722891566265</v>
      </c>
      <c r="N36" s="386">
        <v>47628.9</v>
      </c>
      <c r="O36" s="386"/>
      <c r="P36" s="386"/>
      <c r="Q36" s="386"/>
    </row>
    <row r="37" spans="1:17" customFormat="1">
      <c r="A37" s="241">
        <v>11</v>
      </c>
      <c r="B37" s="734" t="s">
        <v>1387</v>
      </c>
      <c r="C37" s="238" t="s">
        <v>1388</v>
      </c>
      <c r="D37" s="241">
        <v>2199.29</v>
      </c>
      <c r="E37" s="241">
        <v>2199.29</v>
      </c>
      <c r="F37" s="241">
        <f>E37-D37</f>
        <v>0</v>
      </c>
      <c r="G37" s="241">
        <v>20000</v>
      </c>
      <c r="H37" s="241">
        <f>F37*G37</f>
        <v>0</v>
      </c>
      <c r="I37" s="244">
        <v>364884</v>
      </c>
      <c r="J37" s="749">
        <f>H37+I37</f>
        <v>364884</v>
      </c>
      <c r="K37" s="743"/>
      <c r="L37" s="735">
        <v>0</v>
      </c>
      <c r="M37" s="736" t="e">
        <f t="shared" si="0"/>
        <v>#DIV/0!</v>
      </c>
      <c r="N37" s="386"/>
      <c r="O37" s="386"/>
      <c r="P37" s="386"/>
      <c r="Q37" s="386"/>
    </row>
    <row r="38" spans="1:17" customFormat="1">
      <c r="A38" s="241"/>
      <c r="B38" s="238"/>
      <c r="C38" s="238"/>
      <c r="D38" s="241"/>
      <c r="E38" s="241"/>
      <c r="F38" s="241"/>
      <c r="G38" s="241"/>
      <c r="H38" s="241"/>
      <c r="I38" s="241"/>
      <c r="J38" s="244">
        <f>SUM(J34:J37)</f>
        <v>1545844.0000000058</v>
      </c>
      <c r="K38" s="743">
        <f>(J31-J38)/J31</f>
        <v>7.4725274724898459E-4</v>
      </c>
      <c r="L38" s="735">
        <v>1027000</v>
      </c>
      <c r="M38" s="736">
        <f t="shared" si="0"/>
        <v>1.5052035053554098</v>
      </c>
      <c r="N38" s="386"/>
      <c r="O38" s="386"/>
      <c r="P38" s="386"/>
      <c r="Q38" s="386"/>
    </row>
    <row r="39" spans="1:17" customFormat="1">
      <c r="A39" s="1239">
        <v>4</v>
      </c>
      <c r="B39" s="741" t="s">
        <v>1389</v>
      </c>
      <c r="C39" s="238"/>
      <c r="D39" s="241"/>
      <c r="E39" s="241"/>
      <c r="F39" s="241"/>
      <c r="G39" s="241"/>
      <c r="H39" s="241"/>
      <c r="I39" s="241"/>
      <c r="J39" s="241"/>
      <c r="K39" s="241"/>
      <c r="L39" s="735"/>
      <c r="M39" s="736" t="e">
        <f t="shared" si="0"/>
        <v>#DIV/0!</v>
      </c>
      <c r="N39" s="386"/>
      <c r="O39" s="386"/>
      <c r="P39" s="386"/>
      <c r="Q39" s="386"/>
    </row>
    <row r="40" spans="1:17" customFormat="1">
      <c r="A40" s="241">
        <v>1</v>
      </c>
      <c r="B40" s="238" t="s">
        <v>1390</v>
      </c>
      <c r="C40" s="238" t="s">
        <v>1391</v>
      </c>
      <c r="D40" s="241">
        <v>23399.599999999999</v>
      </c>
      <c r="E40" s="241">
        <v>24427.8</v>
      </c>
      <c r="F40" s="241">
        <f>E40-D40</f>
        <v>1028.2000000000007</v>
      </c>
      <c r="G40" s="241">
        <v>1000</v>
      </c>
      <c r="H40" s="241">
        <f>F40*G40</f>
        <v>1028200.0000000007</v>
      </c>
      <c r="I40" s="241"/>
      <c r="J40" s="241">
        <f>H40+I40</f>
        <v>1028200.0000000007</v>
      </c>
      <c r="K40" s="241"/>
      <c r="L40" s="735">
        <v>628299.99999999895</v>
      </c>
      <c r="M40" s="736">
        <f t="shared" si="0"/>
        <v>1.6364793888269973</v>
      </c>
      <c r="N40" s="386"/>
      <c r="O40" s="386"/>
      <c r="P40" s="386"/>
      <c r="Q40" s="386"/>
    </row>
    <row r="41" spans="1:17" customFormat="1">
      <c r="A41" s="241">
        <v>2</v>
      </c>
      <c r="B41" s="238" t="s">
        <v>1392</v>
      </c>
      <c r="C41" s="238" t="s">
        <v>1393</v>
      </c>
      <c r="D41" s="241">
        <v>27987.5</v>
      </c>
      <c r="E41" s="241">
        <v>29171.4</v>
      </c>
      <c r="F41" s="241">
        <f>E41-D41</f>
        <v>1183.9000000000015</v>
      </c>
      <c r="G41" s="241">
        <v>1000</v>
      </c>
      <c r="H41" s="241">
        <f>F41*G41</f>
        <v>1183900.0000000014</v>
      </c>
      <c r="I41" s="241"/>
      <c r="J41" s="241">
        <f>H41+I41</f>
        <v>1183900.0000000014</v>
      </c>
      <c r="K41" s="241"/>
      <c r="L41" s="735">
        <v>762900.00000000105</v>
      </c>
      <c r="M41" s="736">
        <f t="shared" si="0"/>
        <v>1.551841656835758</v>
      </c>
      <c r="N41" s="386"/>
      <c r="O41" s="386"/>
      <c r="P41" s="386"/>
      <c r="Q41" s="386"/>
    </row>
    <row r="42" spans="1:17" customFormat="1">
      <c r="A42" s="241"/>
      <c r="B42" s="238"/>
      <c r="C42" s="238"/>
      <c r="D42" s="241"/>
      <c r="E42" s="241"/>
      <c r="F42" s="241"/>
      <c r="G42" s="241"/>
      <c r="H42" s="241"/>
      <c r="I42" s="241"/>
      <c r="J42" s="241"/>
      <c r="K42" s="241"/>
      <c r="L42" s="735"/>
      <c r="M42" s="736" t="e">
        <f t="shared" si="0"/>
        <v>#DIV/0!</v>
      </c>
      <c r="N42" s="386"/>
      <c r="O42" s="386"/>
      <c r="P42" s="386"/>
      <c r="Q42" s="386"/>
    </row>
    <row r="43" spans="1:17" customFormat="1">
      <c r="A43" s="241"/>
      <c r="B43" s="734" t="s">
        <v>1363</v>
      </c>
      <c r="C43" s="238"/>
      <c r="D43" s="241"/>
      <c r="E43" s="241"/>
      <c r="F43" s="241"/>
      <c r="G43" s="241"/>
      <c r="H43" s="241"/>
      <c r="I43" s="241"/>
      <c r="J43" s="241">
        <f>SUM(J40:J42)</f>
        <v>2212100.0000000019</v>
      </c>
      <c r="K43" s="241"/>
      <c r="L43" s="735">
        <v>1391200</v>
      </c>
      <c r="M43" s="736">
        <f t="shared" si="0"/>
        <v>1.5900661299597483</v>
      </c>
      <c r="N43" s="386"/>
      <c r="O43" s="386"/>
      <c r="P43" s="386"/>
      <c r="Q43" s="386"/>
    </row>
    <row r="44" spans="1:17" customFormat="1">
      <c r="A44" s="241"/>
      <c r="B44" s="737" t="s">
        <v>1364</v>
      </c>
      <c r="C44" s="733"/>
      <c r="D44" s="241"/>
      <c r="E44" s="241"/>
      <c r="F44" s="241"/>
      <c r="G44" s="241"/>
      <c r="H44" s="241"/>
      <c r="I44" s="241"/>
      <c r="J44" s="241"/>
      <c r="K44" s="241"/>
      <c r="L44" s="735"/>
      <c r="M44" s="736" t="e">
        <f t="shared" si="0"/>
        <v>#DIV/0!</v>
      </c>
      <c r="N44" s="386"/>
      <c r="O44" s="386"/>
      <c r="P44" s="386"/>
      <c r="Q44" s="386"/>
    </row>
    <row r="45" spans="1:17" customFormat="1">
      <c r="A45" s="241">
        <v>12</v>
      </c>
      <c r="B45" s="734" t="s">
        <v>1394</v>
      </c>
      <c r="C45" s="238" t="s">
        <v>1395</v>
      </c>
      <c r="D45" s="241">
        <v>6757.73</v>
      </c>
      <c r="E45" s="241">
        <v>7041.41</v>
      </c>
      <c r="F45" s="241">
        <f>E45-D45</f>
        <v>283.68000000000029</v>
      </c>
      <c r="G45" s="241">
        <v>1000</v>
      </c>
      <c r="H45" s="241">
        <f>F45*G45</f>
        <v>283680.00000000029</v>
      </c>
      <c r="I45" s="244"/>
      <c r="J45" s="244">
        <f>H45+I45</f>
        <v>283680.00000000029</v>
      </c>
      <c r="K45" s="750"/>
      <c r="L45" s="735">
        <v>185490</v>
      </c>
      <c r="M45" s="736">
        <f t="shared" si="0"/>
        <v>1.5293546821931117</v>
      </c>
      <c r="N45" s="386"/>
      <c r="O45" s="386"/>
      <c r="P45" s="386"/>
      <c r="Q45" s="386"/>
    </row>
    <row r="46" spans="1:17" customFormat="1">
      <c r="A46" s="241">
        <v>13</v>
      </c>
      <c r="B46" s="734" t="s">
        <v>1174</v>
      </c>
      <c r="C46" s="238" t="s">
        <v>1396</v>
      </c>
      <c r="D46" s="241">
        <v>23225.57</v>
      </c>
      <c r="E46" s="241">
        <v>24247.85</v>
      </c>
      <c r="F46" s="241">
        <f>E46-D46</f>
        <v>1022.2799999999988</v>
      </c>
      <c r="G46" s="241">
        <v>1000</v>
      </c>
      <c r="H46" s="241">
        <f>F46*G46</f>
        <v>1022279.9999999988</v>
      </c>
      <c r="I46" s="244"/>
      <c r="J46" s="244">
        <f>H46+I46</f>
        <v>1022279.9999999988</v>
      </c>
      <c r="K46" s="750"/>
      <c r="L46" s="735">
        <v>625180</v>
      </c>
      <c r="M46" s="736">
        <f t="shared" si="0"/>
        <v>1.635177069004125</v>
      </c>
      <c r="N46" s="386"/>
      <c r="O46" s="386"/>
      <c r="P46" s="386"/>
      <c r="Q46" s="386"/>
    </row>
    <row r="47" spans="1:17" customFormat="1">
      <c r="A47" s="241"/>
      <c r="B47" s="734" t="s">
        <v>1397</v>
      </c>
      <c r="C47" s="238" t="s">
        <v>1398</v>
      </c>
      <c r="D47" s="241">
        <v>20538.759999999998</v>
      </c>
      <c r="E47" s="241">
        <v>21430.35</v>
      </c>
      <c r="F47" s="241">
        <f>E47-D47</f>
        <v>891.59000000000015</v>
      </c>
      <c r="G47" s="241">
        <v>1000</v>
      </c>
      <c r="H47" s="241">
        <f>F47*G47</f>
        <v>891590.00000000012</v>
      </c>
      <c r="I47" s="244"/>
      <c r="J47" s="241">
        <f>H47+I47</f>
        <v>891590.00000000012</v>
      </c>
      <c r="K47" s="241"/>
      <c r="L47" s="735">
        <v>574590</v>
      </c>
      <c r="M47" s="736">
        <f t="shared" si="0"/>
        <v>1.5516977322960721</v>
      </c>
      <c r="N47" s="386"/>
      <c r="O47" s="386"/>
      <c r="P47" s="386"/>
      <c r="Q47" s="386"/>
    </row>
    <row r="48" spans="1:17" customFormat="1">
      <c r="A48" s="241"/>
      <c r="B48" s="238"/>
      <c r="C48" s="238"/>
      <c r="D48" s="241"/>
      <c r="E48" s="241"/>
      <c r="F48" s="241"/>
      <c r="G48" s="241"/>
      <c r="H48" s="241">
        <f>F48*G48</f>
        <v>0</v>
      </c>
      <c r="I48" s="241"/>
      <c r="J48" s="241">
        <f>SUM(J45:J47)</f>
        <v>2197549.9999999991</v>
      </c>
      <c r="K48" s="743">
        <f>(J43-J48)/J43</f>
        <v>6.5774603318126583E-3</v>
      </c>
      <c r="L48" s="735">
        <v>1385260</v>
      </c>
      <c r="M48" s="736">
        <f t="shared" si="0"/>
        <v>1.5863808960050814</v>
      </c>
      <c r="N48" s="386"/>
      <c r="O48" s="386"/>
      <c r="P48" s="386"/>
      <c r="Q48" s="386"/>
    </row>
    <row r="49" spans="1:13" customFormat="1">
      <c r="A49" s="1239">
        <v>5</v>
      </c>
      <c r="B49" s="741" t="s">
        <v>1399</v>
      </c>
      <c r="C49" s="238"/>
      <c r="D49" s="241"/>
      <c r="E49" s="241"/>
      <c r="F49" s="241"/>
      <c r="G49" s="241"/>
      <c r="H49" s="241"/>
      <c r="I49" s="241"/>
      <c r="J49" s="241"/>
      <c r="K49" s="241"/>
      <c r="L49" s="735"/>
      <c r="M49" s="736" t="e">
        <f t="shared" si="0"/>
        <v>#DIV/0!</v>
      </c>
    </row>
    <row r="50" spans="1:13" customFormat="1">
      <c r="A50" s="241">
        <v>1</v>
      </c>
      <c r="B50" s="238" t="s">
        <v>1400</v>
      </c>
      <c r="C50" s="238">
        <v>3300082</v>
      </c>
      <c r="D50" s="241">
        <v>891073.9</v>
      </c>
      <c r="E50" s="241">
        <v>891073.9</v>
      </c>
      <c r="F50" s="241">
        <f>E50-D50</f>
        <v>0</v>
      </c>
      <c r="G50" s="241">
        <v>80</v>
      </c>
      <c r="H50" s="241">
        <f>F50*G50</f>
        <v>0</v>
      </c>
      <c r="I50" s="241"/>
      <c r="J50" s="241">
        <f>H50+I50</f>
        <v>0</v>
      </c>
      <c r="K50" s="738"/>
      <c r="L50" s="735">
        <v>0</v>
      </c>
      <c r="M50" s="736" t="e">
        <f t="shared" si="0"/>
        <v>#DIV/0!</v>
      </c>
    </row>
    <row r="51" spans="1:13" customFormat="1">
      <c r="A51" s="241"/>
      <c r="B51" s="238" t="s">
        <v>1400</v>
      </c>
      <c r="C51" s="238" t="s">
        <v>1401</v>
      </c>
      <c r="D51" s="241">
        <v>345556</v>
      </c>
      <c r="E51" s="241">
        <v>350278</v>
      </c>
      <c r="F51" s="241">
        <f>E51-D51</f>
        <v>4722</v>
      </c>
      <c r="G51" s="241">
        <v>240</v>
      </c>
      <c r="H51" s="241">
        <f>F51*G51</f>
        <v>1133280</v>
      </c>
      <c r="I51" s="241">
        <v>580000</v>
      </c>
      <c r="J51" s="241">
        <f>H51+I51</f>
        <v>1713280</v>
      </c>
      <c r="K51" s="738"/>
      <c r="L51" s="735">
        <v>1280160</v>
      </c>
      <c r="M51" s="736">
        <f t="shared" si="0"/>
        <v>1.3383327084114485</v>
      </c>
    </row>
    <row r="52" spans="1:13" customFormat="1">
      <c r="A52" s="241"/>
      <c r="B52" s="734" t="s">
        <v>1363</v>
      </c>
      <c r="C52" s="238"/>
      <c r="D52" s="241"/>
      <c r="E52" s="241"/>
      <c r="F52" s="241"/>
      <c r="G52" s="241"/>
      <c r="H52" s="241"/>
      <c r="I52" s="241"/>
      <c r="J52" s="241">
        <f>SUM(J50:J51)</f>
        <v>1713280</v>
      </c>
      <c r="K52" s="241"/>
      <c r="L52" s="735">
        <v>1280160</v>
      </c>
      <c r="M52" s="736">
        <f t="shared" si="0"/>
        <v>1.3383327084114485</v>
      </c>
    </row>
    <row r="53" spans="1:13" customFormat="1">
      <c r="A53" s="241"/>
      <c r="B53" s="737" t="s">
        <v>1364</v>
      </c>
      <c r="C53" s="238"/>
      <c r="D53" s="241"/>
      <c r="E53" s="241"/>
      <c r="F53" s="241"/>
      <c r="G53" s="241"/>
      <c r="H53" s="241"/>
      <c r="I53" s="241"/>
      <c r="J53" s="241"/>
      <c r="K53" s="241"/>
      <c r="L53" s="735"/>
      <c r="M53" s="736" t="e">
        <f t="shared" si="0"/>
        <v>#DIV/0!</v>
      </c>
    </row>
    <row r="54" spans="1:13" customFormat="1">
      <c r="A54" s="241">
        <v>15</v>
      </c>
      <c r="B54" s="238" t="s">
        <v>1402</v>
      </c>
      <c r="C54" s="238" t="s">
        <v>1403</v>
      </c>
      <c r="D54" s="241">
        <v>98738</v>
      </c>
      <c r="E54" s="241">
        <v>99325.7</v>
      </c>
      <c r="F54" s="241">
        <f>E54-D54</f>
        <v>587.69999999999709</v>
      </c>
      <c r="G54" s="241">
        <v>1333.33</v>
      </c>
      <c r="H54" s="244">
        <f>F54*G54</f>
        <v>783598.04099999613</v>
      </c>
      <c r="I54" s="241"/>
      <c r="J54" s="244">
        <f>H54+I54</f>
        <v>783598.04099999613</v>
      </c>
      <c r="K54" s="241"/>
      <c r="L54" s="735">
        <v>596531.84199999203</v>
      </c>
      <c r="M54" s="736">
        <f t="shared" si="0"/>
        <v>1.3135896289673781</v>
      </c>
    </row>
    <row r="55" spans="1:13" customFormat="1">
      <c r="A55" s="241">
        <v>16</v>
      </c>
      <c r="B55" s="238" t="s">
        <v>1404</v>
      </c>
      <c r="C55" s="238" t="s">
        <v>1405</v>
      </c>
      <c r="D55" s="241">
        <v>85543.7</v>
      </c>
      <c r="E55" s="241">
        <v>86000.3</v>
      </c>
      <c r="F55" s="241">
        <f>E55-D55</f>
        <v>456.60000000000582</v>
      </c>
      <c r="G55" s="241">
        <v>2000</v>
      </c>
      <c r="H55" s="241">
        <f>F55*G55</f>
        <v>913200.00000001164</v>
      </c>
      <c r="I55" s="241"/>
      <c r="J55" s="241">
        <f>H55+I55</f>
        <v>913200.00000001164</v>
      </c>
      <c r="K55" s="241"/>
      <c r="L55" s="735">
        <v>678000</v>
      </c>
      <c r="M55" s="736">
        <f t="shared" si="0"/>
        <v>1.3469026548672738</v>
      </c>
    </row>
    <row r="56" spans="1:13" customFormat="1">
      <c r="A56" s="241"/>
      <c r="B56" s="238"/>
      <c r="C56" s="238"/>
      <c r="D56" s="241"/>
      <c r="E56" s="241"/>
      <c r="F56" s="241"/>
      <c r="G56" s="241"/>
      <c r="H56" s="241"/>
      <c r="I56" s="244"/>
      <c r="J56" s="244">
        <f>SUM(J54:J55)</f>
        <v>1696798.0410000077</v>
      </c>
      <c r="K56" s="743">
        <f>(J52-J56)/J52</f>
        <v>9.6201198869959072E-3</v>
      </c>
      <c r="L56" s="735">
        <v>1274531.8419999899</v>
      </c>
      <c r="M56" s="736">
        <f t="shared" si="0"/>
        <v>1.3313108273053418</v>
      </c>
    </row>
    <row r="57" spans="1:13" customFormat="1">
      <c r="A57" s="1239">
        <v>6</v>
      </c>
      <c r="B57" s="741" t="s">
        <v>1406</v>
      </c>
      <c r="C57" s="238"/>
      <c r="D57" s="241"/>
      <c r="E57" s="241"/>
      <c r="F57" s="241"/>
      <c r="G57" s="241"/>
      <c r="H57" s="241"/>
      <c r="I57" s="241"/>
      <c r="J57" s="241"/>
      <c r="K57" s="743"/>
      <c r="L57" s="735"/>
      <c r="M57" s="736" t="e">
        <f t="shared" si="0"/>
        <v>#DIV/0!</v>
      </c>
    </row>
    <row r="58" spans="1:13" customFormat="1">
      <c r="A58" s="241">
        <v>1</v>
      </c>
      <c r="B58" s="238" t="s">
        <v>1407</v>
      </c>
      <c r="C58" s="238" t="s">
        <v>1408</v>
      </c>
      <c r="D58" s="241">
        <v>76214.399999999994</v>
      </c>
      <c r="E58" s="241">
        <v>76654.5</v>
      </c>
      <c r="F58" s="241">
        <f>E58-D58</f>
        <v>440.10000000000582</v>
      </c>
      <c r="G58" s="241">
        <v>4000</v>
      </c>
      <c r="H58" s="241">
        <f>F58*G58</f>
        <v>1760400.0000000233</v>
      </c>
      <c r="I58" s="241"/>
      <c r="J58" s="241">
        <f>H58+I58</f>
        <v>1760400.0000000233</v>
      </c>
      <c r="K58" s="743"/>
      <c r="L58" s="735">
        <v>303600.00000003498</v>
      </c>
      <c r="M58" s="736">
        <f t="shared" si="0"/>
        <v>5.7984189723314241</v>
      </c>
    </row>
    <row r="59" spans="1:13" customFormat="1">
      <c r="A59" s="241">
        <v>2</v>
      </c>
      <c r="B59" s="734" t="s">
        <v>1400</v>
      </c>
      <c r="C59" s="751" t="s">
        <v>1409</v>
      </c>
      <c r="D59" s="241">
        <v>172623.5</v>
      </c>
      <c r="E59" s="241">
        <v>174486</v>
      </c>
      <c r="F59" s="241">
        <f>E59-D59</f>
        <v>1862.5</v>
      </c>
      <c r="G59" s="241">
        <v>240</v>
      </c>
      <c r="H59" s="241">
        <f>F59*G59</f>
        <v>447000</v>
      </c>
      <c r="I59" s="241"/>
      <c r="J59" s="241">
        <f>H59+I59</f>
        <v>447000</v>
      </c>
      <c r="K59" s="161"/>
      <c r="L59" s="735">
        <v>158880</v>
      </c>
      <c r="M59" s="736">
        <f t="shared" si="0"/>
        <v>2.8134441087613293</v>
      </c>
    </row>
    <row r="60" spans="1:13" customFormat="1">
      <c r="A60" s="241"/>
      <c r="B60" s="734" t="s">
        <v>1410</v>
      </c>
      <c r="C60" s="734"/>
      <c r="D60" s="241"/>
      <c r="E60" s="241"/>
      <c r="F60" s="241"/>
      <c r="G60" s="241"/>
      <c r="H60" s="241"/>
      <c r="I60" s="241"/>
      <c r="J60" s="241">
        <v>300000</v>
      </c>
      <c r="K60" s="161"/>
      <c r="L60" s="735">
        <v>10000</v>
      </c>
      <c r="M60" s="736">
        <f t="shared" si="0"/>
        <v>30</v>
      </c>
    </row>
    <row r="61" spans="1:13" customFormat="1">
      <c r="A61" s="241"/>
      <c r="B61" s="734" t="s">
        <v>1363</v>
      </c>
      <c r="C61" s="238"/>
      <c r="D61" s="241"/>
      <c r="E61" s="241"/>
      <c r="F61" s="241"/>
      <c r="G61" s="241"/>
      <c r="H61" s="241"/>
      <c r="I61" s="241"/>
      <c r="J61" s="241">
        <f>J58+J59-J60</f>
        <v>1907400.0000000233</v>
      </c>
      <c r="K61" s="743"/>
      <c r="L61" s="735">
        <v>452480.00000003498</v>
      </c>
      <c r="M61" s="736">
        <f t="shared" si="0"/>
        <v>4.2154349363505039</v>
      </c>
    </row>
    <row r="62" spans="1:13" customFormat="1">
      <c r="A62" s="241"/>
      <c r="B62" s="737" t="s">
        <v>1364</v>
      </c>
      <c r="C62" s="238"/>
      <c r="D62" s="241"/>
      <c r="E62" s="241"/>
      <c r="F62" s="241"/>
      <c r="G62" s="241"/>
      <c r="H62" s="241"/>
      <c r="I62" s="241"/>
      <c r="J62" s="241"/>
      <c r="K62" s="743"/>
      <c r="L62" s="735"/>
      <c r="M62" s="736" t="e">
        <f t="shared" si="0"/>
        <v>#DIV/0!</v>
      </c>
    </row>
    <row r="63" spans="1:13" customFormat="1">
      <c r="A63" s="241">
        <v>17</v>
      </c>
      <c r="B63" s="751" t="s">
        <v>1169</v>
      </c>
      <c r="C63" s="752" t="s">
        <v>1411</v>
      </c>
      <c r="D63" s="155">
        <v>105364.3</v>
      </c>
      <c r="E63" s="155">
        <v>105984.8</v>
      </c>
      <c r="F63" s="155">
        <f>E63-D63</f>
        <v>620.5</v>
      </c>
      <c r="G63" s="155">
        <v>2000</v>
      </c>
      <c r="H63" s="155">
        <f>F63*G63</f>
        <v>1241000</v>
      </c>
      <c r="I63" s="158"/>
      <c r="J63" s="155">
        <f>H63+I63</f>
        <v>1241000</v>
      </c>
      <c r="K63" s="743"/>
      <c r="L63" s="735">
        <v>125800.000000017</v>
      </c>
      <c r="M63" s="736">
        <f t="shared" si="0"/>
        <v>9.8648648648635326</v>
      </c>
    </row>
    <row r="64" spans="1:13" customFormat="1">
      <c r="A64" s="241">
        <v>18</v>
      </c>
      <c r="B64" s="734" t="s">
        <v>1412</v>
      </c>
      <c r="C64" s="238" t="s">
        <v>1413</v>
      </c>
      <c r="D64" s="241">
        <v>21970</v>
      </c>
      <c r="E64" s="241">
        <v>22067.8</v>
      </c>
      <c r="F64" s="241">
        <f>E64-D64</f>
        <v>97.799999999999272</v>
      </c>
      <c r="G64" s="241">
        <v>2000</v>
      </c>
      <c r="H64" s="241">
        <f>F64*G64</f>
        <v>195599.99999999854</v>
      </c>
      <c r="I64" s="244"/>
      <c r="J64" s="241">
        <f>H64+I64</f>
        <v>195599.99999999854</v>
      </c>
      <c r="K64" s="743"/>
      <c r="L64" s="735">
        <v>93200.000000004395</v>
      </c>
      <c r="M64" s="736">
        <f t="shared" si="0"/>
        <v>2.0987124463518168</v>
      </c>
    </row>
    <row r="65" spans="1:14" customFormat="1">
      <c r="A65" s="241">
        <v>19</v>
      </c>
      <c r="B65" s="734" t="s">
        <v>1414</v>
      </c>
      <c r="C65" s="238" t="s">
        <v>1415</v>
      </c>
      <c r="D65" s="241">
        <v>426583</v>
      </c>
      <c r="E65" s="241">
        <v>433850</v>
      </c>
      <c r="F65" s="241">
        <f>E65-D65</f>
        <v>7267</v>
      </c>
      <c r="G65" s="241">
        <v>60</v>
      </c>
      <c r="H65" s="241">
        <f>F65*G65</f>
        <v>436020</v>
      </c>
      <c r="I65" s="244"/>
      <c r="J65" s="244">
        <f>H65+I65</f>
        <v>436020</v>
      </c>
      <c r="K65" s="241"/>
      <c r="L65" s="735">
        <v>224500.7843</v>
      </c>
      <c r="M65" s="736">
        <f t="shared" si="0"/>
        <v>1.9421758429910305</v>
      </c>
      <c r="N65" s="386"/>
    </row>
    <row r="66" spans="1:14" customFormat="1">
      <c r="A66" s="241"/>
      <c r="B66" s="238"/>
      <c r="C66" s="238"/>
      <c r="D66" s="241"/>
      <c r="E66" s="241"/>
      <c r="F66" s="241"/>
      <c r="G66" s="241"/>
      <c r="H66" s="241"/>
      <c r="I66" s="241"/>
      <c r="J66" s="244">
        <f>SUM(J63:J65)</f>
        <v>1872619.9999999986</v>
      </c>
      <c r="K66" s="743">
        <f>(J61-J66)/J61</f>
        <v>1.8234245569898423E-2</v>
      </c>
      <c r="L66" s="735">
        <v>443500.784300022</v>
      </c>
      <c r="M66" s="736">
        <f t="shared" si="0"/>
        <v>4.2223600640426326</v>
      </c>
      <c r="N66" s="386"/>
    </row>
    <row r="67" spans="1:14" customFormat="1">
      <c r="A67" s="1239">
        <v>7</v>
      </c>
      <c r="B67" s="741" t="s">
        <v>1416</v>
      </c>
      <c r="C67" s="238"/>
      <c r="D67" s="241"/>
      <c r="E67" s="241"/>
      <c r="F67" s="241"/>
      <c r="G67" s="241"/>
      <c r="H67" s="241"/>
      <c r="I67" s="244"/>
      <c r="J67" s="241"/>
      <c r="K67" s="743"/>
      <c r="L67" s="735"/>
      <c r="M67" s="736" t="e">
        <f t="shared" si="0"/>
        <v>#DIV/0!</v>
      </c>
      <c r="N67" s="386"/>
    </row>
    <row r="68" spans="1:14" customFormat="1">
      <c r="A68" s="241">
        <v>1</v>
      </c>
      <c r="B68" s="238" t="s">
        <v>1417</v>
      </c>
      <c r="C68" s="238" t="s">
        <v>1418</v>
      </c>
      <c r="D68" s="241">
        <v>253206</v>
      </c>
      <c r="E68" s="241">
        <v>254731.6</v>
      </c>
      <c r="F68" s="241">
        <f>E68-D68</f>
        <v>1525.6000000000058</v>
      </c>
      <c r="G68" s="241">
        <v>2000</v>
      </c>
      <c r="H68" s="241">
        <f>F68*G68</f>
        <v>3051200.0000000116</v>
      </c>
      <c r="I68" s="241"/>
      <c r="J68" s="241">
        <f>H68+I68</f>
        <v>3051200.0000000116</v>
      </c>
      <c r="K68" s="743"/>
      <c r="L68" s="735">
        <v>3752000</v>
      </c>
      <c r="M68" s="736">
        <f>J68/L68</f>
        <v>0.81321961620469396</v>
      </c>
      <c r="N68" s="386"/>
    </row>
    <row r="69" spans="1:14" customFormat="1">
      <c r="A69" s="241"/>
      <c r="B69" s="238"/>
      <c r="C69" s="238"/>
      <c r="D69" s="241"/>
      <c r="E69" s="241"/>
      <c r="F69" s="241"/>
      <c r="G69" s="241"/>
      <c r="H69" s="241"/>
      <c r="I69" s="241"/>
      <c r="J69" s="241">
        <v>390000</v>
      </c>
      <c r="K69" s="743"/>
      <c r="L69" s="735">
        <v>160000</v>
      </c>
      <c r="M69" s="736">
        <f t="shared" ref="M69:M132" si="4">J69/L69</f>
        <v>2.4375</v>
      </c>
      <c r="N69" s="386"/>
    </row>
    <row r="70" spans="1:14" customFormat="1">
      <c r="A70" s="241"/>
      <c r="B70" s="734" t="s">
        <v>1363</v>
      </c>
      <c r="C70" s="238"/>
      <c r="D70" s="241"/>
      <c r="E70" s="241"/>
      <c r="F70" s="241"/>
      <c r="G70" s="241"/>
      <c r="H70" s="241"/>
      <c r="I70" s="241"/>
      <c r="J70" s="241">
        <f>SUM(J68:J69)</f>
        <v>3441200.0000000116</v>
      </c>
      <c r="K70" s="753"/>
      <c r="L70" s="735">
        <v>3912000</v>
      </c>
      <c r="M70" s="736">
        <f t="shared" si="4"/>
        <v>0.8796523517382443</v>
      </c>
      <c r="N70" s="386"/>
    </row>
    <row r="71" spans="1:14" customFormat="1">
      <c r="A71" s="241"/>
      <c r="B71" s="737" t="s">
        <v>1364</v>
      </c>
      <c r="C71" s="238"/>
      <c r="D71" s="241"/>
      <c r="E71" s="241"/>
      <c r="F71" s="241"/>
      <c r="G71" s="241"/>
      <c r="H71" s="241"/>
      <c r="I71" s="241"/>
      <c r="J71" s="241"/>
      <c r="K71" s="743"/>
      <c r="L71" s="735"/>
      <c r="M71" s="736" t="e">
        <f t="shared" si="4"/>
        <v>#DIV/0!</v>
      </c>
      <c r="N71" s="386"/>
    </row>
    <row r="72" spans="1:14" customFormat="1">
      <c r="A72" s="241">
        <v>20</v>
      </c>
      <c r="B72" s="734" t="s">
        <v>1419</v>
      </c>
      <c r="C72" s="238" t="s">
        <v>1420</v>
      </c>
      <c r="D72" s="241">
        <v>9020.65</v>
      </c>
      <c r="E72" s="241">
        <v>9068.89</v>
      </c>
      <c r="F72" s="241">
        <f>E72-D72</f>
        <v>48.239999999999782</v>
      </c>
      <c r="G72" s="241">
        <v>12000</v>
      </c>
      <c r="H72" s="241">
        <f>F72*G72</f>
        <v>578879.99999999744</v>
      </c>
      <c r="I72" s="244"/>
      <c r="J72" s="244">
        <f>H72+I72</f>
        <v>578879.99999999744</v>
      </c>
      <c r="K72" s="743"/>
      <c r="L72" s="735">
        <v>642359.99999998603</v>
      </c>
      <c r="M72" s="736">
        <f t="shared" si="4"/>
        <v>0.90117691014386014</v>
      </c>
      <c r="N72" s="754"/>
    </row>
    <row r="73" spans="1:14" customFormat="1">
      <c r="A73" s="241">
        <v>21</v>
      </c>
      <c r="B73" s="734" t="s">
        <v>1421</v>
      </c>
      <c r="C73" s="238" t="s">
        <v>1422</v>
      </c>
      <c r="D73" s="241">
        <v>10125.09</v>
      </c>
      <c r="E73" s="241">
        <v>10125.09</v>
      </c>
      <c r="F73" s="247">
        <f>E73-D73</f>
        <v>0</v>
      </c>
      <c r="G73" s="241">
        <v>12000</v>
      </c>
      <c r="H73" s="241">
        <f>F73*G73</f>
        <v>0</v>
      </c>
      <c r="I73" s="244">
        <v>899302.11009999202</v>
      </c>
      <c r="J73" s="244">
        <f>H73+I73</f>
        <v>899302.11009999202</v>
      </c>
      <c r="K73" s="1237"/>
      <c r="L73" s="735">
        <v>981662.11009999993</v>
      </c>
      <c r="M73" s="736">
        <f t="shared" si="4"/>
        <v>0.91610147814341325</v>
      </c>
      <c r="N73" s="386"/>
    </row>
    <row r="74" spans="1:14" customFormat="1">
      <c r="A74" s="241">
        <v>22</v>
      </c>
      <c r="B74" s="734" t="s">
        <v>1423</v>
      </c>
      <c r="C74" s="238" t="s">
        <v>1424</v>
      </c>
      <c r="D74" s="241">
        <v>4120.17</v>
      </c>
      <c r="E74" s="241">
        <v>4209.34</v>
      </c>
      <c r="F74" s="247">
        <f>E74-D74</f>
        <v>89.170000000000073</v>
      </c>
      <c r="G74" s="241">
        <v>6000</v>
      </c>
      <c r="H74" s="241">
        <f>F74*G74</f>
        <v>535020.00000000047</v>
      </c>
      <c r="I74" s="244"/>
      <c r="J74" s="244">
        <f>H74+I74</f>
        <v>535020.00000000047</v>
      </c>
      <c r="K74" s="1237"/>
      <c r="L74" s="735">
        <v>594780.0000000007</v>
      </c>
      <c r="M74" s="736">
        <f t="shared" si="4"/>
        <v>0.89952587511348703</v>
      </c>
      <c r="N74" s="386"/>
    </row>
    <row r="75" spans="1:14" customFormat="1">
      <c r="A75" s="241">
        <v>23</v>
      </c>
      <c r="B75" s="734" t="s">
        <v>1425</v>
      </c>
      <c r="C75" s="238" t="s">
        <v>1426</v>
      </c>
      <c r="D75" s="241">
        <v>2028.48</v>
      </c>
      <c r="E75" s="241">
        <v>2067.02</v>
      </c>
      <c r="F75" s="241">
        <f>E75-D75</f>
        <v>38.539999999999964</v>
      </c>
      <c r="G75" s="241">
        <v>20000</v>
      </c>
      <c r="H75" s="241">
        <f>F75*G75</f>
        <v>770799.9999999993</v>
      </c>
      <c r="I75" s="244"/>
      <c r="J75" s="244">
        <f>H75+I75</f>
        <v>770799.9999999993</v>
      </c>
      <c r="K75" s="1237"/>
      <c r="L75" s="735">
        <v>881599.9999999986</v>
      </c>
      <c r="M75" s="736">
        <f t="shared" si="4"/>
        <v>0.87431941923775014</v>
      </c>
      <c r="N75" s="386"/>
    </row>
    <row r="76" spans="1:14" customFormat="1">
      <c r="A76" s="241">
        <v>24</v>
      </c>
      <c r="B76" s="734" t="s">
        <v>1427</v>
      </c>
      <c r="C76" s="238" t="s">
        <v>1428</v>
      </c>
      <c r="D76" s="241">
        <v>533285</v>
      </c>
      <c r="E76" s="241">
        <v>543982.5</v>
      </c>
      <c r="F76" s="241">
        <f>E76-D76</f>
        <v>10697.5</v>
      </c>
      <c r="G76" s="241">
        <v>60</v>
      </c>
      <c r="H76" s="244">
        <f>F76*G76</f>
        <v>641850</v>
      </c>
      <c r="I76" s="244"/>
      <c r="J76" s="244">
        <f>H76+I76</f>
        <v>641850</v>
      </c>
      <c r="K76" s="1237"/>
      <c r="L76" s="735">
        <v>782190</v>
      </c>
      <c r="M76" s="736">
        <f t="shared" si="4"/>
        <v>0.82058067732903772</v>
      </c>
      <c r="N76" s="386"/>
    </row>
    <row r="77" spans="1:14" customFormat="1">
      <c r="A77" s="241"/>
      <c r="B77" s="238"/>
      <c r="C77" s="238"/>
      <c r="D77" s="241"/>
      <c r="E77" s="241"/>
      <c r="F77" s="241"/>
      <c r="G77" s="241"/>
      <c r="H77" s="241"/>
      <c r="I77" s="244"/>
      <c r="J77" s="244">
        <f>SUM(J72:J76)</f>
        <v>3425852.110099989</v>
      </c>
      <c r="K77" s="743">
        <f>(J70-J77)/J70</f>
        <v>4.4600400732368361E-3</v>
      </c>
      <c r="L77" s="735">
        <v>3882592.1100999853</v>
      </c>
      <c r="M77" s="736">
        <f t="shared" si="4"/>
        <v>0.88236209546404443</v>
      </c>
      <c r="N77" s="386"/>
    </row>
    <row r="78" spans="1:14" customFormat="1">
      <c r="A78" s="1239">
        <v>8</v>
      </c>
      <c r="B78" s="741" t="s">
        <v>1429</v>
      </c>
      <c r="C78" s="238"/>
      <c r="D78" s="241"/>
      <c r="E78" s="241"/>
      <c r="F78" s="241"/>
      <c r="G78" s="241"/>
      <c r="H78" s="241"/>
      <c r="I78" s="241"/>
      <c r="J78" s="241"/>
      <c r="K78" s="743"/>
      <c r="L78" s="735">
        <v>1059399.99999999</v>
      </c>
      <c r="M78" s="736">
        <f t="shared" si="4"/>
        <v>0</v>
      </c>
      <c r="N78" s="386"/>
    </row>
    <row r="79" spans="1:14" customFormat="1">
      <c r="A79" s="241">
        <v>1</v>
      </c>
      <c r="B79" s="238" t="s">
        <v>1375</v>
      </c>
      <c r="C79" s="238" t="s">
        <v>1430</v>
      </c>
      <c r="D79" s="241">
        <v>95888.8</v>
      </c>
      <c r="E79" s="241">
        <v>96755</v>
      </c>
      <c r="F79" s="241">
        <f>E79-D79</f>
        <v>866.19999999999709</v>
      </c>
      <c r="G79" s="241">
        <v>2000</v>
      </c>
      <c r="H79" s="241">
        <f>F79*G79</f>
        <v>1732399.9999999942</v>
      </c>
      <c r="I79" s="241">
        <v>30000</v>
      </c>
      <c r="J79" s="241">
        <f>H79+I79</f>
        <v>1762399.9999999942</v>
      </c>
      <c r="K79" s="743"/>
      <c r="L79" s="735">
        <v>400415.99999999598</v>
      </c>
      <c r="M79" s="736">
        <f t="shared" si="4"/>
        <v>4.4014225205786275</v>
      </c>
      <c r="N79" s="386"/>
    </row>
    <row r="80" spans="1:14" customFormat="1">
      <c r="A80" s="241">
        <v>2</v>
      </c>
      <c r="B80" s="238" t="s">
        <v>1375</v>
      </c>
      <c r="C80" s="238">
        <v>3300081</v>
      </c>
      <c r="D80" s="241">
        <v>524544.30000000005</v>
      </c>
      <c r="E80" s="241">
        <v>524544.30000000005</v>
      </c>
      <c r="F80" s="241">
        <f>E80-D80</f>
        <v>0</v>
      </c>
      <c r="G80" s="241">
        <v>80</v>
      </c>
      <c r="H80" s="241">
        <f>F80*G80</f>
        <v>0</v>
      </c>
      <c r="I80" s="241"/>
      <c r="J80" s="241">
        <f>H80+I80</f>
        <v>0</v>
      </c>
      <c r="K80" s="738"/>
      <c r="L80" s="735">
        <v>1459815.99999999</v>
      </c>
      <c r="M80" s="736">
        <f t="shared" si="4"/>
        <v>0</v>
      </c>
      <c r="N80" s="386"/>
    </row>
    <row r="81" spans="1:14" customFormat="1">
      <c r="A81" s="241"/>
      <c r="B81" s="734" t="s">
        <v>1363</v>
      </c>
      <c r="C81" s="238"/>
      <c r="D81" s="241"/>
      <c r="E81" s="241"/>
      <c r="F81" s="241"/>
      <c r="G81" s="241"/>
      <c r="H81" s="241"/>
      <c r="I81" s="241"/>
      <c r="J81" s="241">
        <f>SUM(J79:J80)</f>
        <v>1762399.9999999942</v>
      </c>
      <c r="K81" s="743"/>
      <c r="L81" s="735"/>
      <c r="M81" s="736" t="e">
        <f t="shared" si="4"/>
        <v>#DIV/0!</v>
      </c>
      <c r="N81" s="386"/>
    </row>
    <row r="82" spans="1:14" customFormat="1">
      <c r="A82" s="241"/>
      <c r="B82" s="737" t="s">
        <v>1364</v>
      </c>
      <c r="C82" s="238"/>
      <c r="D82" s="241"/>
      <c r="E82" s="241"/>
      <c r="F82" s="241"/>
      <c r="G82" s="241"/>
      <c r="H82" s="241"/>
      <c r="I82" s="241"/>
      <c r="J82" s="241"/>
      <c r="K82" s="241"/>
      <c r="L82" s="735">
        <v>549599.98625999701</v>
      </c>
      <c r="M82" s="736">
        <f t="shared" si="4"/>
        <v>0</v>
      </c>
      <c r="N82" s="386"/>
    </row>
    <row r="83" spans="1:14" customFormat="1">
      <c r="A83" s="241">
        <v>25</v>
      </c>
      <c r="B83" s="238" t="s">
        <v>1431</v>
      </c>
      <c r="C83" s="238" t="s">
        <v>1432</v>
      </c>
      <c r="D83" s="241">
        <v>3374.56</v>
      </c>
      <c r="E83" s="241">
        <v>3437.69</v>
      </c>
      <c r="F83" s="261">
        <f>E83-D83</f>
        <v>63.130000000000109</v>
      </c>
      <c r="G83" s="241">
        <v>13333.333000000001</v>
      </c>
      <c r="H83" s="244">
        <f>F83*G83</f>
        <v>841733.31229000154</v>
      </c>
      <c r="I83" s="244"/>
      <c r="J83" s="244">
        <f>H83+I83</f>
        <v>841733.31229000154</v>
      </c>
      <c r="K83" s="1237"/>
      <c r="L83" s="735">
        <v>504600.00000000902</v>
      </c>
      <c r="M83" s="736">
        <f t="shared" si="4"/>
        <v>1.6681199213039763</v>
      </c>
      <c r="N83" s="386"/>
    </row>
    <row r="84" spans="1:14" customFormat="1">
      <c r="A84" s="241">
        <v>26</v>
      </c>
      <c r="B84" s="238" t="s">
        <v>1433</v>
      </c>
      <c r="C84" s="238" t="s">
        <v>1434</v>
      </c>
      <c r="D84" s="241">
        <v>4472.99</v>
      </c>
      <c r="E84" s="241">
        <v>4472.99</v>
      </c>
      <c r="F84" s="241">
        <f>E84-D84</f>
        <v>0</v>
      </c>
      <c r="G84" s="241">
        <v>20000</v>
      </c>
      <c r="H84" s="241">
        <f>F84*G84</f>
        <v>0</v>
      </c>
      <c r="I84" s="244">
        <v>773522.4571</v>
      </c>
      <c r="J84" s="244">
        <f>H84+I84</f>
        <v>773522.4571</v>
      </c>
      <c r="K84" s="1237"/>
      <c r="L84" s="735">
        <v>58933.186000000998</v>
      </c>
      <c r="M84" s="736">
        <f t="shared" si="4"/>
        <v>13.1254138729236</v>
      </c>
      <c r="N84" s="386"/>
    </row>
    <row r="85" spans="1:14" customFormat="1">
      <c r="A85" s="241">
        <v>27</v>
      </c>
      <c r="B85" s="238" t="s">
        <v>1435</v>
      </c>
      <c r="C85" s="238" t="s">
        <v>1436</v>
      </c>
      <c r="D85" s="241">
        <v>6802.4</v>
      </c>
      <c r="E85" s="241">
        <v>6881.9</v>
      </c>
      <c r="F85" s="241">
        <f>E85-D85</f>
        <v>79.5</v>
      </c>
      <c r="G85" s="241">
        <v>1333.33</v>
      </c>
      <c r="H85" s="244">
        <f>F85*G85</f>
        <v>105999.735</v>
      </c>
      <c r="I85" s="244">
        <v>34400.418099999995</v>
      </c>
      <c r="J85" s="244">
        <f>H85+I85</f>
        <v>140400.1531</v>
      </c>
      <c r="K85" s="1237"/>
      <c r="L85" s="735">
        <v>334799.99999999901</v>
      </c>
      <c r="M85" s="736">
        <f t="shared" si="4"/>
        <v>0.41935529599761173</v>
      </c>
      <c r="N85" s="386"/>
    </row>
    <row r="86" spans="1:14" customFormat="1">
      <c r="A86" s="241">
        <v>28</v>
      </c>
      <c r="B86" s="238" t="s">
        <v>1437</v>
      </c>
      <c r="C86" s="238" t="s">
        <v>1438</v>
      </c>
      <c r="D86" s="241">
        <v>18264.599999999999</v>
      </c>
      <c r="E86" s="241">
        <v>18264.599999999999</v>
      </c>
      <c r="F86" s="241">
        <f>E86-D86</f>
        <v>0</v>
      </c>
      <c r="G86" s="241">
        <v>1000</v>
      </c>
      <c r="H86" s="244">
        <f>F86*G86</f>
        <v>0</v>
      </c>
      <c r="I86" s="241"/>
      <c r="J86" s="244">
        <f>H86+I86</f>
        <v>0</v>
      </c>
      <c r="K86" s="1237"/>
      <c r="L86" s="735">
        <v>1447933.1722600099</v>
      </c>
      <c r="M86" s="736">
        <f t="shared" si="4"/>
        <v>0</v>
      </c>
      <c r="N86" s="386"/>
    </row>
    <row r="87" spans="1:14" customFormat="1">
      <c r="A87" s="241"/>
      <c r="B87" s="755"/>
      <c r="C87" s="238"/>
      <c r="D87" s="241"/>
      <c r="E87" s="241"/>
      <c r="F87" s="241"/>
      <c r="G87" s="241"/>
      <c r="H87" s="241"/>
      <c r="I87" s="241"/>
      <c r="J87" s="244">
        <f>SUM(J83:J86)</f>
        <v>1755655.9224900014</v>
      </c>
      <c r="K87" s="743">
        <f>(J81-J87)/J81</f>
        <v>3.8266440705814675E-3</v>
      </c>
      <c r="L87" s="735"/>
      <c r="M87" s="736" t="e">
        <f t="shared" si="4"/>
        <v>#DIV/0!</v>
      </c>
      <c r="N87" s="386"/>
    </row>
    <row r="88" spans="1:14" customFormat="1">
      <c r="A88" s="1239">
        <v>9</v>
      </c>
      <c r="B88" s="741" t="s">
        <v>1439</v>
      </c>
      <c r="C88" s="238"/>
      <c r="D88" s="241"/>
      <c r="E88" s="241"/>
      <c r="F88" s="241"/>
      <c r="G88" s="241"/>
      <c r="H88" s="241"/>
      <c r="I88" s="241"/>
      <c r="J88" s="241"/>
      <c r="K88" s="743"/>
      <c r="L88" s="735">
        <v>901799.99999999802</v>
      </c>
      <c r="M88" s="736">
        <f t="shared" si="4"/>
        <v>0</v>
      </c>
      <c r="N88" s="386"/>
    </row>
    <row r="89" spans="1:14" customFormat="1">
      <c r="A89" s="241">
        <v>1</v>
      </c>
      <c r="B89" s="238" t="s">
        <v>1440</v>
      </c>
      <c r="C89" s="238" t="s">
        <v>1441</v>
      </c>
      <c r="D89" s="241">
        <v>1562.37</v>
      </c>
      <c r="E89" s="241">
        <v>1585.59</v>
      </c>
      <c r="F89" s="241">
        <f>E89-D89</f>
        <v>23.220000000000027</v>
      </c>
      <c r="G89" s="241">
        <v>60000</v>
      </c>
      <c r="H89" s="241">
        <f>F89*G89</f>
        <v>1393200.0000000016</v>
      </c>
      <c r="I89" s="241"/>
      <c r="J89" s="241">
        <f>H89+I89</f>
        <v>1393200.0000000016</v>
      </c>
      <c r="K89" s="1237"/>
      <c r="L89" s="735">
        <v>901799.99999999802</v>
      </c>
      <c r="M89" s="736">
        <f t="shared" si="4"/>
        <v>1.5449101796407239</v>
      </c>
      <c r="N89" s="386"/>
    </row>
    <row r="90" spans="1:14" customFormat="1">
      <c r="A90" s="241"/>
      <c r="B90" s="734" t="s">
        <v>1363</v>
      </c>
      <c r="C90" s="238"/>
      <c r="D90" s="241"/>
      <c r="E90" s="241"/>
      <c r="F90" s="241"/>
      <c r="G90" s="241"/>
      <c r="H90" s="241"/>
      <c r="I90" s="241"/>
      <c r="J90" s="241">
        <f>SUM(J89)</f>
        <v>1393200.0000000016</v>
      </c>
      <c r="K90" s="743"/>
      <c r="L90" s="735"/>
      <c r="M90" s="736" t="e">
        <f t="shared" si="4"/>
        <v>#DIV/0!</v>
      </c>
      <c r="N90" s="386">
        <f>9.05-5.52</f>
        <v>3.5300000000000011</v>
      </c>
    </row>
    <row r="91" spans="1:14" customFormat="1">
      <c r="A91" s="241"/>
      <c r="B91" s="737" t="s">
        <v>1364</v>
      </c>
      <c r="C91" s="238"/>
      <c r="D91" s="241"/>
      <c r="E91" s="241"/>
      <c r="F91" s="241"/>
      <c r="G91" s="241"/>
      <c r="H91" s="241"/>
      <c r="I91" s="241"/>
      <c r="J91" s="241"/>
      <c r="K91" s="241"/>
      <c r="L91" s="735">
        <v>311600.000000006</v>
      </c>
      <c r="M91" s="736">
        <f t="shared" si="4"/>
        <v>0</v>
      </c>
      <c r="N91" s="386"/>
    </row>
    <row r="92" spans="1:14" customFormat="1">
      <c r="A92" s="241">
        <v>29</v>
      </c>
      <c r="B92" s="238" t="s">
        <v>1167</v>
      </c>
      <c r="C92" s="238" t="s">
        <v>1442</v>
      </c>
      <c r="D92" s="241">
        <v>74595.399999999994</v>
      </c>
      <c r="E92" s="241">
        <v>74830.2</v>
      </c>
      <c r="F92" s="241">
        <f>E92-D92</f>
        <v>234.80000000000291</v>
      </c>
      <c r="G92" s="241">
        <v>2000</v>
      </c>
      <c r="H92" s="241">
        <f>F92*G92</f>
        <v>469600.00000000582</v>
      </c>
      <c r="I92" s="747"/>
      <c r="J92" s="241">
        <f>H92+I92</f>
        <v>469600.00000000582</v>
      </c>
      <c r="K92" s="756"/>
      <c r="L92" s="735">
        <v>582800.000000017</v>
      </c>
      <c r="M92" s="736">
        <f t="shared" si="4"/>
        <v>0.80576527110499674</v>
      </c>
      <c r="N92" s="386"/>
    </row>
    <row r="93" spans="1:14" customFormat="1">
      <c r="A93" s="241">
        <v>30</v>
      </c>
      <c r="B93" s="238" t="s">
        <v>1443</v>
      </c>
      <c r="C93" s="238" t="s">
        <v>1444</v>
      </c>
      <c r="D93" s="241">
        <v>94997.4</v>
      </c>
      <c r="E93" s="241">
        <v>95452.6</v>
      </c>
      <c r="F93" s="241">
        <f>E93-D93</f>
        <v>455.20000000001164</v>
      </c>
      <c r="G93" s="241">
        <v>2000</v>
      </c>
      <c r="H93" s="241">
        <f>F93*G93</f>
        <v>910400.00000002328</v>
      </c>
      <c r="I93" s="747"/>
      <c r="J93" s="241">
        <f>H93+I93</f>
        <v>910400.00000002328</v>
      </c>
      <c r="K93" s="756"/>
      <c r="L93" s="735">
        <v>894400.00000002305</v>
      </c>
      <c r="M93" s="736">
        <f t="shared" si="4"/>
        <v>1.0178890876565294</v>
      </c>
      <c r="N93" s="386"/>
    </row>
    <row r="94" spans="1:14" customFormat="1">
      <c r="A94" s="241"/>
      <c r="B94" s="238"/>
      <c r="C94" s="238"/>
      <c r="D94" s="241"/>
      <c r="E94" s="241"/>
      <c r="F94" s="241"/>
      <c r="G94" s="241"/>
      <c r="H94" s="241"/>
      <c r="I94" s="241"/>
      <c r="J94" s="241">
        <f>SUM(J92:J93)</f>
        <v>1380000.0000000291</v>
      </c>
      <c r="K94" s="743">
        <f>(J90-J94)/J90</f>
        <v>9.4745908699199761E-3</v>
      </c>
      <c r="L94" s="735"/>
      <c r="M94" s="736" t="e">
        <f t="shared" si="4"/>
        <v>#DIV/0!</v>
      </c>
      <c r="N94" s="386"/>
    </row>
    <row r="95" spans="1:14" customFormat="1">
      <c r="A95" s="241"/>
      <c r="B95" s="238"/>
      <c r="C95" s="238"/>
      <c r="D95" s="241"/>
      <c r="E95" s="241"/>
      <c r="F95" s="241"/>
      <c r="G95" s="241"/>
      <c r="H95" s="241"/>
      <c r="I95" s="241"/>
      <c r="J95" s="241"/>
      <c r="K95" s="743"/>
      <c r="L95" s="735"/>
      <c r="M95" s="736" t="e">
        <f t="shared" si="4"/>
        <v>#DIV/0!</v>
      </c>
      <c r="N95" s="386"/>
    </row>
    <row r="96" spans="1:14" customFormat="1">
      <c r="A96" s="1239">
        <v>10</v>
      </c>
      <c r="B96" s="741" t="s">
        <v>1445</v>
      </c>
      <c r="C96" s="238"/>
      <c r="D96" s="241"/>
      <c r="E96" s="241"/>
      <c r="F96" s="241"/>
      <c r="G96" s="241"/>
      <c r="H96" s="241"/>
      <c r="I96" s="241"/>
      <c r="J96" s="241"/>
      <c r="K96" s="743"/>
      <c r="L96" s="735">
        <v>419200.00000000099</v>
      </c>
      <c r="M96" s="736">
        <f t="shared" si="4"/>
        <v>0</v>
      </c>
      <c r="N96" s="386"/>
    </row>
    <row r="97" spans="1:14" customFormat="1">
      <c r="A97" s="241">
        <v>1</v>
      </c>
      <c r="B97" s="238" t="s">
        <v>1381</v>
      </c>
      <c r="C97" s="1238" t="s">
        <v>1446</v>
      </c>
      <c r="D97" s="241">
        <v>5577.4</v>
      </c>
      <c r="E97" s="241">
        <v>5689.8</v>
      </c>
      <c r="F97" s="241">
        <f>E97-D97</f>
        <v>112.40000000000055</v>
      </c>
      <c r="G97" s="241">
        <v>2000</v>
      </c>
      <c r="H97" s="241">
        <f>F97*G97</f>
        <v>224800.00000000111</v>
      </c>
      <c r="I97" s="241"/>
      <c r="J97" s="241">
        <f>H97+I97</f>
        <v>224800.00000000111</v>
      </c>
      <c r="K97" s="757"/>
      <c r="L97" s="735">
        <v>419200.00000000099</v>
      </c>
      <c r="M97" s="736">
        <f t="shared" si="4"/>
        <v>0.53625954198473424</v>
      </c>
      <c r="N97" s="386"/>
    </row>
    <row r="98" spans="1:14" customFormat="1">
      <c r="A98" s="241"/>
      <c r="B98" s="734" t="s">
        <v>1363</v>
      </c>
      <c r="C98" s="1238"/>
      <c r="D98" s="241"/>
      <c r="E98" s="241"/>
      <c r="F98" s="241"/>
      <c r="G98" s="241"/>
      <c r="H98" s="241"/>
      <c r="I98" s="241"/>
      <c r="J98" s="241">
        <f>SUM(J97)</f>
        <v>224800.00000000111</v>
      </c>
      <c r="K98" s="743"/>
      <c r="L98" s="735"/>
      <c r="M98" s="736" t="e">
        <f t="shared" si="4"/>
        <v>#DIV/0!</v>
      </c>
      <c r="N98" s="386"/>
    </row>
    <row r="99" spans="1:14" customFormat="1">
      <c r="A99" s="241"/>
      <c r="B99" s="737" t="s">
        <v>1364</v>
      </c>
      <c r="C99" s="1238"/>
      <c r="D99" s="241"/>
      <c r="E99" s="241"/>
      <c r="F99" s="241"/>
      <c r="G99" s="241"/>
      <c r="H99" s="241"/>
      <c r="I99" s="241"/>
      <c r="J99" s="241"/>
      <c r="K99" s="743"/>
      <c r="L99" s="735">
        <v>411570.0747</v>
      </c>
      <c r="M99" s="736">
        <f t="shared" si="4"/>
        <v>0</v>
      </c>
      <c r="N99" s="386"/>
    </row>
    <row r="100" spans="1:14" customFormat="1">
      <c r="A100" s="241">
        <v>31</v>
      </c>
      <c r="B100" s="238" t="s">
        <v>1447</v>
      </c>
      <c r="C100" s="1238">
        <v>3300073</v>
      </c>
      <c r="D100" s="241">
        <v>656643.80000000005</v>
      </c>
      <c r="E100" s="241">
        <v>673168.1</v>
      </c>
      <c r="F100" s="241">
        <f>E100-D100</f>
        <v>16524.29999999993</v>
      </c>
      <c r="G100" s="241">
        <v>13.333</v>
      </c>
      <c r="H100" s="244">
        <f>F100*G100</f>
        <v>220318.49189999906</v>
      </c>
      <c r="I100" s="261"/>
      <c r="J100" s="244">
        <f>H100+I100</f>
        <v>220318.49189999906</v>
      </c>
      <c r="K100" s="757"/>
      <c r="L100" s="735"/>
      <c r="M100" s="736" t="e">
        <f t="shared" si="4"/>
        <v>#DIV/0!</v>
      </c>
      <c r="N100" s="386"/>
    </row>
    <row r="101" spans="1:14" customFormat="1">
      <c r="A101" s="241">
        <v>31</v>
      </c>
      <c r="B101" s="238" t="s">
        <v>1448</v>
      </c>
      <c r="C101" s="1238"/>
      <c r="D101" s="241"/>
      <c r="E101" s="241"/>
      <c r="F101" s="241"/>
      <c r="G101" s="241"/>
      <c r="H101" s="244"/>
      <c r="I101" s="241"/>
      <c r="J101" s="244"/>
      <c r="K101" s="757"/>
      <c r="L101" s="735">
        <v>411570.0747</v>
      </c>
      <c r="M101" s="736">
        <f t="shared" si="4"/>
        <v>0</v>
      </c>
      <c r="N101" s="386">
        <f>39.34*12500</f>
        <v>491750.00000000006</v>
      </c>
    </row>
    <row r="102" spans="1:14" customFormat="1">
      <c r="A102" s="241"/>
      <c r="B102" s="238"/>
      <c r="C102" s="238"/>
      <c r="D102" s="241"/>
      <c r="E102" s="241"/>
      <c r="F102" s="241"/>
      <c r="G102" s="241"/>
      <c r="H102" s="241"/>
      <c r="I102" s="241"/>
      <c r="J102" s="244">
        <f>SUM(J100+J101)</f>
        <v>220318.49189999906</v>
      </c>
      <c r="K102" s="743">
        <f>(J97-J102)/J97</f>
        <v>1.9935534252678033E-2</v>
      </c>
      <c r="L102" s="735"/>
      <c r="M102" s="736" t="e">
        <f t="shared" si="4"/>
        <v>#DIV/0!</v>
      </c>
      <c r="N102" s="386"/>
    </row>
    <row r="103" spans="1:14" customFormat="1">
      <c r="A103" s="1239">
        <v>11</v>
      </c>
      <c r="B103" s="741" t="s">
        <v>1449</v>
      </c>
      <c r="C103" s="238"/>
      <c r="D103" s="241"/>
      <c r="E103" s="241"/>
      <c r="F103" s="241"/>
      <c r="G103" s="241"/>
      <c r="H103" s="241"/>
      <c r="I103" s="241"/>
      <c r="J103" s="244"/>
      <c r="K103" s="743"/>
      <c r="L103" s="735">
        <v>58750</v>
      </c>
      <c r="M103" s="736">
        <f t="shared" si="4"/>
        <v>0</v>
      </c>
      <c r="N103" s="386"/>
    </row>
    <row r="104" spans="1:14" customFormat="1">
      <c r="A104" s="241">
        <v>1</v>
      </c>
      <c r="B104" s="238" t="s">
        <v>1381</v>
      </c>
      <c r="C104" s="1238" t="s">
        <v>1450</v>
      </c>
      <c r="D104" s="241">
        <v>2852350</v>
      </c>
      <c r="E104" s="241">
        <v>2858350</v>
      </c>
      <c r="F104" s="241">
        <f>E104-D104</f>
        <v>6000</v>
      </c>
      <c r="G104" s="241">
        <v>1</v>
      </c>
      <c r="H104" s="241">
        <f>F104*G104</f>
        <v>6000</v>
      </c>
      <c r="I104" s="241">
        <v>43805</v>
      </c>
      <c r="J104" s="241">
        <f>H104+I104</f>
        <v>49805</v>
      </c>
      <c r="K104" s="743"/>
      <c r="L104" s="735">
        <v>58750</v>
      </c>
      <c r="M104" s="736">
        <f t="shared" si="4"/>
        <v>0.8477446808510638</v>
      </c>
      <c r="N104" s="386"/>
    </row>
    <row r="105" spans="1:14" customFormat="1">
      <c r="A105" s="241"/>
      <c r="B105" s="734" t="s">
        <v>1363</v>
      </c>
      <c r="C105" s="238"/>
      <c r="D105" s="241"/>
      <c r="E105" s="241"/>
      <c r="F105" s="241"/>
      <c r="G105" s="241"/>
      <c r="H105" s="241"/>
      <c r="I105" s="241"/>
      <c r="J105" s="241">
        <f>SUM(J104)</f>
        <v>49805</v>
      </c>
      <c r="K105" s="743"/>
      <c r="L105" s="735"/>
      <c r="M105" s="736" t="e">
        <f t="shared" si="4"/>
        <v>#DIV/0!</v>
      </c>
      <c r="N105" s="386"/>
    </row>
    <row r="106" spans="1:14" customFormat="1">
      <c r="A106" s="241"/>
      <c r="B106" s="737" t="s">
        <v>1364</v>
      </c>
      <c r="C106" s="238"/>
      <c r="D106" s="241"/>
      <c r="E106" s="241"/>
      <c r="F106" s="241"/>
      <c r="G106" s="241"/>
      <c r="H106" s="241"/>
      <c r="I106" s="241"/>
      <c r="J106" s="241"/>
      <c r="K106" s="743"/>
      <c r="L106" s="735">
        <v>30640.005700000002</v>
      </c>
      <c r="M106" s="736">
        <f t="shared" si="4"/>
        <v>0</v>
      </c>
      <c r="N106" s="386"/>
    </row>
    <row r="107" spans="1:14" customFormat="1">
      <c r="A107" s="241">
        <v>32</v>
      </c>
      <c r="B107" s="238" t="s">
        <v>1451</v>
      </c>
      <c r="C107" s="1238"/>
      <c r="D107" s="241"/>
      <c r="E107" s="241"/>
      <c r="F107" s="241">
        <f>E107-D107</f>
        <v>0</v>
      </c>
      <c r="G107" s="241">
        <v>2000</v>
      </c>
      <c r="H107" s="241">
        <f>F107*G107</f>
        <v>0</v>
      </c>
      <c r="I107" s="244">
        <v>27840.0275</v>
      </c>
      <c r="J107" s="244">
        <f>H107+I107</f>
        <v>27840.0275</v>
      </c>
      <c r="K107" s="743"/>
      <c r="L107" s="735">
        <v>34599.984299999996</v>
      </c>
      <c r="M107" s="736">
        <f t="shared" si="4"/>
        <v>0.80462543735894132</v>
      </c>
      <c r="N107" s="386"/>
    </row>
    <row r="108" spans="1:14" customFormat="1">
      <c r="A108" s="241">
        <v>33</v>
      </c>
      <c r="B108" s="238" t="s">
        <v>1452</v>
      </c>
      <c r="C108" s="1238" t="s">
        <v>1453</v>
      </c>
      <c r="D108" s="241">
        <v>461885</v>
      </c>
      <c r="E108" s="241">
        <v>461885</v>
      </c>
      <c r="F108" s="241">
        <f>E108-D108</f>
        <v>0</v>
      </c>
      <c r="G108" s="241">
        <v>1</v>
      </c>
      <c r="H108" s="241">
        <f>F108*G108</f>
        <v>0</v>
      </c>
      <c r="I108" s="241">
        <f>H109+I109</f>
        <v>21240</v>
      </c>
      <c r="J108" s="241">
        <f>H108+I108</f>
        <v>21240</v>
      </c>
      <c r="K108" s="241"/>
      <c r="L108" s="735">
        <v>24580.0831</v>
      </c>
      <c r="M108" s="736">
        <f t="shared" si="4"/>
        <v>0.86411424703442119</v>
      </c>
      <c r="N108" s="386"/>
    </row>
    <row r="109" spans="1:14" customFormat="1">
      <c r="A109" s="241">
        <v>33</v>
      </c>
      <c r="B109" s="238" t="s">
        <v>1454</v>
      </c>
      <c r="C109" s="1238" t="s">
        <v>1453</v>
      </c>
      <c r="D109" s="241">
        <v>1559105</v>
      </c>
      <c r="E109" s="241">
        <v>1580345</v>
      </c>
      <c r="F109" s="241">
        <f>E109-D109</f>
        <v>21240</v>
      </c>
      <c r="G109" s="241">
        <v>1</v>
      </c>
      <c r="H109" s="241">
        <f>F109*G109</f>
        <v>21240</v>
      </c>
      <c r="I109" s="241"/>
      <c r="J109" s="241">
        <f>H109+I109</f>
        <v>21240</v>
      </c>
      <c r="K109" s="241"/>
      <c r="L109" s="735">
        <v>57820.005700000002</v>
      </c>
      <c r="M109" s="736">
        <f t="shared" si="4"/>
        <v>0.36734690256178926</v>
      </c>
      <c r="N109" s="386"/>
    </row>
    <row r="110" spans="1:14" customFormat="1">
      <c r="A110" s="241"/>
      <c r="B110" s="238"/>
      <c r="C110" s="238"/>
      <c r="D110" s="241"/>
      <c r="E110" s="241"/>
      <c r="F110" s="241"/>
      <c r="G110" s="241"/>
      <c r="H110" s="241"/>
      <c r="I110" s="241"/>
      <c r="J110" s="244">
        <f>SUM(J107:J108)</f>
        <v>49080.027499999997</v>
      </c>
      <c r="K110" s="743">
        <f>(J104-J110)/J104</f>
        <v>1.455621925509494E-2</v>
      </c>
      <c r="L110" s="735"/>
      <c r="M110" s="736" t="e">
        <f t="shared" si="4"/>
        <v>#DIV/0!</v>
      </c>
      <c r="N110" s="386"/>
    </row>
    <row r="111" spans="1:14" customFormat="1">
      <c r="A111" s="1239">
        <v>12</v>
      </c>
      <c r="B111" s="741" t="s">
        <v>1455</v>
      </c>
      <c r="C111" s="734"/>
      <c r="D111" s="161"/>
      <c r="E111" s="161"/>
      <c r="F111" s="161"/>
      <c r="G111" s="161"/>
      <c r="H111" s="161"/>
      <c r="I111" s="241"/>
      <c r="J111" s="241"/>
      <c r="K111" s="743"/>
      <c r="L111" s="735">
        <v>628879.99999999697</v>
      </c>
      <c r="M111" s="736">
        <f t="shared" si="4"/>
        <v>0</v>
      </c>
      <c r="N111" s="386"/>
    </row>
    <row r="112" spans="1:14" customFormat="1">
      <c r="A112" s="241">
        <v>1</v>
      </c>
      <c r="B112" s="238" t="s">
        <v>1376</v>
      </c>
      <c r="C112" s="238" t="s">
        <v>1456</v>
      </c>
      <c r="D112" s="241">
        <v>3437</v>
      </c>
      <c r="E112" s="241">
        <v>3437</v>
      </c>
      <c r="F112" s="241">
        <f>E112-D112</f>
        <v>0</v>
      </c>
      <c r="G112" s="241">
        <v>24000</v>
      </c>
      <c r="H112" s="241">
        <f>F112*G112</f>
        <v>0</v>
      </c>
      <c r="I112" s="241"/>
      <c r="J112" s="241">
        <f>H112+I112</f>
        <v>0</v>
      </c>
      <c r="K112" s="241"/>
      <c r="L112" s="735">
        <v>935279.99999999499</v>
      </c>
      <c r="M112" s="736">
        <f t="shared" si="4"/>
        <v>0</v>
      </c>
      <c r="N112" s="386"/>
    </row>
    <row r="113" spans="1:17" customFormat="1">
      <c r="A113" s="241">
        <v>2</v>
      </c>
      <c r="B113" s="734" t="s">
        <v>1376</v>
      </c>
      <c r="C113" s="238" t="s">
        <v>1457</v>
      </c>
      <c r="D113" s="241">
        <v>3893.15</v>
      </c>
      <c r="E113" s="241">
        <v>3977.07</v>
      </c>
      <c r="F113" s="241">
        <f>E113-D113</f>
        <v>83.920000000000073</v>
      </c>
      <c r="G113" s="241">
        <v>24000</v>
      </c>
      <c r="H113" s="241">
        <f>F113*G113</f>
        <v>2014080.0000000019</v>
      </c>
      <c r="I113" s="241">
        <v>177500</v>
      </c>
      <c r="J113" s="241">
        <f>H113+I113</f>
        <v>2191580.0000000019</v>
      </c>
      <c r="K113" s="241"/>
      <c r="L113" s="735">
        <v>192000</v>
      </c>
      <c r="M113" s="736">
        <f t="shared" si="4"/>
        <v>11.414479166666677</v>
      </c>
      <c r="N113" s="386"/>
      <c r="O113" s="386"/>
      <c r="P113" s="386"/>
      <c r="Q113" s="386"/>
    </row>
    <row r="114" spans="1:17" customFormat="1">
      <c r="A114" s="241"/>
      <c r="B114" s="734" t="s">
        <v>1458</v>
      </c>
      <c r="C114" s="238" t="s">
        <v>1459</v>
      </c>
      <c r="D114" s="241">
        <v>196.44</v>
      </c>
      <c r="E114" s="241">
        <v>208.98</v>
      </c>
      <c r="F114" s="241">
        <f>E114-D114</f>
        <v>12.539999999999992</v>
      </c>
      <c r="G114" s="241">
        <v>24000</v>
      </c>
      <c r="H114" s="241">
        <f>F114*G114</f>
        <v>300959.99999999983</v>
      </c>
      <c r="I114" s="241"/>
      <c r="J114" s="241">
        <f>H114+I114</f>
        <v>300959.99999999983</v>
      </c>
      <c r="K114" s="241"/>
      <c r="L114" s="735">
        <v>1756159.99999999</v>
      </c>
      <c r="M114" s="736">
        <f t="shared" si="4"/>
        <v>0.17137390670554023</v>
      </c>
      <c r="N114" s="386"/>
      <c r="O114" s="386"/>
      <c r="P114" s="386"/>
      <c r="Q114" s="386"/>
    </row>
    <row r="115" spans="1:17" customFormat="1">
      <c r="A115" s="241"/>
      <c r="B115" s="734" t="s">
        <v>1363</v>
      </c>
      <c r="C115" s="238"/>
      <c r="D115" s="241"/>
      <c r="E115" s="241"/>
      <c r="F115" s="241"/>
      <c r="G115" s="241"/>
      <c r="H115" s="241"/>
      <c r="I115" s="241"/>
      <c r="J115" s="241">
        <f>SUM(J112:J114)</f>
        <v>2492540.0000000019</v>
      </c>
      <c r="K115" s="161"/>
      <c r="L115" s="735">
        <v>332040.00000000099</v>
      </c>
      <c r="M115" s="736">
        <f t="shared" si="4"/>
        <v>7.506746175159603</v>
      </c>
      <c r="N115" s="386"/>
      <c r="O115" s="386"/>
      <c r="P115" s="386"/>
      <c r="Q115" s="386"/>
    </row>
    <row r="116" spans="1:17" customFormat="1">
      <c r="A116" s="241">
        <v>34</v>
      </c>
      <c r="B116" s="238" t="s">
        <v>1137</v>
      </c>
      <c r="C116" s="238" t="s">
        <v>1460</v>
      </c>
      <c r="D116" s="241">
        <v>8167.72</v>
      </c>
      <c r="E116" s="241">
        <v>8258.76</v>
      </c>
      <c r="F116" s="241">
        <f>E116-D116</f>
        <v>91.039999999999964</v>
      </c>
      <c r="G116" s="241">
        <v>6000</v>
      </c>
      <c r="H116" s="241">
        <f>F116*G116</f>
        <v>546239.99999999977</v>
      </c>
      <c r="I116" s="241"/>
      <c r="J116" s="241">
        <f>H116+I116</f>
        <v>546239.99999999977</v>
      </c>
      <c r="K116" s="241"/>
      <c r="L116" s="735">
        <v>327419.99999999802</v>
      </c>
      <c r="M116" s="736">
        <f t="shared" si="4"/>
        <v>1.6683159245006507</v>
      </c>
      <c r="N116" s="386"/>
      <c r="O116" s="386"/>
      <c r="P116" s="386"/>
      <c r="Q116" s="386"/>
    </row>
    <row r="117" spans="1:17" customFormat="1">
      <c r="A117" s="241">
        <v>35</v>
      </c>
      <c r="B117" s="238" t="s">
        <v>1461</v>
      </c>
      <c r="C117" s="238" t="s">
        <v>1462</v>
      </c>
      <c r="D117" s="247">
        <v>7195.74</v>
      </c>
      <c r="E117" s="247">
        <v>7286.97</v>
      </c>
      <c r="F117" s="247">
        <f>E117-D117</f>
        <v>91.230000000000473</v>
      </c>
      <c r="G117" s="241">
        <v>6000</v>
      </c>
      <c r="H117" s="241">
        <f>F117*G117</f>
        <v>547380.00000000279</v>
      </c>
      <c r="I117" s="241"/>
      <c r="J117" s="241">
        <f>H117+I117</f>
        <v>547380.00000000279</v>
      </c>
      <c r="K117" s="241"/>
      <c r="L117" s="735">
        <v>227520</v>
      </c>
      <c r="M117" s="736">
        <f t="shared" si="4"/>
        <v>2.4058544303797591</v>
      </c>
      <c r="N117" s="386"/>
      <c r="O117" s="386"/>
      <c r="P117" s="386"/>
      <c r="Q117" s="386"/>
    </row>
    <row r="118" spans="1:17" customFormat="1">
      <c r="A118" s="241">
        <v>36</v>
      </c>
      <c r="B118" s="238" t="s">
        <v>1291</v>
      </c>
      <c r="C118" s="238" t="s">
        <v>1463</v>
      </c>
      <c r="D118" s="247">
        <v>6199.07</v>
      </c>
      <c r="E118" s="247">
        <v>6260.98</v>
      </c>
      <c r="F118" s="241">
        <f>E118-D118</f>
        <v>61.909999999999854</v>
      </c>
      <c r="G118" s="241">
        <v>6000</v>
      </c>
      <c r="H118" s="241">
        <f>F118*G118</f>
        <v>371459.99999999913</v>
      </c>
      <c r="I118" s="244">
        <v>107760.70080000086</v>
      </c>
      <c r="J118" s="244">
        <f>H118+I118</f>
        <v>479220.70079999999</v>
      </c>
      <c r="K118" s="241"/>
      <c r="L118" s="735">
        <v>322800.00000000099</v>
      </c>
      <c r="M118" s="736">
        <f t="shared" si="4"/>
        <v>1.4845746617100326</v>
      </c>
      <c r="N118" s="386"/>
      <c r="O118" s="386"/>
      <c r="P118" s="386"/>
      <c r="Q118" s="386"/>
    </row>
    <row r="119" spans="1:17" customFormat="1">
      <c r="A119" s="161">
        <v>37</v>
      </c>
      <c r="B119" s="238" t="s">
        <v>1464</v>
      </c>
      <c r="C119" s="238" t="s">
        <v>1465</v>
      </c>
      <c r="D119" s="241">
        <v>7650.94</v>
      </c>
      <c r="E119" s="241">
        <v>7739.54</v>
      </c>
      <c r="F119" s="241">
        <f>E119-D119</f>
        <v>88.600000000000364</v>
      </c>
      <c r="G119" s="241">
        <v>6000</v>
      </c>
      <c r="H119" s="241">
        <f>F119*G119</f>
        <v>531600.00000000221</v>
      </c>
      <c r="I119" s="161"/>
      <c r="J119" s="241">
        <f>H119+I119</f>
        <v>531600.00000000221</v>
      </c>
      <c r="K119" s="161"/>
      <c r="L119" s="735">
        <v>511360.00069999998</v>
      </c>
      <c r="M119" s="736">
        <f t="shared" si="4"/>
        <v>1.039580724484308</v>
      </c>
      <c r="N119" s="386"/>
      <c r="O119" s="386"/>
      <c r="P119" s="386"/>
      <c r="Q119" s="386"/>
    </row>
    <row r="120" spans="1:17" customFormat="1">
      <c r="A120" s="161"/>
      <c r="B120" s="238" t="s">
        <v>1466</v>
      </c>
      <c r="C120" s="238" t="s">
        <v>1467</v>
      </c>
      <c r="D120" s="241">
        <v>449.69</v>
      </c>
      <c r="E120" s="241">
        <v>507.01</v>
      </c>
      <c r="F120" s="241">
        <f>E120-D120</f>
        <v>57.319999999999993</v>
      </c>
      <c r="G120" s="241">
        <v>6000</v>
      </c>
      <c r="H120" s="241">
        <f>F120*G120</f>
        <v>343919.99999999994</v>
      </c>
      <c r="I120" s="244"/>
      <c r="J120" s="244">
        <f>H120+I120</f>
        <v>343919.99999999994</v>
      </c>
      <c r="K120" s="161"/>
      <c r="L120" s="735">
        <v>1721140.0007</v>
      </c>
      <c r="M120" s="736">
        <f t="shared" si="4"/>
        <v>0.19982104875845383</v>
      </c>
      <c r="N120" s="386"/>
      <c r="O120" s="386"/>
      <c r="P120" s="386"/>
      <c r="Q120" s="758"/>
    </row>
    <row r="121" spans="1:17" customFormat="1">
      <c r="A121" s="161"/>
      <c r="B121" s="238"/>
      <c r="C121" s="238"/>
      <c r="D121" s="241"/>
      <c r="E121" s="241"/>
      <c r="F121" s="241"/>
      <c r="G121" s="241"/>
      <c r="H121" s="241"/>
      <c r="I121" s="161"/>
      <c r="J121" s="749">
        <f>SUM(J116:J120)</f>
        <v>2448360.7008000049</v>
      </c>
      <c r="K121" s="759">
        <f>(J115-J121)/J115</f>
        <v>1.7724609915988086E-2</v>
      </c>
      <c r="L121" s="735"/>
      <c r="M121" s="736" t="e">
        <f t="shared" si="4"/>
        <v>#DIV/0!</v>
      </c>
      <c r="N121" s="386"/>
      <c r="O121" s="386"/>
      <c r="P121" s="386"/>
      <c r="Q121" s="758"/>
    </row>
    <row r="122" spans="1:17" customFormat="1">
      <c r="A122" s="161">
        <v>13</v>
      </c>
      <c r="B122" s="239" t="s">
        <v>1468</v>
      </c>
      <c r="C122" s="202"/>
      <c r="D122" s="202"/>
      <c r="E122" s="202"/>
      <c r="F122" s="202"/>
      <c r="G122" s="202"/>
      <c r="H122" s="241"/>
      <c r="I122" s="161"/>
      <c r="J122" s="161"/>
      <c r="K122" s="760"/>
      <c r="L122" s="735">
        <v>295026.00000000099</v>
      </c>
      <c r="M122" s="736">
        <f t="shared" si="4"/>
        <v>0</v>
      </c>
      <c r="N122" s="386"/>
      <c r="O122" s="386"/>
      <c r="P122" s="386"/>
      <c r="Q122" s="758"/>
    </row>
    <row r="123" spans="1:17" customFormat="1">
      <c r="A123" s="161">
        <v>1</v>
      </c>
      <c r="B123" s="238" t="s">
        <v>1381</v>
      </c>
      <c r="C123" s="241">
        <v>3300082</v>
      </c>
      <c r="D123" s="241">
        <v>911725</v>
      </c>
      <c r="E123" s="241">
        <v>911725</v>
      </c>
      <c r="F123" s="241">
        <f>E123-D123</f>
        <v>0</v>
      </c>
      <c r="G123" s="241">
        <v>40</v>
      </c>
      <c r="H123" s="241">
        <f>F123*G123</f>
        <v>0</v>
      </c>
      <c r="I123" s="749">
        <v>275580</v>
      </c>
      <c r="J123" s="244">
        <f>H123+I123</f>
        <v>275580</v>
      </c>
      <c r="K123" s="760"/>
      <c r="L123" s="735"/>
      <c r="M123" s="736" t="e">
        <f t="shared" si="4"/>
        <v>#DIV/0!</v>
      </c>
      <c r="N123" s="386"/>
      <c r="O123" s="386"/>
      <c r="P123" s="386"/>
      <c r="Q123" s="758"/>
    </row>
    <row r="124" spans="1:17" customFormat="1">
      <c r="A124" s="161"/>
      <c r="B124" s="238"/>
      <c r="C124" s="1238"/>
      <c r="D124" s="241"/>
      <c r="E124" s="241"/>
      <c r="F124" s="241"/>
      <c r="G124" s="241"/>
      <c r="H124" s="241"/>
      <c r="I124" s="161"/>
      <c r="J124" s="241"/>
      <c r="K124" s="760"/>
      <c r="L124" s="735">
        <v>295026.00000000099</v>
      </c>
      <c r="M124" s="736">
        <f t="shared" si="4"/>
        <v>0</v>
      </c>
      <c r="N124" s="386"/>
      <c r="O124" s="386"/>
      <c r="P124" s="386"/>
      <c r="Q124" s="758"/>
    </row>
    <row r="125" spans="1:17" customFormat="1">
      <c r="A125" s="161"/>
      <c r="B125" s="734" t="s">
        <v>1363</v>
      </c>
      <c r="C125" s="238"/>
      <c r="D125" s="241"/>
      <c r="E125" s="241"/>
      <c r="F125" s="241"/>
      <c r="G125" s="241"/>
      <c r="H125" s="241"/>
      <c r="I125" s="161"/>
      <c r="J125" s="244">
        <f>SUM(J123)</f>
        <v>275580</v>
      </c>
      <c r="K125" s="760"/>
      <c r="L125" s="735">
        <v>292110</v>
      </c>
      <c r="M125" s="736">
        <f t="shared" si="4"/>
        <v>0.94341172845845744</v>
      </c>
      <c r="N125" s="386">
        <v>8120219317</v>
      </c>
      <c r="O125" s="386"/>
      <c r="P125" s="386"/>
      <c r="Q125" s="386"/>
    </row>
    <row r="126" spans="1:17" customFormat="1">
      <c r="A126" s="161">
        <v>38</v>
      </c>
      <c r="B126" s="752" t="s">
        <v>1469</v>
      </c>
      <c r="C126" s="752">
        <v>3310877</v>
      </c>
      <c r="D126" s="155">
        <v>172651</v>
      </c>
      <c r="E126" s="155">
        <v>172651</v>
      </c>
      <c r="F126" s="155">
        <f>E126-D126</f>
        <v>0</v>
      </c>
      <c r="G126" s="155">
        <v>30</v>
      </c>
      <c r="H126" s="155">
        <f>F126*G126</f>
        <v>0</v>
      </c>
      <c r="I126" s="763">
        <v>271580</v>
      </c>
      <c r="J126" s="158">
        <f>H126+I126</f>
        <v>271580</v>
      </c>
      <c r="K126" s="760"/>
      <c r="L126" s="735">
        <v>233419.98190000001</v>
      </c>
      <c r="M126" s="736">
        <f t="shared" si="4"/>
        <v>1.1634822254263912</v>
      </c>
      <c r="N126" s="386"/>
      <c r="O126" s="386"/>
      <c r="P126" s="386"/>
      <c r="Q126" s="386"/>
    </row>
    <row r="127" spans="1:17" customFormat="1">
      <c r="A127" s="161">
        <v>39</v>
      </c>
      <c r="B127" s="752" t="s">
        <v>28</v>
      </c>
      <c r="C127" s="752" t="s">
        <v>1470</v>
      </c>
      <c r="D127" s="762">
        <v>21621.8</v>
      </c>
      <c r="E127" s="155">
        <v>21621.8</v>
      </c>
      <c r="F127" s="155">
        <f>E127-D127</f>
        <v>0</v>
      </c>
      <c r="G127" s="155">
        <v>0</v>
      </c>
      <c r="H127" s="155">
        <f>F127*G127</f>
        <v>0</v>
      </c>
      <c r="I127" s="763">
        <v>271580</v>
      </c>
      <c r="J127" s="158">
        <f>H127+I127</f>
        <v>271580</v>
      </c>
      <c r="K127" s="760"/>
      <c r="L127" s="735">
        <v>292110</v>
      </c>
      <c r="M127" s="736">
        <f t="shared" si="4"/>
        <v>0.92971825682106057</v>
      </c>
      <c r="N127" s="386"/>
      <c r="O127" s="386"/>
      <c r="P127" s="386"/>
      <c r="Q127" s="386"/>
    </row>
    <row r="128" spans="1:17" customFormat="1">
      <c r="A128" s="161"/>
      <c r="B128" s="238"/>
      <c r="C128" s="238"/>
      <c r="D128" s="241"/>
      <c r="E128" s="241"/>
      <c r="F128" s="241"/>
      <c r="G128" s="241"/>
      <c r="H128" s="241"/>
      <c r="I128" s="161"/>
      <c r="J128" s="749">
        <f>SUM(J127)</f>
        <v>271580</v>
      </c>
      <c r="K128" s="759">
        <f>(J123-J128)/J123</f>
        <v>1.4514841425357429E-2</v>
      </c>
      <c r="L128" s="735"/>
      <c r="M128" s="736" t="e">
        <f t="shared" si="4"/>
        <v>#DIV/0!</v>
      </c>
      <c r="N128" s="386"/>
      <c r="O128" s="386"/>
      <c r="P128" s="386"/>
      <c r="Q128" s="386"/>
    </row>
    <row r="129" spans="1:14" customFormat="1">
      <c r="A129" s="161">
        <v>14</v>
      </c>
      <c r="B129" s="239" t="s">
        <v>1471</v>
      </c>
      <c r="C129" s="238"/>
      <c r="D129" s="241"/>
      <c r="E129" s="241"/>
      <c r="F129" s="241"/>
      <c r="G129" s="241"/>
      <c r="H129" s="241"/>
      <c r="I129" s="161"/>
      <c r="J129" s="161"/>
      <c r="K129" s="759"/>
      <c r="L129" s="735">
        <v>21220</v>
      </c>
      <c r="M129" s="736">
        <f t="shared" si="4"/>
        <v>0</v>
      </c>
      <c r="N129" s="386"/>
    </row>
    <row r="130" spans="1:14" customFormat="1">
      <c r="A130" s="161"/>
      <c r="B130" s="238" t="s">
        <v>1472</v>
      </c>
      <c r="C130" s="241" t="s">
        <v>1473</v>
      </c>
      <c r="D130" s="241">
        <v>5123</v>
      </c>
      <c r="E130" s="241">
        <v>5322</v>
      </c>
      <c r="F130" s="241">
        <f>E130-D130</f>
        <v>199</v>
      </c>
      <c r="G130" s="241">
        <v>60</v>
      </c>
      <c r="H130" s="241">
        <f>F130*G130</f>
        <v>11940</v>
      </c>
      <c r="I130" s="749">
        <v>10500</v>
      </c>
      <c r="J130" s="244">
        <f>H130+I130</f>
        <v>22440</v>
      </c>
      <c r="K130" s="759"/>
      <c r="L130" s="735"/>
      <c r="M130" s="736" t="e">
        <f t="shared" si="4"/>
        <v>#DIV/0!</v>
      </c>
      <c r="N130" s="386" t="e">
        <f>M130-H130</f>
        <v>#DIV/0!</v>
      </c>
    </row>
    <row r="131" spans="1:14" customFormat="1">
      <c r="A131" s="161"/>
      <c r="B131" s="238"/>
      <c r="C131" s="238"/>
      <c r="D131" s="241"/>
      <c r="E131" s="241"/>
      <c r="F131" s="241"/>
      <c r="G131" s="241"/>
      <c r="H131" s="241"/>
      <c r="I131" s="161"/>
      <c r="J131" s="161"/>
      <c r="K131" s="759"/>
      <c r="L131" s="735"/>
      <c r="M131" s="736" t="e">
        <f t="shared" si="4"/>
        <v>#DIV/0!</v>
      </c>
      <c r="N131" s="386"/>
    </row>
    <row r="132" spans="1:14" customFormat="1">
      <c r="A132" s="161"/>
      <c r="B132" s="734" t="s">
        <v>1363</v>
      </c>
      <c r="C132" s="238"/>
      <c r="D132" s="241"/>
      <c r="E132" s="241"/>
      <c r="F132" s="241"/>
      <c r="G132" s="241"/>
      <c r="H132" s="241"/>
      <c r="I132" s="161"/>
      <c r="J132" s="161"/>
      <c r="K132" s="759"/>
      <c r="L132" s="735">
        <v>16639.998100000001</v>
      </c>
      <c r="M132" s="736">
        <f t="shared" si="4"/>
        <v>0</v>
      </c>
      <c r="N132" s="386"/>
    </row>
    <row r="133" spans="1:14" customFormat="1">
      <c r="A133" s="161"/>
      <c r="B133" s="238" t="s">
        <v>3130</v>
      </c>
      <c r="C133" s="241" t="s">
        <v>1475</v>
      </c>
      <c r="D133" s="241">
        <v>6377</v>
      </c>
      <c r="E133" s="241">
        <v>6596</v>
      </c>
      <c r="F133" s="241">
        <f>E133-D133</f>
        <v>219</v>
      </c>
      <c r="G133" s="241">
        <v>40</v>
      </c>
      <c r="H133" s="241">
        <f>F133*G133</f>
        <v>8760</v>
      </c>
      <c r="I133" s="749"/>
      <c r="J133" s="244">
        <f>H133+I133</f>
        <v>8760</v>
      </c>
      <c r="K133" s="759"/>
      <c r="L133" s="735">
        <v>4519.9952999999996</v>
      </c>
      <c r="M133" s="736">
        <f t="shared" ref="M133:M196" si="5">J133/L133</f>
        <v>1.9380551125794314</v>
      </c>
      <c r="N133" s="386">
        <f>M133-H134</f>
        <v>-2618.0619448874204</v>
      </c>
    </row>
    <row r="134" spans="1:14" customFormat="1">
      <c r="A134" s="161"/>
      <c r="B134" s="238" t="s">
        <v>1474</v>
      </c>
      <c r="C134" s="241" t="s">
        <v>1477</v>
      </c>
      <c r="D134" s="241">
        <v>1398.5</v>
      </c>
      <c r="E134" s="241">
        <v>1464</v>
      </c>
      <c r="F134" s="241">
        <f>E134-D134</f>
        <v>65.5</v>
      </c>
      <c r="G134" s="241">
        <v>40</v>
      </c>
      <c r="H134" s="241">
        <f>F134*G134</f>
        <v>2620</v>
      </c>
      <c r="I134" s="749">
        <v>10779.9805</v>
      </c>
      <c r="J134" s="244">
        <f>H134+I134</f>
        <v>13399.9805</v>
      </c>
      <c r="K134" s="759"/>
      <c r="L134" s="735">
        <v>21159.993399999999</v>
      </c>
      <c r="M134" s="736">
        <f t="shared" si="5"/>
        <v>0.63326959733361732</v>
      </c>
      <c r="N134" s="386">
        <f>M134-H133</f>
        <v>-8759.3667304026658</v>
      </c>
    </row>
    <row r="135" spans="1:14" customFormat="1">
      <c r="A135" s="161"/>
      <c r="B135" s="238"/>
      <c r="C135" s="238"/>
      <c r="D135" s="241"/>
      <c r="E135" s="241"/>
      <c r="F135" s="241"/>
      <c r="G135" s="241"/>
      <c r="H135" s="241"/>
      <c r="I135" s="161"/>
      <c r="J135" s="749">
        <f>SUM(J133:J134)</f>
        <v>22159.980499999998</v>
      </c>
      <c r="K135" s="759">
        <f>(J130-J135)/J130</f>
        <v>1.2478587344028616E-2</v>
      </c>
      <c r="L135" s="735"/>
      <c r="M135" s="736" t="e">
        <f t="shared" si="5"/>
        <v>#DIV/0!</v>
      </c>
      <c r="N135" s="386"/>
    </row>
    <row r="136" spans="1:14" customFormat="1">
      <c r="A136" s="161">
        <v>14</v>
      </c>
      <c r="B136" s="239" t="s">
        <v>1478</v>
      </c>
      <c r="C136" s="238"/>
      <c r="D136" s="241"/>
      <c r="E136" s="241"/>
      <c r="F136" s="241"/>
      <c r="G136" s="241"/>
      <c r="H136" s="241"/>
      <c r="I136" s="161"/>
      <c r="J136" s="161"/>
      <c r="K136" s="759"/>
      <c r="L136" s="735">
        <v>1369300</v>
      </c>
      <c r="M136" s="736">
        <f t="shared" si="5"/>
        <v>0</v>
      </c>
      <c r="N136" s="386"/>
    </row>
    <row r="137" spans="1:14" customFormat="1">
      <c r="A137" s="161"/>
      <c r="B137" s="238" t="s">
        <v>1479</v>
      </c>
      <c r="C137" s="241"/>
      <c r="D137" s="241">
        <v>23803.5</v>
      </c>
      <c r="E137" s="764">
        <v>24811.599999999999</v>
      </c>
      <c r="F137" s="241">
        <f>E137-D137</f>
        <v>1008.0999999999985</v>
      </c>
      <c r="G137" s="241">
        <v>1000</v>
      </c>
      <c r="H137" s="241">
        <f>F137*G137</f>
        <v>1008099.9999999986</v>
      </c>
      <c r="I137" s="161"/>
      <c r="J137" s="241">
        <f>H137+I137</f>
        <v>1008099.9999999986</v>
      </c>
      <c r="K137" s="759"/>
      <c r="L137" s="735"/>
      <c r="M137" s="736" t="e">
        <f t="shared" si="5"/>
        <v>#DIV/0!</v>
      </c>
      <c r="N137" s="386"/>
    </row>
    <row r="138" spans="1:14" customFormat="1">
      <c r="A138" s="161"/>
      <c r="B138" s="238"/>
      <c r="C138" s="238"/>
      <c r="D138" s="241"/>
      <c r="E138" s="241"/>
      <c r="F138" s="241"/>
      <c r="G138" s="241"/>
      <c r="H138" s="241"/>
      <c r="I138" s="161"/>
      <c r="J138" s="161"/>
      <c r="K138" s="759"/>
      <c r="L138" s="735"/>
      <c r="M138" s="736" t="e">
        <f t="shared" si="5"/>
        <v>#DIV/0!</v>
      </c>
      <c r="N138" s="386"/>
    </row>
    <row r="139" spans="1:14" customFormat="1">
      <c r="A139" s="161"/>
      <c r="B139" s="734" t="s">
        <v>1363</v>
      </c>
      <c r="C139" s="238"/>
      <c r="D139" s="241"/>
      <c r="E139" s="241"/>
      <c r="F139" s="241"/>
      <c r="G139" s="241"/>
      <c r="H139" s="241"/>
      <c r="I139" s="161"/>
      <c r="J139" s="161"/>
      <c r="K139" s="759"/>
      <c r="L139" s="735">
        <v>506300.00000000099</v>
      </c>
      <c r="M139" s="736">
        <f t="shared" si="5"/>
        <v>0</v>
      </c>
      <c r="N139" s="386"/>
    </row>
    <row r="140" spans="1:14" customFormat="1">
      <c r="A140" s="161"/>
      <c r="B140" s="238" t="s">
        <v>1480</v>
      </c>
      <c r="C140" s="241"/>
      <c r="D140" s="241">
        <v>14225.1</v>
      </c>
      <c r="E140" s="241">
        <v>15134.7</v>
      </c>
      <c r="F140" s="241">
        <f>E140-D140</f>
        <v>909.60000000000036</v>
      </c>
      <c r="G140" s="241">
        <v>1000</v>
      </c>
      <c r="H140" s="241">
        <f>F140*G140</f>
        <v>909600.00000000035</v>
      </c>
      <c r="I140" s="749"/>
      <c r="J140" s="241">
        <f>H140+I140</f>
        <v>909600.00000000035</v>
      </c>
      <c r="K140" s="759"/>
      <c r="L140" s="735">
        <v>90900.000000000102</v>
      </c>
      <c r="M140" s="736">
        <f t="shared" si="5"/>
        <v>10.006600660065999</v>
      </c>
      <c r="N140" s="765">
        <f>L140-J140</f>
        <v>-818700.00000000023</v>
      </c>
    </row>
    <row r="141" spans="1:14" customFormat="1">
      <c r="A141" s="161"/>
      <c r="B141" s="238" t="s">
        <v>1481</v>
      </c>
      <c r="C141" s="241"/>
      <c r="D141" s="241">
        <v>3121.78</v>
      </c>
      <c r="E141" s="241">
        <v>3200.36</v>
      </c>
      <c r="F141" s="241">
        <f>E141-D141</f>
        <v>78.579999999999927</v>
      </c>
      <c r="G141" s="241">
        <v>1000</v>
      </c>
      <c r="H141" s="241">
        <f>F141*G141</f>
        <v>78579.999999999927</v>
      </c>
      <c r="I141" s="161"/>
      <c r="J141" s="241">
        <f>H141+I141</f>
        <v>78579.999999999927</v>
      </c>
      <c r="K141" s="759"/>
      <c r="L141" s="735">
        <v>745000</v>
      </c>
      <c r="M141" s="736">
        <f t="shared" si="5"/>
        <v>0.10547651006711399</v>
      </c>
      <c r="N141" s="386">
        <v>2</v>
      </c>
    </row>
    <row r="142" spans="1:14" customFormat="1">
      <c r="A142" s="161"/>
      <c r="B142" s="238" t="s">
        <v>1482</v>
      </c>
      <c r="C142" s="241"/>
      <c r="D142" s="241">
        <v>2586.8000000000002</v>
      </c>
      <c r="E142" s="241">
        <v>2586.8000000000002</v>
      </c>
      <c r="F142" s="241">
        <f>E142-D142</f>
        <v>0</v>
      </c>
      <c r="G142" s="241">
        <v>1000</v>
      </c>
      <c r="H142" s="241">
        <f>F142*G142</f>
        <v>0</v>
      </c>
      <c r="I142" s="244"/>
      <c r="J142" s="241">
        <f>H142+I142</f>
        <v>0</v>
      </c>
      <c r="K142" s="759"/>
      <c r="L142" s="735">
        <v>1342200</v>
      </c>
      <c r="M142" s="736">
        <f t="shared" si="5"/>
        <v>0</v>
      </c>
      <c r="N142" s="386"/>
    </row>
    <row r="143" spans="1:14" customFormat="1">
      <c r="A143" s="161"/>
      <c r="B143" s="238"/>
      <c r="C143" s="238"/>
      <c r="D143" s="241"/>
      <c r="E143" s="241"/>
      <c r="F143" s="241"/>
      <c r="G143" s="241"/>
      <c r="H143" s="241"/>
      <c r="I143" s="161"/>
      <c r="J143" s="161">
        <f>SUM(J140:J142)</f>
        <v>988180.00000000023</v>
      </c>
      <c r="K143" s="759">
        <f>(J137-J143)/J137</f>
        <v>1.9759944449953774E-2</v>
      </c>
      <c r="L143" s="735"/>
      <c r="M143" s="736" t="e">
        <f t="shared" si="5"/>
        <v>#DIV/0!</v>
      </c>
      <c r="N143" s="386">
        <f>J140/26</f>
        <v>34984.615384615397</v>
      </c>
    </row>
    <row r="144" spans="1:14" customFormat="1">
      <c r="A144" s="241"/>
      <c r="B144" s="239" t="s">
        <v>1483</v>
      </c>
      <c r="C144" s="238"/>
      <c r="D144" s="241"/>
      <c r="E144" s="241"/>
      <c r="F144" s="241"/>
      <c r="G144" s="241"/>
      <c r="H144" s="241"/>
      <c r="I144" s="241"/>
      <c r="J144" s="241"/>
      <c r="K144" s="241"/>
      <c r="L144" s="735">
        <v>206135.99999999901</v>
      </c>
      <c r="M144" s="736">
        <f t="shared" si="5"/>
        <v>0</v>
      </c>
      <c r="N144" s="386">
        <f>N143*5</f>
        <v>174923.07692307699</v>
      </c>
    </row>
    <row r="145" spans="1:14" customFormat="1">
      <c r="A145" s="241">
        <v>1</v>
      </c>
      <c r="B145" s="238" t="s">
        <v>1484</v>
      </c>
      <c r="C145" s="238" t="str">
        <f t="shared" ref="C145:H145" si="6">C697</f>
        <v>MPE24438</v>
      </c>
      <c r="D145" s="241">
        <f t="shared" si="6"/>
        <v>26601.3</v>
      </c>
      <c r="E145" s="241">
        <f t="shared" si="6"/>
        <v>26601.3</v>
      </c>
      <c r="F145" s="241">
        <f t="shared" si="6"/>
        <v>0</v>
      </c>
      <c r="G145" s="241">
        <f t="shared" si="6"/>
        <v>2000</v>
      </c>
      <c r="H145" s="241">
        <f t="shared" si="6"/>
        <v>0</v>
      </c>
      <c r="I145" s="244"/>
      <c r="J145" s="241">
        <f>J697</f>
        <v>325152.00000000006</v>
      </c>
      <c r="K145" s="241"/>
      <c r="L145" s="735">
        <v>165199.999999983</v>
      </c>
      <c r="M145" s="736">
        <f t="shared" si="5"/>
        <v>1.968232445520784</v>
      </c>
      <c r="N145" s="386"/>
    </row>
    <row r="146" spans="1:14" customFormat="1">
      <c r="A146" s="241">
        <v>2</v>
      </c>
      <c r="B146" s="238" t="s">
        <v>1200</v>
      </c>
      <c r="C146" s="238" t="s">
        <v>1485</v>
      </c>
      <c r="D146" s="241">
        <f>D184</f>
        <v>123119</v>
      </c>
      <c r="E146" s="241">
        <f>E184</f>
        <v>123251.6</v>
      </c>
      <c r="F146" s="241">
        <f>F184</f>
        <v>132.60000000000582</v>
      </c>
      <c r="G146" s="241">
        <f>G184</f>
        <v>2000</v>
      </c>
      <c r="H146" s="241">
        <f>H184</f>
        <v>265200.00000001164</v>
      </c>
      <c r="I146" s="241"/>
      <c r="J146" s="241">
        <f>J245</f>
        <v>265200.00000001164</v>
      </c>
      <c r="K146" s="241"/>
      <c r="L146" s="735">
        <v>393399.999999994</v>
      </c>
      <c r="M146" s="736">
        <f t="shared" si="5"/>
        <v>0.67412302999495599</v>
      </c>
      <c r="N146" s="386"/>
    </row>
    <row r="147" spans="1:14" customFormat="1">
      <c r="A147" s="241">
        <v>3</v>
      </c>
      <c r="B147" s="238" t="s">
        <v>1486</v>
      </c>
      <c r="C147" s="238" t="s">
        <v>1487</v>
      </c>
      <c r="D147" s="244">
        <f>D168</f>
        <v>89651.5</v>
      </c>
      <c r="E147" s="244">
        <f>E168</f>
        <v>89931.5</v>
      </c>
      <c r="F147" s="244">
        <f>F168</f>
        <v>280</v>
      </c>
      <c r="G147" s="244">
        <f>G168</f>
        <v>2000</v>
      </c>
      <c r="H147" s="244">
        <f>H168</f>
        <v>560000</v>
      </c>
      <c r="I147" s="241"/>
      <c r="J147" s="244">
        <f>J168</f>
        <v>560000</v>
      </c>
      <c r="K147" s="241"/>
      <c r="L147" s="735">
        <v>821400.00000002305</v>
      </c>
      <c r="M147" s="736">
        <f t="shared" si="5"/>
        <v>0.68176284392498698</v>
      </c>
      <c r="N147" s="386"/>
    </row>
    <row r="148" spans="1:14" customFormat="1">
      <c r="A148" s="241">
        <v>4</v>
      </c>
      <c r="B148" s="238" t="s">
        <v>1171</v>
      </c>
      <c r="C148" s="238" t="s">
        <v>1488</v>
      </c>
      <c r="D148" s="247">
        <f>D172</f>
        <v>154630.9</v>
      </c>
      <c r="E148" s="247">
        <f>E172</f>
        <v>154830.79999999999</v>
      </c>
      <c r="F148" s="244">
        <f>F172</f>
        <v>199.89999999999418</v>
      </c>
      <c r="G148" s="244">
        <f>G172</f>
        <v>2000</v>
      </c>
      <c r="H148" s="244">
        <f>H172</f>
        <v>399799.99999998836</v>
      </c>
      <c r="I148" s="241"/>
      <c r="J148" s="244">
        <f>J172</f>
        <v>961639.83290000039</v>
      </c>
      <c r="K148" s="241"/>
      <c r="L148" s="735">
        <v>1586136</v>
      </c>
      <c r="M148" s="736">
        <f t="shared" si="5"/>
        <v>0.60627829700605773</v>
      </c>
      <c r="N148" s="386"/>
    </row>
    <row r="149" spans="1:14" customFormat="1">
      <c r="A149" s="241"/>
      <c r="B149" s="766"/>
      <c r="C149" s="238"/>
      <c r="D149" s="241"/>
      <c r="E149" s="241"/>
      <c r="F149" s="241"/>
      <c r="G149" s="241"/>
      <c r="H149" s="241"/>
      <c r="I149" s="241"/>
      <c r="J149" s="1239">
        <f>SUM(J145:J148)</f>
        <v>2111991.8329000119</v>
      </c>
      <c r="K149" s="241"/>
      <c r="L149" s="735"/>
      <c r="M149" s="736" t="e">
        <f t="shared" si="5"/>
        <v>#DIV/0!</v>
      </c>
      <c r="N149" s="386"/>
    </row>
    <row r="150" spans="1:14" customFormat="1">
      <c r="A150" s="241"/>
      <c r="B150" s="733" t="s">
        <v>1489</v>
      </c>
      <c r="C150" s="238"/>
      <c r="D150" s="261"/>
      <c r="E150" s="261"/>
      <c r="F150" s="241"/>
      <c r="G150" s="241"/>
      <c r="H150" s="261"/>
      <c r="I150" s="241"/>
      <c r="J150" s="241"/>
      <c r="K150" s="241"/>
      <c r="L150" s="735">
        <v>0</v>
      </c>
      <c r="M150" s="736" t="e">
        <f t="shared" si="5"/>
        <v>#DIV/0!</v>
      </c>
      <c r="N150" s="386"/>
    </row>
    <row r="151" spans="1:14" customFormat="1" ht="18" customHeight="1">
      <c r="A151" s="241">
        <v>1</v>
      </c>
      <c r="B151" s="238" t="s">
        <v>1490</v>
      </c>
      <c r="C151" s="238">
        <v>3628907</v>
      </c>
      <c r="D151" s="261">
        <f>D694</f>
        <v>441220.3</v>
      </c>
      <c r="E151" s="261">
        <f>E694</f>
        <v>441220.3</v>
      </c>
      <c r="F151" s="261">
        <f>E151-D151</f>
        <v>0</v>
      </c>
      <c r="G151" s="241">
        <v>1</v>
      </c>
      <c r="H151" s="244">
        <f>F151*G151</f>
        <v>0</v>
      </c>
      <c r="I151" s="244"/>
      <c r="J151" s="244">
        <f>H151+I151</f>
        <v>0</v>
      </c>
      <c r="K151" s="241"/>
      <c r="L151" s="735">
        <v>369000</v>
      </c>
      <c r="M151" s="736">
        <f t="shared" si="5"/>
        <v>0</v>
      </c>
      <c r="N151" s="386"/>
    </row>
    <row r="152" spans="1:14" customFormat="1">
      <c r="A152" s="241">
        <v>3</v>
      </c>
      <c r="B152" s="748" t="s">
        <v>1491</v>
      </c>
      <c r="C152" s="238" t="str">
        <f t="shared" ref="C152:H152" si="7">C34</f>
        <v>MPE24439</v>
      </c>
      <c r="D152" s="261">
        <f t="shared" si="7"/>
        <v>38350.5</v>
      </c>
      <c r="E152" s="261">
        <f t="shared" si="7"/>
        <v>38667.800000000003</v>
      </c>
      <c r="F152" s="241">
        <f t="shared" si="7"/>
        <v>317.30000000000291</v>
      </c>
      <c r="G152" s="241">
        <f t="shared" si="7"/>
        <v>2000</v>
      </c>
      <c r="H152" s="241">
        <f t="shared" si="7"/>
        <v>634600.00000000582</v>
      </c>
      <c r="I152" s="244"/>
      <c r="J152" s="241">
        <f>J34</f>
        <v>634600.00000000582</v>
      </c>
      <c r="K152" s="241"/>
      <c r="L152" s="735">
        <v>369000</v>
      </c>
      <c r="M152" s="736">
        <f t="shared" si="5"/>
        <v>1.7197831978319942</v>
      </c>
      <c r="N152" s="386"/>
    </row>
    <row r="153" spans="1:14" customFormat="1" ht="25.5" customHeight="1">
      <c r="A153" s="241"/>
      <c r="B153" s="755"/>
      <c r="C153" s="238"/>
      <c r="D153" s="241"/>
      <c r="E153" s="241"/>
      <c r="F153" s="241"/>
      <c r="G153" s="241"/>
      <c r="H153" s="241"/>
      <c r="I153" s="241"/>
      <c r="J153" s="349">
        <f>SUM(J151:J152)</f>
        <v>634600.00000000582</v>
      </c>
      <c r="K153" s="241"/>
      <c r="L153" s="735">
        <v>15128284</v>
      </c>
      <c r="M153" s="736">
        <f t="shared" si="5"/>
        <v>4.1947916895267556E-2</v>
      </c>
      <c r="N153" s="386"/>
    </row>
    <row r="154" spans="1:14" customFormat="1">
      <c r="A154" s="241"/>
      <c r="B154" s="238" t="s">
        <v>1492</v>
      </c>
      <c r="C154" s="238"/>
      <c r="D154" s="241"/>
      <c r="E154" s="241"/>
      <c r="F154" s="241"/>
      <c r="G154" s="241"/>
      <c r="H154" s="241"/>
      <c r="I154" s="241"/>
      <c r="J154" s="349">
        <f>J12+J24+J32+J43+J52+J61+J70+J81+J90+J98+J105+J115+J125+J149-J153+J130</f>
        <v>22175472.832900032</v>
      </c>
      <c r="K154" s="241"/>
      <c r="L154" s="735">
        <v>14981404.21156</v>
      </c>
      <c r="M154" s="736">
        <f t="shared" si="5"/>
        <v>1.4801998877908202</v>
      </c>
      <c r="N154" s="386"/>
    </row>
    <row r="155" spans="1:14" customFormat="1">
      <c r="A155" s="241"/>
      <c r="B155" s="238" t="s">
        <v>1493</v>
      </c>
      <c r="C155" s="238"/>
      <c r="D155" s="241"/>
      <c r="E155" s="241"/>
      <c r="F155" s="241"/>
      <c r="G155" s="241"/>
      <c r="H155" s="241"/>
      <c r="I155" s="244"/>
      <c r="J155" s="349">
        <f>J20+J29+J38+J48+J56+J66+J77+J87+J94+J102+J110+J121+J128+J149-J153+J135</f>
        <v>21973582.99239007</v>
      </c>
      <c r="K155" s="743">
        <f>(J154-J155)/J154</f>
        <v>9.1041955240942583E-3</v>
      </c>
      <c r="L155" s="735"/>
      <c r="M155" s="736" t="e">
        <f t="shared" si="5"/>
        <v>#DIV/0!</v>
      </c>
      <c r="N155" s="386"/>
    </row>
    <row r="156" spans="1:14" customFormat="1">
      <c r="A156" s="241"/>
      <c r="B156" s="755"/>
      <c r="C156" s="238"/>
      <c r="D156" s="241"/>
      <c r="E156" s="241"/>
      <c r="F156" s="241"/>
      <c r="G156" s="241"/>
      <c r="H156" s="241"/>
      <c r="I156" s="241"/>
      <c r="J156" s="241"/>
      <c r="K156" s="241"/>
      <c r="L156" s="386"/>
      <c r="M156" s="736" t="e">
        <f t="shared" si="5"/>
        <v>#DIV/0!</v>
      </c>
      <c r="N156" s="386"/>
    </row>
    <row r="157" spans="1:14" customFormat="1" ht="18">
      <c r="A157" s="1041" t="s">
        <v>1494</v>
      </c>
      <c r="B157" s="1042"/>
      <c r="C157" s="1042"/>
      <c r="D157" s="1042"/>
      <c r="E157" s="1042"/>
      <c r="F157" s="1042"/>
      <c r="G157" s="1042"/>
      <c r="H157" s="1042"/>
      <c r="I157" s="1042"/>
      <c r="J157" s="1042"/>
      <c r="K157" s="1043"/>
      <c r="L157" s="386"/>
      <c r="M157" s="736" t="e">
        <f t="shared" si="5"/>
        <v>#DIV/0!</v>
      </c>
      <c r="N157" s="386"/>
    </row>
    <row r="158" spans="1:14" customFormat="1">
      <c r="A158" s="1044" t="s">
        <v>1350</v>
      </c>
      <c r="B158" s="1045"/>
      <c r="C158" s="1046"/>
      <c r="D158" s="1054" t="str">
        <f>D2</f>
        <v>OCT.2024</v>
      </c>
      <c r="E158" s="1183"/>
      <c r="F158" s="241"/>
      <c r="G158" s="241"/>
      <c r="H158" s="241"/>
      <c r="I158" s="241"/>
      <c r="J158" s="241"/>
      <c r="K158" s="241"/>
      <c r="L158" s="386" t="s">
        <v>1495</v>
      </c>
      <c r="M158" s="736" t="e">
        <f t="shared" si="5"/>
        <v>#VALUE!</v>
      </c>
      <c r="N158" s="386"/>
    </row>
    <row r="159" spans="1:14" customFormat="1" ht="25.5">
      <c r="A159" s="1238"/>
      <c r="B159" s="1240" t="s">
        <v>898</v>
      </c>
      <c r="C159" s="726" t="s">
        <v>1351</v>
      </c>
      <c r="D159" s="1237"/>
      <c r="E159" s="1237"/>
      <c r="F159" s="1237" t="s">
        <v>1353</v>
      </c>
      <c r="G159" s="1238" t="s">
        <v>135</v>
      </c>
      <c r="H159" s="1238" t="s">
        <v>13</v>
      </c>
      <c r="I159" s="728" t="s">
        <v>292</v>
      </c>
      <c r="J159" s="1237" t="s">
        <v>1495</v>
      </c>
      <c r="K159" s="1237"/>
      <c r="L159" s="386"/>
      <c r="M159" s="736" t="e">
        <f t="shared" si="5"/>
        <v>#VALUE!</v>
      </c>
      <c r="N159" s="386">
        <f>155/15</f>
        <v>10.333333333333334</v>
      </c>
    </row>
    <row r="160" spans="1:14" customFormat="1">
      <c r="A160" s="1238"/>
      <c r="B160" s="1240"/>
      <c r="C160" s="239"/>
      <c r="D160" s="767">
        <f>D4</f>
        <v>45535</v>
      </c>
      <c r="E160" s="767">
        <f>E4</f>
        <v>45565</v>
      </c>
      <c r="F160" s="1236"/>
      <c r="G160" s="1236"/>
      <c r="H160" s="1236"/>
      <c r="I160" s="1236"/>
      <c r="J160" s="768"/>
      <c r="K160" s="241"/>
      <c r="L160" s="386"/>
      <c r="M160" s="736" t="e">
        <f t="shared" si="5"/>
        <v>#DIV/0!</v>
      </c>
      <c r="N160" s="386"/>
    </row>
    <row r="161" spans="1:22" customFormat="1">
      <c r="A161" s="241">
        <v>1</v>
      </c>
      <c r="B161" s="741" t="s">
        <v>1496</v>
      </c>
      <c r="C161" s="238"/>
      <c r="D161" s="1238"/>
      <c r="E161" s="1238"/>
      <c r="F161" s="241"/>
      <c r="G161" s="241"/>
      <c r="H161" s="241"/>
      <c r="I161" s="241"/>
      <c r="J161" s="241"/>
      <c r="K161" s="738"/>
      <c r="L161" s="386">
        <v>3431799.99999981</v>
      </c>
      <c r="M161" s="736">
        <f t="shared" si="5"/>
        <v>0</v>
      </c>
      <c r="N161" s="386"/>
      <c r="O161" s="386"/>
      <c r="P161" s="386"/>
      <c r="Q161" s="386"/>
      <c r="R161" s="386"/>
      <c r="S161" s="386"/>
      <c r="T161" s="386"/>
      <c r="U161" s="386"/>
      <c r="V161" s="386"/>
    </row>
    <row r="162" spans="1:22" customFormat="1">
      <c r="A162" s="241">
        <v>1</v>
      </c>
      <c r="B162" s="238" t="s">
        <v>1497</v>
      </c>
      <c r="C162" s="238" t="s">
        <v>1498</v>
      </c>
      <c r="D162" s="1238">
        <v>608289.5</v>
      </c>
      <c r="E162" s="1238">
        <v>610631.1</v>
      </c>
      <c r="F162" s="247">
        <f>E162-D162</f>
        <v>2341.5999999999767</v>
      </c>
      <c r="G162" s="241">
        <v>2000</v>
      </c>
      <c r="H162" s="241">
        <f>F162*G162</f>
        <v>4683199.9999999534</v>
      </c>
      <c r="I162" s="769"/>
      <c r="J162" s="244">
        <f>H162+I162</f>
        <v>4683199.9999999534</v>
      </c>
      <c r="K162" s="746"/>
      <c r="L162" s="735">
        <v>2797560</v>
      </c>
      <c r="M162" s="736">
        <f t="shared" si="5"/>
        <v>1.6740302263400797</v>
      </c>
      <c r="N162" s="386"/>
      <c r="O162" s="386">
        <v>4650599.9999998603</v>
      </c>
      <c r="P162" s="386"/>
      <c r="Q162" s="386">
        <f t="shared" ref="Q162:Q174" si="8">J162/O162</f>
        <v>1.0070098481916514</v>
      </c>
      <c r="R162" s="386"/>
      <c r="S162" s="386"/>
      <c r="T162" s="386"/>
      <c r="U162" s="386"/>
      <c r="V162" s="386"/>
    </row>
    <row r="163" spans="1:22" customFormat="1">
      <c r="A163" s="241">
        <v>2</v>
      </c>
      <c r="B163" s="238" t="s">
        <v>1499</v>
      </c>
      <c r="C163" s="1238" t="s">
        <v>1500</v>
      </c>
      <c r="D163" s="1238">
        <v>4986.28</v>
      </c>
      <c r="E163" s="1238">
        <v>4987.2700000000004</v>
      </c>
      <c r="F163" s="247">
        <f>E163-D163</f>
        <v>0.99000000000069122</v>
      </c>
      <c r="G163" s="241">
        <v>12000</v>
      </c>
      <c r="H163" s="241">
        <f>F163*G163</f>
        <v>11880.000000008295</v>
      </c>
      <c r="I163" s="241">
        <v>3273000</v>
      </c>
      <c r="J163" s="244">
        <f>H163+I163</f>
        <v>3284880.0000000084</v>
      </c>
      <c r="K163" s="241"/>
      <c r="L163" s="735">
        <v>6229359.9999998203</v>
      </c>
      <c r="M163" s="736">
        <f t="shared" si="5"/>
        <v>0.52732222892883107</v>
      </c>
      <c r="N163" s="386"/>
      <c r="O163" s="386">
        <v>2730640</v>
      </c>
      <c r="P163" s="386"/>
      <c r="Q163" s="386">
        <f t="shared" si="8"/>
        <v>1.202970732136059</v>
      </c>
      <c r="R163" s="386"/>
      <c r="S163" s="386"/>
      <c r="T163" s="386">
        <v>98</v>
      </c>
      <c r="U163" s="386">
        <v>104</v>
      </c>
      <c r="V163" s="386">
        <v>88</v>
      </c>
    </row>
    <row r="164" spans="1:22" customFormat="1">
      <c r="A164" s="241"/>
      <c r="B164" s="734" t="s">
        <v>1363</v>
      </c>
      <c r="C164" s="238"/>
      <c r="D164" s="1238"/>
      <c r="E164" s="1238"/>
      <c r="F164" s="247"/>
      <c r="G164" s="241"/>
      <c r="H164" s="241"/>
      <c r="I164" s="241"/>
      <c r="J164" s="244">
        <f>SUM(J162:J163)</f>
        <v>7968079.9999999618</v>
      </c>
      <c r="K164" s="738"/>
      <c r="L164" s="735"/>
      <c r="M164" s="736" t="e">
        <f t="shared" si="5"/>
        <v>#DIV/0!</v>
      </c>
      <c r="N164" s="386"/>
      <c r="O164" s="386">
        <v>7381239.9999998603</v>
      </c>
      <c r="P164" s="386"/>
      <c r="Q164" s="386">
        <f t="shared" si="8"/>
        <v>1.0795042567373656</v>
      </c>
      <c r="R164" s="386"/>
      <c r="S164" s="386"/>
      <c r="T164" s="386">
        <v>26</v>
      </c>
      <c r="U164" s="386">
        <v>30</v>
      </c>
      <c r="V164" s="386">
        <v>37</v>
      </c>
    </row>
    <row r="165" spans="1:22" customFormat="1">
      <c r="A165" s="241"/>
      <c r="B165" s="737" t="s">
        <v>1364</v>
      </c>
      <c r="C165" s="733"/>
      <c r="D165" s="1238"/>
      <c r="E165" s="1238"/>
      <c r="F165" s="247"/>
      <c r="G165" s="241"/>
      <c r="H165" s="241"/>
      <c r="I165" s="241"/>
      <c r="J165" s="241"/>
      <c r="K165" s="738"/>
      <c r="L165" s="735">
        <v>483600.000000006</v>
      </c>
      <c r="M165" s="736">
        <f t="shared" si="5"/>
        <v>0</v>
      </c>
      <c r="N165" s="386"/>
      <c r="O165" s="386"/>
      <c r="P165" s="386"/>
      <c r="Q165" s="386" t="e">
        <f t="shared" si="8"/>
        <v>#DIV/0!</v>
      </c>
      <c r="R165" s="386"/>
      <c r="S165" s="386"/>
      <c r="T165" s="386">
        <f>SUM(T163:T164)</f>
        <v>124</v>
      </c>
      <c r="U165" s="386">
        <f>SUM(U163:U164)</f>
        <v>134</v>
      </c>
      <c r="V165" s="386">
        <f>SUM(V163:V164)</f>
        <v>125</v>
      </c>
    </row>
    <row r="166" spans="1:22" customFormat="1">
      <c r="A166" s="241">
        <v>1</v>
      </c>
      <c r="B166" s="734" t="s">
        <v>1501</v>
      </c>
      <c r="C166" s="238" t="s">
        <v>1502</v>
      </c>
      <c r="D166" s="1238">
        <v>93465</v>
      </c>
      <c r="E166" s="1238">
        <v>93770.5</v>
      </c>
      <c r="F166" s="247">
        <f t="shared" ref="F166:F173" si="9">E166-D166</f>
        <v>305.5</v>
      </c>
      <c r="G166" s="241">
        <v>2000</v>
      </c>
      <c r="H166" s="241">
        <f t="shared" ref="H166:H173" si="10">F166*G166</f>
        <v>611000</v>
      </c>
      <c r="I166" s="241"/>
      <c r="J166" s="241">
        <f t="shared" ref="J166:J173" si="11">H166+I166</f>
        <v>611000</v>
      </c>
      <c r="K166" s="738"/>
      <c r="L166" s="735">
        <v>814003.99999998801</v>
      </c>
      <c r="M166" s="736">
        <f t="shared" si="5"/>
        <v>0.750610562110271</v>
      </c>
      <c r="N166" s="386"/>
      <c r="O166" s="386">
        <v>566799.99999998801</v>
      </c>
      <c r="P166" s="386"/>
      <c r="Q166" s="386">
        <f t="shared" si="8"/>
        <v>1.0779816513761695</v>
      </c>
      <c r="R166" s="386"/>
      <c r="S166" s="386"/>
      <c r="T166" s="386"/>
      <c r="U166" s="386"/>
      <c r="V166" s="386"/>
    </row>
    <row r="167" spans="1:22" customFormat="1">
      <c r="A167" s="241">
        <v>2</v>
      </c>
      <c r="B167" s="734" t="s">
        <v>1503</v>
      </c>
      <c r="C167" s="238">
        <v>3310519</v>
      </c>
      <c r="D167" s="1238">
        <v>315253.8</v>
      </c>
      <c r="E167" s="1238">
        <v>370998.9</v>
      </c>
      <c r="F167" s="247">
        <f t="shared" si="9"/>
        <v>55745.100000000035</v>
      </c>
      <c r="G167" s="241">
        <v>20</v>
      </c>
      <c r="H167" s="241">
        <f t="shared" si="10"/>
        <v>1114902.0000000007</v>
      </c>
      <c r="I167" s="244">
        <v>24254.249999999302</v>
      </c>
      <c r="J167" s="244">
        <f t="shared" si="11"/>
        <v>1139156.25</v>
      </c>
      <c r="K167" s="241"/>
      <c r="L167" s="735">
        <v>393399.999999994</v>
      </c>
      <c r="M167" s="736">
        <f t="shared" si="5"/>
        <v>2.8956691662430538</v>
      </c>
      <c r="N167" s="386"/>
      <c r="O167" s="386">
        <v>1233000</v>
      </c>
      <c r="P167" s="386"/>
      <c r="Q167" s="386">
        <f t="shared" si="8"/>
        <v>0.92388990267639903</v>
      </c>
      <c r="R167" s="386"/>
      <c r="S167" s="765">
        <f>1346680-J167</f>
        <v>207523.75</v>
      </c>
      <c r="T167" s="386">
        <f>T165/2</f>
        <v>62</v>
      </c>
      <c r="U167" s="386">
        <f>U165/2</f>
        <v>67</v>
      </c>
      <c r="V167" s="386">
        <f>V165/2</f>
        <v>62.5</v>
      </c>
    </row>
    <row r="168" spans="1:22" customFormat="1">
      <c r="A168" s="241">
        <v>3</v>
      </c>
      <c r="B168" s="734" t="s">
        <v>1504</v>
      </c>
      <c r="C168" s="238" t="s">
        <v>1487</v>
      </c>
      <c r="D168" s="1238">
        <v>89651.5</v>
      </c>
      <c r="E168" s="1238">
        <v>89931.5</v>
      </c>
      <c r="F168" s="247">
        <f t="shared" si="9"/>
        <v>280</v>
      </c>
      <c r="G168" s="241">
        <v>2000</v>
      </c>
      <c r="H168" s="241">
        <f t="shared" si="10"/>
        <v>560000</v>
      </c>
      <c r="I168" s="241"/>
      <c r="J168" s="241">
        <f t="shared" si="11"/>
        <v>560000</v>
      </c>
      <c r="K168" s="770"/>
      <c r="L168" s="735">
        <v>719559.99999999895</v>
      </c>
      <c r="M168" s="736">
        <f t="shared" si="5"/>
        <v>0.7782533770637623</v>
      </c>
      <c r="N168" s="386"/>
      <c r="O168" s="386">
        <v>484799.99999998801</v>
      </c>
      <c r="P168" s="386"/>
      <c r="Q168" s="386">
        <f t="shared" si="8"/>
        <v>1.1551155115511837</v>
      </c>
      <c r="R168" s="386"/>
      <c r="S168" s="386"/>
      <c r="T168" s="386"/>
      <c r="U168" s="386"/>
      <c r="V168" s="386"/>
    </row>
    <row r="169" spans="1:22" customFormat="1">
      <c r="A169" s="241">
        <v>4</v>
      </c>
      <c r="B169" s="734" t="s">
        <v>1505</v>
      </c>
      <c r="C169" s="238" t="s">
        <v>1506</v>
      </c>
      <c r="D169" s="1238">
        <v>88276.9</v>
      </c>
      <c r="E169" s="1238">
        <v>93430.6</v>
      </c>
      <c r="F169" s="247">
        <f t="shared" si="9"/>
        <v>5153.7000000000116</v>
      </c>
      <c r="G169" s="241">
        <v>200</v>
      </c>
      <c r="H169" s="244">
        <f t="shared" si="10"/>
        <v>1030740.0000000023</v>
      </c>
      <c r="I169" s="241"/>
      <c r="J169" s="244">
        <f t="shared" si="11"/>
        <v>1030740.0000000023</v>
      </c>
      <c r="K169" s="241"/>
      <c r="L169" s="735">
        <v>1066439.99999999</v>
      </c>
      <c r="M169" s="736">
        <f t="shared" si="5"/>
        <v>0.96652413637899182</v>
      </c>
      <c r="N169" s="386"/>
      <c r="O169" s="386">
        <v>1149204.1029999999</v>
      </c>
      <c r="P169" s="386"/>
      <c r="Q169" s="386">
        <f t="shared" si="8"/>
        <v>0.89691639397149148</v>
      </c>
      <c r="R169" s="386"/>
      <c r="S169" s="386"/>
      <c r="T169" s="386"/>
      <c r="U169" s="386"/>
      <c r="V169" s="386"/>
    </row>
    <row r="170" spans="1:22" customFormat="1">
      <c r="A170" s="241">
        <v>5</v>
      </c>
      <c r="B170" s="734" t="s">
        <v>1507</v>
      </c>
      <c r="C170" s="238" t="s">
        <v>1508</v>
      </c>
      <c r="D170" s="1238">
        <v>193.79</v>
      </c>
      <c r="E170" s="1238">
        <v>194.21</v>
      </c>
      <c r="F170" s="247">
        <f t="shared" si="9"/>
        <v>0.42000000000001592</v>
      </c>
      <c r="G170" s="241">
        <v>12000</v>
      </c>
      <c r="H170" s="241">
        <f t="shared" si="10"/>
        <v>5040.000000000191</v>
      </c>
      <c r="I170" s="244">
        <v>1102019.9999999998</v>
      </c>
      <c r="J170" s="244">
        <f t="shared" si="11"/>
        <v>1107060</v>
      </c>
      <c r="K170" s="241"/>
      <c r="L170" s="735">
        <v>636799.99999998801</v>
      </c>
      <c r="M170" s="736">
        <f t="shared" si="5"/>
        <v>1.738473618090485</v>
      </c>
      <c r="N170" s="386">
        <f>J170/100</f>
        <v>11070.6</v>
      </c>
      <c r="O170" s="386">
        <v>1144920</v>
      </c>
      <c r="P170" s="386"/>
      <c r="Q170" s="386">
        <f t="shared" si="8"/>
        <v>0.96693218740173981</v>
      </c>
      <c r="R170" s="386"/>
      <c r="S170" s="386"/>
      <c r="T170" s="386"/>
      <c r="U170" s="386"/>
      <c r="V170" s="386"/>
    </row>
    <row r="171" spans="1:22" customFormat="1">
      <c r="A171" s="241">
        <v>6</v>
      </c>
      <c r="B171" s="734" t="s">
        <v>1509</v>
      </c>
      <c r="C171" s="238" t="s">
        <v>1510</v>
      </c>
      <c r="D171" s="1238">
        <v>110169.8</v>
      </c>
      <c r="E171" s="1238">
        <v>110585</v>
      </c>
      <c r="F171" s="247">
        <f t="shared" si="9"/>
        <v>415.19999999999709</v>
      </c>
      <c r="G171" s="241">
        <v>2000</v>
      </c>
      <c r="H171" s="241">
        <f t="shared" si="10"/>
        <v>830399.99999999418</v>
      </c>
      <c r="I171" s="241"/>
      <c r="J171" s="241">
        <f t="shared" si="11"/>
        <v>830399.99999999418</v>
      </c>
      <c r="K171" s="241"/>
      <c r="L171" s="735">
        <v>821400.00000002305</v>
      </c>
      <c r="M171" s="736">
        <f t="shared" si="5"/>
        <v>1.0109569028487593</v>
      </c>
      <c r="N171" s="386">
        <f>N170*20</f>
        <v>221412</v>
      </c>
      <c r="O171" s="386">
        <v>640799.99999998801</v>
      </c>
      <c r="P171" s="386"/>
      <c r="Q171" s="386">
        <f t="shared" si="8"/>
        <v>1.2958801498127492</v>
      </c>
      <c r="R171" s="386"/>
      <c r="S171" s="386"/>
      <c r="T171" s="386"/>
      <c r="U171" s="386"/>
      <c r="V171" s="386"/>
    </row>
    <row r="172" spans="1:22" customFormat="1">
      <c r="A172" s="241">
        <v>7</v>
      </c>
      <c r="B172" s="734" t="s">
        <v>1171</v>
      </c>
      <c r="C172" s="238" t="s">
        <v>1488</v>
      </c>
      <c r="D172" s="1238">
        <v>154630.9</v>
      </c>
      <c r="E172" s="1238">
        <v>154830.79999999999</v>
      </c>
      <c r="F172" s="247">
        <f t="shared" si="9"/>
        <v>199.89999999999418</v>
      </c>
      <c r="G172" s="241">
        <v>2000</v>
      </c>
      <c r="H172" s="241">
        <f t="shared" si="10"/>
        <v>399799.99999998836</v>
      </c>
      <c r="I172" s="244">
        <f>811839.832900012-250000</f>
        <v>561839.83290001203</v>
      </c>
      <c r="J172" s="244">
        <f t="shared" si="11"/>
        <v>961639.83290000039</v>
      </c>
      <c r="K172" s="770"/>
      <c r="L172" s="735">
        <v>1189199.99999998</v>
      </c>
      <c r="M172" s="736">
        <f t="shared" si="5"/>
        <v>0.80864432635386529</v>
      </c>
      <c r="N172" s="386"/>
      <c r="O172" s="386">
        <v>1085200.00000001</v>
      </c>
      <c r="P172" s="386"/>
      <c r="Q172" s="386">
        <f t="shared" si="8"/>
        <v>0.88614064955767735</v>
      </c>
      <c r="R172" s="386"/>
      <c r="S172" s="386"/>
      <c r="T172" s="386"/>
      <c r="U172" s="386"/>
      <c r="V172" s="386"/>
    </row>
    <row r="173" spans="1:22" customFormat="1">
      <c r="A173" s="241">
        <v>8</v>
      </c>
      <c r="B173" s="734" t="s">
        <v>1511</v>
      </c>
      <c r="C173" s="238" t="s">
        <v>1512</v>
      </c>
      <c r="D173" s="1238">
        <v>82966.3</v>
      </c>
      <c r="E173" s="1238">
        <v>83790.3</v>
      </c>
      <c r="F173" s="247">
        <f t="shared" si="9"/>
        <v>824</v>
      </c>
      <c r="G173" s="241">
        <v>2000</v>
      </c>
      <c r="H173" s="244">
        <f t="shared" si="10"/>
        <v>1648000</v>
      </c>
      <c r="I173" s="241"/>
      <c r="J173" s="244">
        <f t="shared" si="11"/>
        <v>1648000</v>
      </c>
      <c r="K173" s="241"/>
      <c r="L173" s="735">
        <v>6124403.9999999702</v>
      </c>
      <c r="M173" s="736">
        <f t="shared" si="5"/>
        <v>0.26908740834210282</v>
      </c>
      <c r="N173" s="386"/>
      <c r="O173" s="386">
        <v>931331.005</v>
      </c>
      <c r="P173" s="386"/>
      <c r="Q173" s="386">
        <f t="shared" si="8"/>
        <v>1.7695105082429849</v>
      </c>
      <c r="R173" s="386"/>
      <c r="S173" s="386"/>
      <c r="T173" s="386"/>
      <c r="U173" s="386"/>
      <c r="V173" s="386"/>
    </row>
    <row r="174" spans="1:22" customFormat="1">
      <c r="A174" s="241"/>
      <c r="B174" s="238"/>
      <c r="C174" s="238"/>
      <c r="D174" s="1238"/>
      <c r="E174" s="1238"/>
      <c r="F174" s="247"/>
      <c r="G174" s="241"/>
      <c r="H174" s="241"/>
      <c r="I174" s="241"/>
      <c r="J174" s="244">
        <f>SUM(J166:J173)</f>
        <v>7887996.082899997</v>
      </c>
      <c r="K174" s="771">
        <f>(J164-J174)/J164</f>
        <v>1.0050591497570956E-2</v>
      </c>
      <c r="L174" s="735"/>
      <c r="M174" s="736" t="e">
        <f t="shared" si="5"/>
        <v>#DIV/0!</v>
      </c>
      <c r="N174" s="386"/>
      <c r="O174" s="386">
        <v>7236055.1079999702</v>
      </c>
      <c r="P174" s="386"/>
      <c r="Q174" s="386">
        <f t="shared" si="8"/>
        <v>1.0900961871032824</v>
      </c>
      <c r="R174" s="386"/>
      <c r="S174" s="386"/>
      <c r="T174" s="386"/>
      <c r="U174" s="386"/>
      <c r="V174" s="386"/>
    </row>
    <row r="175" spans="1:22" customFormat="1">
      <c r="A175" s="1239">
        <v>2</v>
      </c>
      <c r="B175" s="741" t="s">
        <v>1513</v>
      </c>
      <c r="C175" s="238"/>
      <c r="D175" s="1238"/>
      <c r="E175" s="1238"/>
      <c r="F175" s="247"/>
      <c r="G175" s="241"/>
      <c r="H175" s="241"/>
      <c r="I175" s="241"/>
      <c r="J175" s="241"/>
      <c r="K175" s="771"/>
      <c r="L175" s="735">
        <v>4173199.9999999502</v>
      </c>
      <c r="M175" s="736">
        <f t="shared" si="5"/>
        <v>0</v>
      </c>
      <c r="N175" s="386"/>
      <c r="O175" s="386"/>
      <c r="P175" s="386"/>
      <c r="Q175" s="386"/>
      <c r="R175" s="386"/>
      <c r="S175" s="386"/>
      <c r="T175" s="386"/>
      <c r="U175" s="386"/>
      <c r="V175" s="386"/>
    </row>
    <row r="176" spans="1:22" customFormat="1">
      <c r="A176" s="241">
        <v>1</v>
      </c>
      <c r="B176" s="238" t="s">
        <v>1514</v>
      </c>
      <c r="C176" s="238" t="s">
        <v>1515</v>
      </c>
      <c r="D176" s="1238">
        <v>614025.1</v>
      </c>
      <c r="E176" s="1238">
        <v>615319.30000000005</v>
      </c>
      <c r="F176" s="247">
        <f>E176-D176</f>
        <v>1294.2000000000698</v>
      </c>
      <c r="G176" s="241">
        <v>2000</v>
      </c>
      <c r="H176" s="241">
        <f>F176*G176</f>
        <v>2588400.0000001397</v>
      </c>
      <c r="I176" s="241"/>
      <c r="J176" s="241">
        <f>H176+I176</f>
        <v>2588400.0000001397</v>
      </c>
      <c r="K176" s="738"/>
      <c r="L176" s="735">
        <v>3400000</v>
      </c>
      <c r="M176" s="736">
        <f t="shared" si="5"/>
        <v>0.76129411764709987</v>
      </c>
      <c r="N176" s="386"/>
      <c r="O176" s="386"/>
      <c r="P176" s="386"/>
      <c r="Q176" s="386"/>
      <c r="R176" s="386"/>
      <c r="S176" s="386"/>
      <c r="T176" s="386"/>
      <c r="U176" s="386"/>
      <c r="V176" s="386"/>
    </row>
    <row r="177" spans="1:14" customFormat="1">
      <c r="A177" s="241">
        <v>2</v>
      </c>
      <c r="B177" s="772" t="s">
        <v>925</v>
      </c>
      <c r="C177" s="238" t="s">
        <v>1516</v>
      </c>
      <c r="D177" s="1238">
        <v>5015.01</v>
      </c>
      <c r="E177" s="1238">
        <v>5046.03</v>
      </c>
      <c r="F177" s="247">
        <f>E177-D177</f>
        <v>31.019999999999527</v>
      </c>
      <c r="G177" s="241">
        <v>80000</v>
      </c>
      <c r="H177" s="241">
        <f>F177*G177</f>
        <v>2481599.9999999623</v>
      </c>
      <c r="I177" s="241">
        <v>493000</v>
      </c>
      <c r="J177" s="241">
        <f>H177+I177</f>
        <v>2974599.9999999623</v>
      </c>
      <c r="K177" s="771"/>
      <c r="L177" s="735"/>
      <c r="M177" s="736" t="e">
        <f t="shared" si="5"/>
        <v>#DIV/0!</v>
      </c>
      <c r="N177" s="386"/>
    </row>
    <row r="178" spans="1:14" customFormat="1">
      <c r="A178" s="241"/>
      <c r="B178" s="737" t="s">
        <v>1517</v>
      </c>
      <c r="C178" s="733"/>
      <c r="D178" s="1238"/>
      <c r="E178" s="1238"/>
      <c r="F178" s="247"/>
      <c r="G178" s="241"/>
      <c r="H178" s="241"/>
      <c r="I178" s="241"/>
      <c r="J178" s="241"/>
      <c r="K178" s="771"/>
      <c r="L178" s="735">
        <v>3072600.0000000899</v>
      </c>
      <c r="M178" s="736">
        <f t="shared" si="5"/>
        <v>0</v>
      </c>
      <c r="N178" s="386"/>
    </row>
    <row r="179" spans="1:14" customFormat="1">
      <c r="A179" s="241">
        <v>3</v>
      </c>
      <c r="B179" s="772" t="s">
        <v>1518</v>
      </c>
      <c r="C179" s="238" t="s">
        <v>1519</v>
      </c>
      <c r="D179" s="1238">
        <v>480876</v>
      </c>
      <c r="E179" s="1238">
        <v>480878.3</v>
      </c>
      <c r="F179" s="247">
        <f>E179-D179</f>
        <v>2.2999999999883585</v>
      </c>
      <c r="G179" s="241">
        <v>2000</v>
      </c>
      <c r="H179" s="241">
        <f>F179*G179</f>
        <v>4599.9999999767169</v>
      </c>
      <c r="I179" s="244"/>
      <c r="J179" s="241">
        <f>H179+I179</f>
        <v>4599.9999999767169</v>
      </c>
      <c r="K179" s="771"/>
      <c r="L179" s="735">
        <v>1499120</v>
      </c>
      <c r="M179" s="736">
        <f t="shared" si="5"/>
        <v>3.0684668338603425E-3</v>
      </c>
      <c r="N179" s="386"/>
    </row>
    <row r="180" spans="1:14" customFormat="1">
      <c r="A180" s="241">
        <v>4</v>
      </c>
      <c r="B180" s="734" t="s">
        <v>1520</v>
      </c>
      <c r="C180" s="238" t="s">
        <v>1521</v>
      </c>
      <c r="D180" s="1238">
        <v>106980.9</v>
      </c>
      <c r="E180" s="1238">
        <v>110940.2</v>
      </c>
      <c r="F180" s="247">
        <f>E180-D180</f>
        <v>3959.3000000000029</v>
      </c>
      <c r="G180" s="241">
        <v>400</v>
      </c>
      <c r="H180" s="241">
        <f>F180*G180</f>
        <v>1583720.0000000012</v>
      </c>
      <c r="I180" s="244"/>
      <c r="J180" s="244">
        <f>H180+I180</f>
        <v>1583720.0000000012</v>
      </c>
      <c r="K180" s="771"/>
      <c r="L180" s="735">
        <v>3001479.9999998598</v>
      </c>
      <c r="M180" s="736">
        <f t="shared" si="5"/>
        <v>0.52764636112853491</v>
      </c>
      <c r="N180" s="386"/>
    </row>
    <row r="181" spans="1:14" customFormat="1">
      <c r="A181" s="241"/>
      <c r="B181" s="733" t="s">
        <v>1522</v>
      </c>
      <c r="C181" s="733"/>
      <c r="D181" s="1238"/>
      <c r="E181" s="1238"/>
      <c r="F181" s="247"/>
      <c r="G181" s="241"/>
      <c r="H181" s="241"/>
      <c r="I181" s="241"/>
      <c r="J181" s="244">
        <f>(J176+J177-J179-J180)</f>
        <v>3974680.0000001248</v>
      </c>
      <c r="K181" s="771"/>
      <c r="L181" s="735">
        <v>765800.000000017</v>
      </c>
      <c r="M181" s="736">
        <f t="shared" si="5"/>
        <v>5.1902324366675847</v>
      </c>
      <c r="N181" s="386"/>
    </row>
    <row r="182" spans="1:14" customFormat="1">
      <c r="A182" s="241">
        <v>9</v>
      </c>
      <c r="B182" s="734" t="s">
        <v>1523</v>
      </c>
      <c r="C182" s="238" t="s">
        <v>1524</v>
      </c>
      <c r="D182" s="1238">
        <v>97920.2</v>
      </c>
      <c r="E182" s="1238">
        <v>98414.399999999994</v>
      </c>
      <c r="F182" s="247">
        <f t="shared" ref="F182:F188" si="12">E182-D182</f>
        <v>494.19999999999709</v>
      </c>
      <c r="G182" s="241">
        <v>2000</v>
      </c>
      <c r="H182" s="241">
        <f t="shared" ref="H182:H188" si="13">F182*G182</f>
        <v>988399.99999999418</v>
      </c>
      <c r="I182" s="241"/>
      <c r="J182" s="241">
        <f t="shared" ref="J182:J188" si="14">H182+I182</f>
        <v>988399.99999999418</v>
      </c>
      <c r="K182" s="738"/>
      <c r="L182" s="735">
        <v>760000</v>
      </c>
      <c r="M182" s="736">
        <f t="shared" si="5"/>
        <v>1.300526315789466</v>
      </c>
      <c r="N182" s="386"/>
    </row>
    <row r="183" spans="1:14" customFormat="1">
      <c r="A183" s="241">
        <v>10</v>
      </c>
      <c r="B183" s="734" t="s">
        <v>1525</v>
      </c>
      <c r="C183" s="238" t="s">
        <v>1526</v>
      </c>
      <c r="D183" s="1238">
        <v>143054.1</v>
      </c>
      <c r="E183" s="1238">
        <v>143395</v>
      </c>
      <c r="F183" s="247">
        <f t="shared" si="12"/>
        <v>340.89999999999418</v>
      </c>
      <c r="G183" s="241">
        <v>2000</v>
      </c>
      <c r="H183" s="241">
        <f t="shared" si="13"/>
        <v>681799.99999998836</v>
      </c>
      <c r="I183" s="241"/>
      <c r="J183" s="241">
        <f t="shared" si="14"/>
        <v>681799.99999998836</v>
      </c>
      <c r="K183" s="771"/>
      <c r="L183" s="735">
        <v>467260</v>
      </c>
      <c r="M183" s="736">
        <f t="shared" si="5"/>
        <v>1.4591448016093573</v>
      </c>
      <c r="N183" s="386">
        <f>40/30</f>
        <v>1.3333333333333333</v>
      </c>
    </row>
    <row r="184" spans="1:14" customFormat="1">
      <c r="A184" s="241">
        <v>11</v>
      </c>
      <c r="B184" s="748" t="s">
        <v>1527</v>
      </c>
      <c r="C184" s="238" t="s">
        <v>1485</v>
      </c>
      <c r="D184" s="1238">
        <v>123119</v>
      </c>
      <c r="E184" s="1238">
        <v>123251.6</v>
      </c>
      <c r="F184" s="247">
        <f t="shared" si="12"/>
        <v>132.60000000000582</v>
      </c>
      <c r="G184" s="241">
        <v>2000</v>
      </c>
      <c r="H184" s="241">
        <f t="shared" si="13"/>
        <v>265200.00000001164</v>
      </c>
      <c r="I184" s="244">
        <v>614462.10999998834</v>
      </c>
      <c r="J184" s="244">
        <f t="shared" si="14"/>
        <v>879662.11</v>
      </c>
      <c r="K184" s="771"/>
      <c r="L184" s="735">
        <v>305799.99999998801</v>
      </c>
      <c r="M184" s="736">
        <f t="shared" si="5"/>
        <v>2.8765929038588438</v>
      </c>
      <c r="N184" s="386"/>
    </row>
    <row r="185" spans="1:14" customFormat="1">
      <c r="A185" s="241">
        <v>12</v>
      </c>
      <c r="B185" s="734" t="s">
        <v>1528</v>
      </c>
      <c r="C185" s="238" t="s">
        <v>1529</v>
      </c>
      <c r="D185" s="1238">
        <v>79342</v>
      </c>
      <c r="E185" s="1238">
        <v>79594.399999999994</v>
      </c>
      <c r="F185" s="247">
        <f t="shared" si="12"/>
        <v>252.39999999999418</v>
      </c>
      <c r="G185" s="241">
        <v>2000</v>
      </c>
      <c r="H185" s="241">
        <f t="shared" si="13"/>
        <v>504799.99999998836</v>
      </c>
      <c r="I185" s="241"/>
      <c r="J185" s="241">
        <f t="shared" si="14"/>
        <v>504799.99999998836</v>
      </c>
      <c r="K185" s="771"/>
      <c r="L185" s="735">
        <v>227399.90169999999</v>
      </c>
      <c r="M185" s="736">
        <f t="shared" si="5"/>
        <v>2.2198778285575149</v>
      </c>
      <c r="N185" s="386"/>
    </row>
    <row r="186" spans="1:14" customFormat="1">
      <c r="A186" s="241">
        <v>13</v>
      </c>
      <c r="B186" s="772" t="s">
        <v>1530</v>
      </c>
      <c r="C186" s="258" t="s">
        <v>1531</v>
      </c>
      <c r="D186" s="1238">
        <v>71687.100000000006</v>
      </c>
      <c r="E186" s="1238">
        <v>71942.5</v>
      </c>
      <c r="F186" s="247">
        <f t="shared" si="12"/>
        <v>255.39999999999418</v>
      </c>
      <c r="G186" s="244">
        <v>1333.33</v>
      </c>
      <c r="H186" s="244">
        <f t="shared" si="13"/>
        <v>340532.48199999222</v>
      </c>
      <c r="I186" s="244"/>
      <c r="J186" s="244">
        <f t="shared" si="14"/>
        <v>340532.48199999222</v>
      </c>
      <c r="K186" s="738"/>
      <c r="L186" s="735">
        <v>227220</v>
      </c>
      <c r="M186" s="736">
        <f t="shared" si="5"/>
        <v>1.4986906170231151</v>
      </c>
      <c r="N186" s="386"/>
    </row>
    <row r="187" spans="1:14" customFormat="1">
      <c r="A187" s="241">
        <v>14</v>
      </c>
      <c r="B187" s="734" t="s">
        <v>1532</v>
      </c>
      <c r="C187" s="20" t="s">
        <v>1533</v>
      </c>
      <c r="D187" s="1238">
        <v>156993</v>
      </c>
      <c r="E187" s="1238">
        <v>161978</v>
      </c>
      <c r="F187" s="247">
        <f t="shared" si="12"/>
        <v>4985</v>
      </c>
      <c r="G187" s="241">
        <v>40</v>
      </c>
      <c r="H187" s="241">
        <f t="shared" si="13"/>
        <v>199400</v>
      </c>
      <c r="I187" s="241"/>
      <c r="J187" s="241">
        <f t="shared" si="14"/>
        <v>199400</v>
      </c>
      <c r="K187" s="738"/>
      <c r="L187" s="735">
        <v>203460</v>
      </c>
      <c r="M187" s="736">
        <f t="shared" si="5"/>
        <v>0.9800452177332154</v>
      </c>
      <c r="N187" s="386"/>
    </row>
    <row r="188" spans="1:14" customFormat="1">
      <c r="A188" s="241">
        <v>15</v>
      </c>
      <c r="B188" s="773" t="s">
        <v>1534</v>
      </c>
      <c r="C188" s="20" t="s">
        <v>1535</v>
      </c>
      <c r="D188" s="1238">
        <v>2005.5</v>
      </c>
      <c r="E188" s="1238">
        <v>2060.08</v>
      </c>
      <c r="F188" s="247">
        <f t="shared" si="12"/>
        <v>54.579999999999927</v>
      </c>
      <c r="G188" s="241">
        <v>6000</v>
      </c>
      <c r="H188" s="241">
        <f t="shared" si="13"/>
        <v>327479.99999999953</v>
      </c>
      <c r="I188" s="241"/>
      <c r="J188" s="241">
        <f t="shared" si="14"/>
        <v>327479.99999999953</v>
      </c>
      <c r="K188" s="738"/>
      <c r="L188" s="735">
        <v>2956939.9017000101</v>
      </c>
      <c r="M188" s="736">
        <f t="shared" si="5"/>
        <v>0.11074962998460809</v>
      </c>
      <c r="N188" s="386"/>
    </row>
    <row r="189" spans="1:14" customFormat="1">
      <c r="A189" s="241"/>
      <c r="B189" s="238"/>
      <c r="C189" s="238"/>
      <c r="D189" s="1238"/>
      <c r="E189" s="1238"/>
      <c r="F189" s="247"/>
      <c r="G189" s="241"/>
      <c r="H189" s="241"/>
      <c r="I189" s="241"/>
      <c r="J189" s="244">
        <f>SUM(J182:J188)</f>
        <v>3922074.5919999629</v>
      </c>
      <c r="K189" s="771">
        <f>(J181-J189)/J181</f>
        <v>1.3235130375315804E-2</v>
      </c>
      <c r="L189" s="735"/>
      <c r="M189" s="736" t="e">
        <f t="shared" si="5"/>
        <v>#DIV/0!</v>
      </c>
      <c r="N189" s="386"/>
    </row>
    <row r="190" spans="1:14" customFormat="1">
      <c r="A190" s="1239">
        <v>3</v>
      </c>
      <c r="B190" s="741" t="s">
        <v>1536</v>
      </c>
      <c r="C190" s="733"/>
      <c r="D190" s="1238"/>
      <c r="E190" s="1238"/>
      <c r="F190" s="247"/>
      <c r="G190" s="241"/>
      <c r="H190" s="241"/>
      <c r="I190" s="244"/>
      <c r="J190" s="241"/>
      <c r="K190" s="738"/>
      <c r="L190" s="735">
        <v>1800799.99999998</v>
      </c>
      <c r="M190" s="736">
        <f t="shared" si="5"/>
        <v>0</v>
      </c>
      <c r="N190" s="386"/>
    </row>
    <row r="191" spans="1:14" customFormat="1">
      <c r="A191" s="241"/>
      <c r="B191" s="238" t="s">
        <v>1537</v>
      </c>
      <c r="C191" s="238" t="s">
        <v>1538</v>
      </c>
      <c r="D191" s="1238">
        <v>3461.06</v>
      </c>
      <c r="E191" s="1238">
        <v>3492.74</v>
      </c>
      <c r="F191" s="247">
        <f>E191-D191</f>
        <v>31.679999999999836</v>
      </c>
      <c r="G191" s="241">
        <v>80000</v>
      </c>
      <c r="H191" s="241">
        <f>F191*G191</f>
        <v>2534399.999999987</v>
      </c>
      <c r="I191" s="241"/>
      <c r="J191" s="241">
        <f>H191+I191</f>
        <v>2534399.999999987</v>
      </c>
      <c r="K191" s="738"/>
      <c r="L191" s="735">
        <v>1800799.99999998</v>
      </c>
      <c r="M191" s="736">
        <f t="shared" si="5"/>
        <v>1.4073745002221318</v>
      </c>
      <c r="N191" s="386"/>
    </row>
    <row r="192" spans="1:14" customFormat="1">
      <c r="A192" s="241"/>
      <c r="B192" s="734" t="s">
        <v>1363</v>
      </c>
      <c r="C192" s="238"/>
      <c r="D192" s="1238"/>
      <c r="E192" s="1238"/>
      <c r="F192" s="247"/>
      <c r="G192" s="241"/>
      <c r="H192" s="241"/>
      <c r="I192" s="241"/>
      <c r="J192" s="241">
        <f>J191</f>
        <v>2534399.999999987</v>
      </c>
      <c r="K192" s="738"/>
      <c r="L192" s="735"/>
      <c r="M192" s="736" t="e">
        <f t="shared" si="5"/>
        <v>#DIV/0!</v>
      </c>
      <c r="N192" s="386"/>
    </row>
    <row r="193" spans="1:14" customFormat="1">
      <c r="A193" s="241"/>
      <c r="B193" s="733" t="s">
        <v>1522</v>
      </c>
      <c r="C193" s="238"/>
      <c r="D193" s="1238"/>
      <c r="E193" s="1238"/>
      <c r="F193" s="247"/>
      <c r="G193" s="241"/>
      <c r="H193" s="241"/>
      <c r="I193" s="241"/>
      <c r="J193" s="241"/>
      <c r="K193" s="738"/>
      <c r="L193" s="735">
        <v>635400.00000002305</v>
      </c>
      <c r="M193" s="736">
        <f t="shared" si="5"/>
        <v>0</v>
      </c>
      <c r="N193" s="386"/>
    </row>
    <row r="194" spans="1:14" customFormat="1">
      <c r="A194" s="241">
        <v>16</v>
      </c>
      <c r="B194" s="774" t="s">
        <v>1539</v>
      </c>
      <c r="C194" s="238" t="s">
        <v>1540</v>
      </c>
      <c r="D194" s="1238">
        <v>103787.6</v>
      </c>
      <c r="E194" s="1238">
        <v>104249.5</v>
      </c>
      <c r="F194" s="247">
        <f>E194-D194</f>
        <v>461.89999999999418</v>
      </c>
      <c r="G194" s="241">
        <v>2000</v>
      </c>
      <c r="H194" s="241">
        <f>F194*G194</f>
        <v>923799.99999998836</v>
      </c>
      <c r="I194" s="241"/>
      <c r="J194" s="241">
        <f>H194+I194</f>
        <v>923799.99999998836</v>
      </c>
      <c r="K194" s="738"/>
      <c r="L194" s="735">
        <v>178980</v>
      </c>
      <c r="M194" s="736">
        <f t="shared" si="5"/>
        <v>5.1614705553692497</v>
      </c>
      <c r="N194" s="386"/>
    </row>
    <row r="195" spans="1:14" customFormat="1">
      <c r="A195" s="241">
        <v>17</v>
      </c>
      <c r="B195" s="734" t="s">
        <v>1541</v>
      </c>
      <c r="C195" s="238" t="s">
        <v>1542</v>
      </c>
      <c r="D195" s="1238">
        <v>733403.5</v>
      </c>
      <c r="E195" s="1238">
        <v>738178.5</v>
      </c>
      <c r="F195" s="247">
        <f>E195-D195</f>
        <v>4775</v>
      </c>
      <c r="G195" s="241">
        <v>60</v>
      </c>
      <c r="H195" s="241">
        <f>F195*G195</f>
        <v>286500</v>
      </c>
      <c r="I195" s="241"/>
      <c r="J195" s="241">
        <f>H195+I195</f>
        <v>286500</v>
      </c>
      <c r="K195" s="738"/>
      <c r="L195" s="735">
        <v>778000</v>
      </c>
      <c r="M195" s="736">
        <f t="shared" si="5"/>
        <v>0.36825192802056556</v>
      </c>
      <c r="N195" s="386"/>
    </row>
    <row r="196" spans="1:14" customFormat="1">
      <c r="A196" s="241">
        <v>18</v>
      </c>
      <c r="B196" s="734" t="s">
        <v>1203</v>
      </c>
      <c r="C196" s="238" t="s">
        <v>1543</v>
      </c>
      <c r="D196" s="1238">
        <v>74233</v>
      </c>
      <c r="E196" s="1238">
        <v>74671.399999999994</v>
      </c>
      <c r="F196" s="247">
        <f>E196-D196</f>
        <v>438.39999999999418</v>
      </c>
      <c r="G196" s="241">
        <v>1333.33</v>
      </c>
      <c r="H196" s="244">
        <f>F196*G196</f>
        <v>584531.87199999217</v>
      </c>
      <c r="I196" s="244">
        <v>445749.37810000777</v>
      </c>
      <c r="J196" s="244">
        <f>H196+I196</f>
        <v>1030281.2500999999</v>
      </c>
      <c r="K196" s="738"/>
      <c r="L196" s="735">
        <v>176360</v>
      </c>
      <c r="M196" s="736">
        <f t="shared" si="5"/>
        <v>5.8419213546155584</v>
      </c>
      <c r="N196" s="386">
        <v>717840</v>
      </c>
    </row>
    <row r="197" spans="1:14" customFormat="1">
      <c r="A197" s="241">
        <v>19</v>
      </c>
      <c r="B197" s="734" t="s">
        <v>1544</v>
      </c>
      <c r="C197" s="238" t="s">
        <v>1545</v>
      </c>
      <c r="D197" s="1238">
        <v>13001.7</v>
      </c>
      <c r="E197" s="1238">
        <v>14342.7</v>
      </c>
      <c r="F197" s="247">
        <f>E197-D197</f>
        <v>1341</v>
      </c>
      <c r="G197" s="241">
        <v>200</v>
      </c>
      <c r="H197" s="241">
        <f>F197*G197</f>
        <v>268200</v>
      </c>
      <c r="I197" s="244"/>
      <c r="J197" s="244">
        <f>H197+I197</f>
        <v>268200</v>
      </c>
      <c r="K197" s="738"/>
      <c r="L197" s="735">
        <v>1768740.00000002</v>
      </c>
      <c r="M197" s="736">
        <f t="shared" ref="M197:M260" si="15">J197/L197</f>
        <v>0.15163336612503645</v>
      </c>
      <c r="N197" s="765">
        <f>N196-H196</f>
        <v>133308.12800000783</v>
      </c>
    </row>
    <row r="198" spans="1:14" customFormat="1">
      <c r="A198" s="241"/>
      <c r="B198" s="238"/>
      <c r="C198" s="238"/>
      <c r="D198" s="1238"/>
      <c r="E198" s="1238"/>
      <c r="F198" s="247" t="s">
        <v>1546</v>
      </c>
      <c r="G198" s="241"/>
      <c r="H198" s="241"/>
      <c r="I198" s="241"/>
      <c r="J198" s="244">
        <f>SUM(J194:J197)</f>
        <v>2508781.2500999882</v>
      </c>
      <c r="K198" s="771">
        <f>(J192-J198)/J192</f>
        <v>1.0108408262310175E-2</v>
      </c>
      <c r="L198" s="735"/>
      <c r="M198" s="736" t="e">
        <f t="shared" si="15"/>
        <v>#DIV/0!</v>
      </c>
      <c r="N198" s="386"/>
    </row>
    <row r="199" spans="1:14" customFormat="1">
      <c r="A199" s="1239">
        <v>4</v>
      </c>
      <c r="B199" s="741" t="s">
        <v>1547</v>
      </c>
      <c r="C199" s="733"/>
      <c r="D199" s="1238"/>
      <c r="E199" s="1238"/>
      <c r="F199" s="247"/>
      <c r="G199" s="241"/>
      <c r="H199" s="241"/>
      <c r="I199" s="241"/>
      <c r="J199" s="244"/>
      <c r="K199" s="738"/>
      <c r="L199" s="735">
        <v>1177600.00000003</v>
      </c>
      <c r="M199" s="736">
        <f t="shared" si="15"/>
        <v>0</v>
      </c>
      <c r="N199" s="386"/>
    </row>
    <row r="200" spans="1:14" customFormat="1" ht="15" customHeight="1">
      <c r="A200" s="241">
        <v>1</v>
      </c>
      <c r="B200" s="238" t="s">
        <v>925</v>
      </c>
      <c r="C200" s="238" t="s">
        <v>1548</v>
      </c>
      <c r="D200" s="1238">
        <v>194858.5</v>
      </c>
      <c r="E200" s="1238">
        <v>195746.9</v>
      </c>
      <c r="F200" s="247">
        <f>E200-D200</f>
        <v>888.39999999999418</v>
      </c>
      <c r="G200" s="241">
        <v>2000</v>
      </c>
      <c r="H200" s="241">
        <f>F200*G200</f>
        <v>1776799.9999999884</v>
      </c>
      <c r="I200" s="241"/>
      <c r="J200" s="241">
        <f>H200+I200</f>
        <v>1776799.9999999884</v>
      </c>
      <c r="K200" s="241"/>
      <c r="L200" s="735">
        <v>465180</v>
      </c>
      <c r="M200" s="736">
        <f t="shared" si="15"/>
        <v>3.8195967152499857</v>
      </c>
      <c r="N200" s="386"/>
    </row>
    <row r="201" spans="1:14" customFormat="1">
      <c r="A201" s="161"/>
      <c r="B201" s="238" t="s">
        <v>925</v>
      </c>
      <c r="C201" s="748" t="s">
        <v>1549</v>
      </c>
      <c r="D201" s="1241">
        <v>419351.5</v>
      </c>
      <c r="E201" s="1241">
        <v>428000.5</v>
      </c>
      <c r="F201" s="247">
        <f>E201-D201</f>
        <v>8649</v>
      </c>
      <c r="G201" s="241">
        <v>120</v>
      </c>
      <c r="H201" s="241">
        <f>F201*G201</f>
        <v>1037880</v>
      </c>
      <c r="I201" s="241"/>
      <c r="J201" s="241">
        <f>H201+I201</f>
        <v>1037880</v>
      </c>
      <c r="K201" s="241"/>
      <c r="L201" s="735">
        <v>1642780.00000004</v>
      </c>
      <c r="M201" s="736">
        <f t="shared" si="15"/>
        <v>0.63178270979679241</v>
      </c>
      <c r="N201" s="386"/>
    </row>
    <row r="202" spans="1:14" customFormat="1">
      <c r="A202" s="241"/>
      <c r="B202" s="734" t="s">
        <v>1363</v>
      </c>
      <c r="C202" s="238"/>
      <c r="D202" s="1238"/>
      <c r="E202" s="1238"/>
      <c r="F202" s="247"/>
      <c r="G202" s="241"/>
      <c r="H202" s="241"/>
      <c r="I202" s="241"/>
      <c r="J202" s="241">
        <f>SUM(J200:J201)</f>
        <v>2814679.9999999884</v>
      </c>
      <c r="K202" s="771"/>
      <c r="L202" s="735"/>
      <c r="M202" s="736" t="e">
        <f t="shared" si="15"/>
        <v>#DIV/0!</v>
      </c>
      <c r="N202" s="386"/>
    </row>
    <row r="203" spans="1:14" customFormat="1">
      <c r="A203" s="241"/>
      <c r="B203" s="238" t="s">
        <v>1522</v>
      </c>
      <c r="C203" s="238"/>
      <c r="D203" s="1238"/>
      <c r="E203" s="1238"/>
      <c r="F203" s="247"/>
      <c r="G203" s="241"/>
      <c r="H203" s="241"/>
      <c r="I203" s="241"/>
      <c r="J203" s="241"/>
      <c r="K203" s="738"/>
      <c r="L203" s="735">
        <v>462419.99999999802</v>
      </c>
      <c r="M203" s="736">
        <f t="shared" si="15"/>
        <v>0</v>
      </c>
      <c r="N203" s="386"/>
    </row>
    <row r="204" spans="1:14" customFormat="1">
      <c r="A204" s="241"/>
      <c r="B204" s="734" t="s">
        <v>1175</v>
      </c>
      <c r="C204" s="748" t="s">
        <v>1550</v>
      </c>
      <c r="D204" s="1238">
        <v>6288.42</v>
      </c>
      <c r="E204" s="1238">
        <v>6461.17</v>
      </c>
      <c r="F204" s="247">
        <f>E204-D204</f>
        <v>172.75</v>
      </c>
      <c r="G204" s="241">
        <v>6000</v>
      </c>
      <c r="H204" s="241">
        <f>F204*G204</f>
        <v>1036500</v>
      </c>
      <c r="I204" s="241"/>
      <c r="J204" s="241">
        <f>H204+I204</f>
        <v>1036500</v>
      </c>
      <c r="K204" s="738"/>
      <c r="L204" s="735">
        <v>780120.00000000303</v>
      </c>
      <c r="M204" s="736">
        <f t="shared" si="15"/>
        <v>1.3286417474234682</v>
      </c>
      <c r="N204" s="386"/>
    </row>
    <row r="205" spans="1:14" customFormat="1">
      <c r="A205" s="241">
        <v>21</v>
      </c>
      <c r="B205" s="734" t="s">
        <v>1199</v>
      </c>
      <c r="C205" s="238" t="s">
        <v>1551</v>
      </c>
      <c r="D205" s="1238">
        <v>8797.7900000000009</v>
      </c>
      <c r="E205" s="1238">
        <v>8992.06</v>
      </c>
      <c r="F205" s="247">
        <f>E205-D205</f>
        <v>194.26999999999862</v>
      </c>
      <c r="G205" s="241">
        <v>6000</v>
      </c>
      <c r="H205" s="241">
        <f>F205*G205</f>
        <v>1165619.9999999916</v>
      </c>
      <c r="I205" s="241"/>
      <c r="J205" s="241">
        <f>H205+I205</f>
        <v>1165619.9999999916</v>
      </c>
      <c r="K205" s="738"/>
      <c r="L205" s="735">
        <v>377800.000000017</v>
      </c>
      <c r="M205" s="736">
        <f t="shared" si="15"/>
        <v>3.0852832186340371</v>
      </c>
      <c r="N205" s="386">
        <v>8959361108</v>
      </c>
    </row>
    <row r="206" spans="1:14" customFormat="1">
      <c r="A206" s="241">
        <v>22</v>
      </c>
      <c r="B206" s="734" t="s">
        <v>1552</v>
      </c>
      <c r="C206" s="238" t="s">
        <v>1553</v>
      </c>
      <c r="D206" s="1238">
        <v>98461.8</v>
      </c>
      <c r="E206" s="1238">
        <v>98755.199999999997</v>
      </c>
      <c r="F206" s="247">
        <f>E206-D206</f>
        <v>293.39999999999418</v>
      </c>
      <c r="G206" s="241">
        <v>2000</v>
      </c>
      <c r="H206" s="241">
        <f>F206*G206</f>
        <v>586799.99999998836</v>
      </c>
      <c r="I206" s="241"/>
      <c r="J206" s="241">
        <f>H206+I206</f>
        <v>586799.99999998836</v>
      </c>
      <c r="K206" s="746"/>
      <c r="L206" s="735">
        <v>1620340.00000002</v>
      </c>
      <c r="M206" s="736">
        <f t="shared" si="15"/>
        <v>0.36214621622621246</v>
      </c>
      <c r="N206" s="386"/>
    </row>
    <row r="207" spans="1:14" customFormat="1">
      <c r="A207" s="241"/>
      <c r="B207" s="238"/>
      <c r="C207" s="238"/>
      <c r="D207" s="1238"/>
      <c r="E207" s="1238"/>
      <c r="F207" s="247"/>
      <c r="G207" s="241"/>
      <c r="H207" s="241"/>
      <c r="I207" s="241"/>
      <c r="J207" s="241">
        <f>SUM(J204+J205+J206)</f>
        <v>2788919.99999998</v>
      </c>
      <c r="K207" s="771">
        <f>(J202-J207)/J202</f>
        <v>9.1520172808306766E-3</v>
      </c>
      <c r="L207" s="735"/>
      <c r="M207" s="736" t="e">
        <f t="shared" si="15"/>
        <v>#DIV/0!</v>
      </c>
      <c r="N207" s="386">
        <v>9171164080</v>
      </c>
    </row>
    <row r="208" spans="1:14" customFormat="1">
      <c r="A208" s="1239">
        <v>5</v>
      </c>
      <c r="B208" s="741" t="s">
        <v>1554</v>
      </c>
      <c r="C208" s="733"/>
      <c r="D208" s="1238"/>
      <c r="E208" s="1238"/>
      <c r="F208" s="247"/>
      <c r="G208" s="241"/>
      <c r="H208" s="241"/>
      <c r="I208" s="241"/>
      <c r="J208" s="241"/>
      <c r="K208" s="738"/>
      <c r="L208" s="735">
        <v>636599.99999999895</v>
      </c>
      <c r="M208" s="736">
        <f t="shared" si="15"/>
        <v>0</v>
      </c>
      <c r="N208" s="386"/>
    </row>
    <row r="209" spans="1:14" customFormat="1">
      <c r="A209" s="241">
        <v>1</v>
      </c>
      <c r="B209" s="238" t="s">
        <v>925</v>
      </c>
      <c r="C209" s="238" t="s">
        <v>1555</v>
      </c>
      <c r="D209" s="289">
        <v>108413.7</v>
      </c>
      <c r="E209" s="289">
        <v>111295.2</v>
      </c>
      <c r="F209" s="247">
        <f>E209-D209</f>
        <v>2881.5</v>
      </c>
      <c r="G209" s="241">
        <v>500</v>
      </c>
      <c r="H209" s="241">
        <f>F209*G209</f>
        <v>1440750</v>
      </c>
      <c r="I209" s="241"/>
      <c r="J209" s="241">
        <f>H209+I209</f>
        <v>1440750</v>
      </c>
      <c r="K209" s="738"/>
      <c r="L209" s="735">
        <v>810000</v>
      </c>
      <c r="M209" s="736">
        <f t="shared" si="15"/>
        <v>1.7787037037037037</v>
      </c>
      <c r="N209" s="754">
        <v>44440</v>
      </c>
    </row>
    <row r="210" spans="1:14" customFormat="1">
      <c r="A210" s="241"/>
      <c r="B210" s="238" t="s">
        <v>1479</v>
      </c>
      <c r="C210" s="238" t="s">
        <v>1556</v>
      </c>
      <c r="D210" s="289">
        <v>1103.8800000000001</v>
      </c>
      <c r="E210" s="289">
        <v>1244.58</v>
      </c>
      <c r="F210" s="247">
        <f>E210-D210</f>
        <v>140.69999999999982</v>
      </c>
      <c r="G210" s="241">
        <v>9000</v>
      </c>
      <c r="H210" s="241">
        <f>F210*G210</f>
        <v>1266299.9999999984</v>
      </c>
      <c r="I210" s="241"/>
      <c r="J210" s="241">
        <f>H210+I210</f>
        <v>1266299.9999999984</v>
      </c>
      <c r="K210" s="738"/>
      <c r="L210" s="735">
        <v>1446600</v>
      </c>
      <c r="M210" s="736">
        <f t="shared" si="15"/>
        <v>0.87536291995022697</v>
      </c>
      <c r="N210" s="754"/>
    </row>
    <row r="211" spans="1:14" customFormat="1">
      <c r="A211" s="241"/>
      <c r="B211" s="734" t="s">
        <v>1363</v>
      </c>
      <c r="C211" s="238"/>
      <c r="D211" s="202"/>
      <c r="E211" s="202"/>
      <c r="F211" s="247"/>
      <c r="G211" s="241"/>
      <c r="H211" s="241"/>
      <c r="I211" s="241"/>
      <c r="J211" s="241">
        <f>SUM(J209+J210)</f>
        <v>2707049.9999999981</v>
      </c>
      <c r="K211" s="738"/>
      <c r="L211" s="735"/>
      <c r="M211" s="736" t="e">
        <f t="shared" si="15"/>
        <v>#DIV/0!</v>
      </c>
      <c r="N211" s="386"/>
    </row>
    <row r="212" spans="1:14" customFormat="1">
      <c r="A212" s="241"/>
      <c r="B212" s="733" t="s">
        <v>1522</v>
      </c>
      <c r="C212" s="238"/>
      <c r="D212" s="202"/>
      <c r="E212" s="202"/>
      <c r="F212" s="247"/>
      <c r="G212" s="241"/>
      <c r="H212" s="241"/>
      <c r="I212" s="241"/>
      <c r="J212" s="241"/>
      <c r="K212" s="738"/>
      <c r="L212" s="735">
        <v>444400.00000000099</v>
      </c>
      <c r="M212" s="736">
        <f t="shared" si="15"/>
        <v>0</v>
      </c>
      <c r="N212" s="386"/>
    </row>
    <row r="213" spans="1:14" customFormat="1">
      <c r="A213" s="241">
        <v>23</v>
      </c>
      <c r="B213" s="734" t="s">
        <v>1557</v>
      </c>
      <c r="C213" s="238" t="s">
        <v>1558</v>
      </c>
      <c r="D213" s="1238">
        <v>34475.1</v>
      </c>
      <c r="E213" s="1238">
        <v>34804.9</v>
      </c>
      <c r="F213" s="247">
        <f>E213-D213</f>
        <v>329.80000000000291</v>
      </c>
      <c r="G213" s="241">
        <v>2000</v>
      </c>
      <c r="H213" s="241">
        <f>F213*G213</f>
        <v>659600.00000000582</v>
      </c>
      <c r="I213" s="241"/>
      <c r="J213" s="241">
        <f>SUM(H213:I213)</f>
        <v>659600.00000000582</v>
      </c>
      <c r="K213" s="738"/>
      <c r="L213" s="735">
        <v>409599.89759999601</v>
      </c>
      <c r="M213" s="736">
        <f t="shared" si="15"/>
        <v>1.6103519650880211</v>
      </c>
      <c r="N213" s="386"/>
    </row>
    <row r="214" spans="1:14" customFormat="1">
      <c r="A214" s="241">
        <v>24</v>
      </c>
      <c r="B214" s="734" t="s">
        <v>1195</v>
      </c>
      <c r="C214" s="238" t="s">
        <v>1559</v>
      </c>
      <c r="D214" s="1238">
        <v>30858</v>
      </c>
      <c r="E214" s="1238">
        <v>31314</v>
      </c>
      <c r="F214" s="247">
        <f>E214-D214</f>
        <v>456</v>
      </c>
      <c r="G214" s="241">
        <v>1333.3330000000001</v>
      </c>
      <c r="H214" s="244">
        <f>F214*G214</f>
        <v>607999.848</v>
      </c>
      <c r="I214" s="244"/>
      <c r="J214" s="244">
        <f>SUM(H214:I214)</f>
        <v>607999.848</v>
      </c>
      <c r="K214" s="738"/>
      <c r="L214" s="735">
        <v>134400</v>
      </c>
      <c r="M214" s="736">
        <f t="shared" si="15"/>
        <v>4.5238083928571431</v>
      </c>
      <c r="N214" s="386"/>
    </row>
    <row r="215" spans="1:14" customFormat="1">
      <c r="A215" s="241">
        <v>25</v>
      </c>
      <c r="B215" s="734" t="s">
        <v>1560</v>
      </c>
      <c r="C215" s="238" t="s">
        <v>1561</v>
      </c>
      <c r="D215" s="1238">
        <v>5419.6</v>
      </c>
      <c r="E215" s="1238">
        <v>5518.6</v>
      </c>
      <c r="F215" s="247">
        <f>E215-D215</f>
        <v>99</v>
      </c>
      <c r="G215" s="241">
        <v>2000</v>
      </c>
      <c r="H215" s="241">
        <f>F215*G215</f>
        <v>198000</v>
      </c>
      <c r="I215" s="244"/>
      <c r="J215" s="241">
        <f>SUM(H215:I215)</f>
        <v>198000</v>
      </c>
      <c r="K215" s="738"/>
      <c r="L215" s="735">
        <v>0</v>
      </c>
      <c r="M215" s="736" t="e">
        <f t="shared" si="15"/>
        <v>#DIV/0!</v>
      </c>
      <c r="N215" s="386">
        <f>L215*M214</f>
        <v>0</v>
      </c>
    </row>
    <row r="216" spans="1:14" customFormat="1">
      <c r="A216" s="241">
        <v>26</v>
      </c>
      <c r="B216" s="734" t="s">
        <v>1562</v>
      </c>
      <c r="C216" s="238" t="s">
        <v>1563</v>
      </c>
      <c r="D216" s="1238">
        <v>170081.5</v>
      </c>
      <c r="E216" s="1238">
        <v>187238</v>
      </c>
      <c r="F216" s="247">
        <f>E216-D216</f>
        <v>17156.5</v>
      </c>
      <c r="G216" s="241">
        <v>40</v>
      </c>
      <c r="H216" s="155">
        <f>F216*G216</f>
        <v>686260</v>
      </c>
      <c r="I216" s="244">
        <v>174180.42839999998</v>
      </c>
      <c r="J216" s="244">
        <f>SUM(H216:I216)</f>
        <v>860440.42839999998</v>
      </c>
      <c r="K216" s="738"/>
      <c r="L216" s="735">
        <v>451200.07439999998</v>
      </c>
      <c r="M216" s="736">
        <f t="shared" si="15"/>
        <v>1.9070041811145588</v>
      </c>
      <c r="N216" s="386"/>
    </row>
    <row r="217" spans="1:14" customFormat="1">
      <c r="A217" s="241"/>
      <c r="B217" s="734" t="s">
        <v>1564</v>
      </c>
      <c r="C217" s="238" t="s">
        <v>1565</v>
      </c>
      <c r="D217" s="1238">
        <v>464.92</v>
      </c>
      <c r="E217" s="1238">
        <v>505.6</v>
      </c>
      <c r="F217" s="247">
        <f>E217-D217</f>
        <v>40.680000000000007</v>
      </c>
      <c r="G217" s="241">
        <v>6000</v>
      </c>
      <c r="H217" s="241">
        <f>F217*G217</f>
        <v>244080.00000000003</v>
      </c>
      <c r="I217" s="244">
        <v>124560.00169999999</v>
      </c>
      <c r="J217" s="244">
        <f>SUM(H217:I217)</f>
        <v>368640.00170000002</v>
      </c>
      <c r="K217" s="738"/>
      <c r="L217" s="735">
        <v>1439599.9720000001</v>
      </c>
      <c r="M217" s="736">
        <f t="shared" si="15"/>
        <v>0.25607113703111412</v>
      </c>
      <c r="N217" s="386"/>
    </row>
    <row r="218" spans="1:14" customFormat="1">
      <c r="A218" s="241"/>
      <c r="B218" s="238"/>
      <c r="C218" s="238"/>
      <c r="D218" s="1238"/>
      <c r="E218" s="1238"/>
      <c r="F218" s="247"/>
      <c r="G218" s="241"/>
      <c r="H218" s="241"/>
      <c r="I218" s="241"/>
      <c r="J218" s="244">
        <f>SUM(J213:J217)</f>
        <v>2694680.2781000058</v>
      </c>
      <c r="K218" s="771">
        <f>(J211-J218)/J211</f>
        <v>4.5694471472607929E-3</v>
      </c>
      <c r="L218" s="735"/>
      <c r="M218" s="736" t="e">
        <f t="shared" si="15"/>
        <v>#DIV/0!</v>
      </c>
      <c r="N218" s="386">
        <f>N215-H216</f>
        <v>-686260</v>
      </c>
    </row>
    <row r="219" spans="1:14" customFormat="1">
      <c r="A219" s="1239">
        <v>6</v>
      </c>
      <c r="B219" s="741" t="s">
        <v>1566</v>
      </c>
      <c r="C219" s="733"/>
      <c r="D219" s="1238"/>
      <c r="E219" s="1238"/>
      <c r="F219" s="247"/>
      <c r="G219" s="241"/>
      <c r="H219" s="241"/>
      <c r="I219" s="241"/>
      <c r="J219" s="241"/>
      <c r="K219" s="738"/>
      <c r="L219" s="735">
        <v>1498399.99999999</v>
      </c>
      <c r="M219" s="736">
        <f t="shared" si="15"/>
        <v>0</v>
      </c>
      <c r="N219" s="386"/>
    </row>
    <row r="220" spans="1:14" customFormat="1">
      <c r="A220" s="241">
        <v>1</v>
      </c>
      <c r="B220" s="238" t="s">
        <v>1514</v>
      </c>
      <c r="C220" s="238" t="s">
        <v>1567</v>
      </c>
      <c r="D220" s="775">
        <v>79506.600000000006</v>
      </c>
      <c r="E220" s="775">
        <v>80298.2</v>
      </c>
      <c r="F220" s="247">
        <f>E220-D220</f>
        <v>791.59999999999127</v>
      </c>
      <c r="G220" s="241">
        <v>2000</v>
      </c>
      <c r="H220" s="241">
        <f>F220*G220</f>
        <v>1583199.9999999825</v>
      </c>
      <c r="I220" s="241">
        <v>2000</v>
      </c>
      <c r="J220" s="241">
        <f>SUM(H220:I220)</f>
        <v>1585199.9999999825</v>
      </c>
      <c r="K220" s="241"/>
      <c r="L220" s="735">
        <v>1498399.99999999</v>
      </c>
      <c r="M220" s="736">
        <f t="shared" si="15"/>
        <v>1.0579284570208176</v>
      </c>
      <c r="N220" s="386"/>
    </row>
    <row r="221" spans="1:14" customFormat="1">
      <c r="A221" s="241"/>
      <c r="B221" s="734" t="s">
        <v>1363</v>
      </c>
      <c r="C221" s="238"/>
      <c r="D221" s="1238"/>
      <c r="E221" s="1238"/>
      <c r="F221" s="247"/>
      <c r="G221" s="241"/>
      <c r="H221" s="241"/>
      <c r="I221" s="241"/>
      <c r="J221" s="241">
        <f>SUM(J220)</f>
        <v>1585199.9999999825</v>
      </c>
      <c r="K221" s="738"/>
      <c r="L221" s="735"/>
      <c r="M221" s="736" t="e">
        <f t="shared" si="15"/>
        <v>#DIV/0!</v>
      </c>
      <c r="N221" s="386"/>
    </row>
    <row r="222" spans="1:14" customFormat="1">
      <c r="A222" s="241"/>
      <c r="B222" s="733" t="s">
        <v>1522</v>
      </c>
      <c r="C222" s="238"/>
      <c r="D222" s="1238"/>
      <c r="E222" s="1238"/>
      <c r="F222" s="247"/>
      <c r="G222" s="241"/>
      <c r="H222" s="241"/>
      <c r="I222" s="241"/>
      <c r="J222" s="241"/>
      <c r="K222" s="738"/>
      <c r="L222" s="735">
        <v>348200.00000000402</v>
      </c>
      <c r="M222" s="736">
        <f t="shared" si="15"/>
        <v>0</v>
      </c>
      <c r="N222" s="386"/>
    </row>
    <row r="223" spans="1:14" customFormat="1">
      <c r="A223" s="241">
        <v>27</v>
      </c>
      <c r="B223" s="734" t="s">
        <v>1568</v>
      </c>
      <c r="C223" s="238" t="s">
        <v>1569</v>
      </c>
      <c r="D223" s="1238">
        <v>18883.900000000001</v>
      </c>
      <c r="E223" s="1238">
        <v>19116.8</v>
      </c>
      <c r="F223" s="247">
        <f>E223-D223</f>
        <v>232.89999999999782</v>
      </c>
      <c r="G223" s="241">
        <v>2000</v>
      </c>
      <c r="H223" s="241">
        <f>F223*G223</f>
        <v>465799.99999999563</v>
      </c>
      <c r="I223" s="241"/>
      <c r="J223" s="241">
        <f>SUM(H223:I223)</f>
        <v>465799.99999999563</v>
      </c>
      <c r="K223" s="738"/>
      <c r="L223" s="735">
        <v>474666.54800000001</v>
      </c>
      <c r="M223" s="736">
        <f t="shared" si="15"/>
        <v>0.98132047004920941</v>
      </c>
      <c r="N223" s="386"/>
    </row>
    <row r="224" spans="1:14" customFormat="1">
      <c r="A224" s="241">
        <v>28</v>
      </c>
      <c r="B224" s="734" t="s">
        <v>1570</v>
      </c>
      <c r="C224" s="238" t="s">
        <v>1571</v>
      </c>
      <c r="D224" s="1238">
        <v>32343.5</v>
      </c>
      <c r="E224" s="1238">
        <v>32829.5</v>
      </c>
      <c r="F224" s="247">
        <f>E224-D224</f>
        <v>486</v>
      </c>
      <c r="G224" s="247">
        <v>1333.3330000000001</v>
      </c>
      <c r="H224" s="244">
        <f>F224*G224</f>
        <v>647999.83799999999</v>
      </c>
      <c r="I224" s="244"/>
      <c r="J224" s="244">
        <f>SUM(H224:I224)</f>
        <v>647999.83799999999</v>
      </c>
      <c r="K224" s="738"/>
      <c r="L224" s="735">
        <v>666199.99999999697</v>
      </c>
      <c r="M224" s="736">
        <f t="shared" si="15"/>
        <v>0.97268063344341482</v>
      </c>
      <c r="N224" s="386"/>
    </row>
    <row r="225" spans="1:14" customFormat="1">
      <c r="A225" s="241">
        <v>29</v>
      </c>
      <c r="B225" s="734" t="s">
        <v>1572</v>
      </c>
      <c r="C225" s="238" t="s">
        <v>1573</v>
      </c>
      <c r="D225" s="1238">
        <v>37763.1</v>
      </c>
      <c r="E225" s="1238">
        <v>37862.300000000003</v>
      </c>
      <c r="F225" s="247">
        <f>E225-D225</f>
        <v>99.200000000004366</v>
      </c>
      <c r="G225" s="241">
        <v>2000</v>
      </c>
      <c r="H225" s="241">
        <f>F225*G225</f>
        <v>198400.00000000873</v>
      </c>
      <c r="I225" s="241">
        <v>272798.99999999127</v>
      </c>
      <c r="J225" s="241">
        <f>SUM(H225:I225)</f>
        <v>471199</v>
      </c>
      <c r="K225" s="738"/>
      <c r="L225" s="735">
        <v>1489066.548</v>
      </c>
      <c r="M225" s="736">
        <f t="shared" si="15"/>
        <v>0.31643918173628865</v>
      </c>
      <c r="N225" s="386"/>
    </row>
    <row r="226" spans="1:14" customFormat="1">
      <c r="A226" s="241"/>
      <c r="B226" s="238"/>
      <c r="C226" s="238"/>
      <c r="D226" s="1238"/>
      <c r="E226" s="1238"/>
      <c r="F226" s="247"/>
      <c r="G226" s="241"/>
      <c r="H226" s="241"/>
      <c r="I226" s="241"/>
      <c r="J226" s="244">
        <f>SUM(J223:J225)</f>
        <v>1584998.8379999956</v>
      </c>
      <c r="K226" s="771">
        <f>(J220-J226)/J220</f>
        <v>1.2690007569201041E-4</v>
      </c>
      <c r="L226" s="735"/>
      <c r="M226" s="736" t="e">
        <f t="shared" si="15"/>
        <v>#DIV/0!</v>
      </c>
      <c r="N226" s="386"/>
    </row>
    <row r="227" spans="1:14" customFormat="1">
      <c r="A227" s="1239">
        <v>7</v>
      </c>
      <c r="B227" s="741" t="s">
        <v>1574</v>
      </c>
      <c r="C227" s="238"/>
      <c r="D227" s="27"/>
      <c r="E227" s="27"/>
      <c r="F227" s="247"/>
      <c r="G227" s="241"/>
      <c r="H227" s="241"/>
      <c r="I227" s="241"/>
      <c r="J227" s="241"/>
      <c r="K227" s="738"/>
      <c r="L227" s="735">
        <v>1387899.99999999</v>
      </c>
      <c r="M227" s="736">
        <f t="shared" si="15"/>
        <v>0</v>
      </c>
      <c r="N227" s="386"/>
    </row>
    <row r="228" spans="1:14" customFormat="1">
      <c r="A228" s="241">
        <v>1</v>
      </c>
      <c r="B228" s="238" t="s">
        <v>1575</v>
      </c>
      <c r="C228" s="238" t="s">
        <v>1576</v>
      </c>
      <c r="D228" s="27">
        <v>86695.5</v>
      </c>
      <c r="E228" s="27">
        <v>87532.1</v>
      </c>
      <c r="F228" s="247">
        <f>E228-D228</f>
        <v>836.60000000000582</v>
      </c>
      <c r="G228" s="241">
        <v>2000</v>
      </c>
      <c r="H228" s="241">
        <f>F228*G228</f>
        <v>1673200.0000000116</v>
      </c>
      <c r="I228" s="241"/>
      <c r="J228" s="241">
        <f>SUM(H228:I228)</f>
        <v>1673200.0000000116</v>
      </c>
      <c r="K228" s="738"/>
      <c r="L228" s="735">
        <v>1037600.00000002</v>
      </c>
      <c r="M228" s="736">
        <f t="shared" si="15"/>
        <v>1.612567463377004</v>
      </c>
      <c r="N228" s="386"/>
    </row>
    <row r="229" spans="1:14" customFormat="1">
      <c r="A229" s="241"/>
      <c r="B229" s="238" t="s">
        <v>1577</v>
      </c>
      <c r="C229" s="238" t="s">
        <v>1578</v>
      </c>
      <c r="D229" s="776">
        <v>2309.1799999999998</v>
      </c>
      <c r="E229" s="776">
        <v>2331.56</v>
      </c>
      <c r="F229" s="247">
        <f>E229-D229</f>
        <v>22.380000000000109</v>
      </c>
      <c r="G229" s="241">
        <v>80000</v>
      </c>
      <c r="H229" s="241">
        <f>F229*G229</f>
        <v>1790400.0000000088</v>
      </c>
      <c r="I229" s="241"/>
      <c r="J229" s="241">
        <f>SUM(H229:I229)</f>
        <v>1790400.0000000088</v>
      </c>
      <c r="K229" s="738"/>
      <c r="L229" s="735">
        <v>2425500.0000000098</v>
      </c>
      <c r="M229" s="736">
        <f t="shared" si="15"/>
        <v>0.7381570810142245</v>
      </c>
      <c r="N229" s="386"/>
    </row>
    <row r="230" spans="1:14" customFormat="1">
      <c r="A230" s="241"/>
      <c r="B230" s="734" t="s">
        <v>1363</v>
      </c>
      <c r="C230" s="238"/>
      <c r="D230" s="1238"/>
      <c r="E230" s="1238"/>
      <c r="F230" s="247"/>
      <c r="G230" s="241"/>
      <c r="H230" s="241"/>
      <c r="I230" s="241"/>
      <c r="J230" s="241">
        <f>SUM(J228:J229)</f>
        <v>3463600.0000000205</v>
      </c>
      <c r="K230" s="738"/>
      <c r="L230" s="735"/>
      <c r="M230" s="736" t="e">
        <f t="shared" si="15"/>
        <v>#DIV/0!</v>
      </c>
      <c r="N230" s="386"/>
    </row>
    <row r="231" spans="1:14" customFormat="1">
      <c r="A231" s="241"/>
      <c r="B231" s="733" t="s">
        <v>1364</v>
      </c>
      <c r="C231" s="238"/>
      <c r="D231" s="1238"/>
      <c r="E231" s="1238"/>
      <c r="F231" s="247"/>
      <c r="G231" s="241"/>
      <c r="H231" s="241"/>
      <c r="I231" s="241"/>
      <c r="J231" s="241"/>
      <c r="K231" s="738"/>
      <c r="L231" s="735">
        <v>595800.00000000303</v>
      </c>
      <c r="M231" s="736">
        <f t="shared" si="15"/>
        <v>0</v>
      </c>
      <c r="N231" s="386"/>
    </row>
    <row r="232" spans="1:14" customFormat="1">
      <c r="A232" s="241">
        <v>30</v>
      </c>
      <c r="B232" s="734" t="s">
        <v>1579</v>
      </c>
      <c r="C232" s="238" t="s">
        <v>1580</v>
      </c>
      <c r="D232" s="777">
        <v>34612.800000000003</v>
      </c>
      <c r="E232" s="777">
        <v>35025.5</v>
      </c>
      <c r="F232" s="247">
        <f>E232-D232</f>
        <v>412.69999999999709</v>
      </c>
      <c r="G232" s="241">
        <v>2000</v>
      </c>
      <c r="H232" s="241">
        <f>F232*G232</f>
        <v>825399.99999999418</v>
      </c>
      <c r="I232" s="241"/>
      <c r="J232" s="241">
        <f>H232+I232</f>
        <v>825399.99999999418</v>
      </c>
      <c r="K232" s="738"/>
      <c r="L232" s="735">
        <v>304000</v>
      </c>
      <c r="M232" s="736">
        <f t="shared" si="15"/>
        <v>2.7151315789473491</v>
      </c>
      <c r="N232" s="386"/>
    </row>
    <row r="233" spans="1:14" customFormat="1">
      <c r="A233" s="241">
        <v>31</v>
      </c>
      <c r="B233" s="734" t="s">
        <v>1190</v>
      </c>
      <c r="C233" s="238" t="s">
        <v>1581</v>
      </c>
      <c r="D233" s="777">
        <v>22483</v>
      </c>
      <c r="E233" s="777">
        <v>22976</v>
      </c>
      <c r="F233" s="247">
        <f>E233-D233</f>
        <v>493</v>
      </c>
      <c r="G233" s="241">
        <v>2000</v>
      </c>
      <c r="H233" s="241">
        <f>F233*G233</f>
        <v>986000</v>
      </c>
      <c r="I233" s="241"/>
      <c r="J233" s="241">
        <f>SUM(H233:I233)</f>
        <v>986000</v>
      </c>
      <c r="K233" s="738"/>
      <c r="L233" s="735">
        <v>783199.99999999697</v>
      </c>
      <c r="M233" s="736">
        <f t="shared" si="15"/>
        <v>1.2589376915219661</v>
      </c>
      <c r="N233" s="386"/>
    </row>
    <row r="234" spans="1:14" customFormat="1">
      <c r="A234" s="241">
        <v>32</v>
      </c>
      <c r="B234" s="734" t="s">
        <v>1191</v>
      </c>
      <c r="C234" s="238" t="s">
        <v>1582</v>
      </c>
      <c r="D234" s="777">
        <v>44268.6</v>
      </c>
      <c r="E234" s="777">
        <v>44686.400000000001</v>
      </c>
      <c r="F234" s="247">
        <f>E234-D234</f>
        <v>417.80000000000291</v>
      </c>
      <c r="G234" s="241">
        <v>2000</v>
      </c>
      <c r="H234" s="241">
        <f>F234*G234</f>
        <v>835600.00000000582</v>
      </c>
      <c r="I234" s="241"/>
      <c r="J234" s="241">
        <f>SUM(H234:I234)</f>
        <v>835600.00000000582</v>
      </c>
      <c r="K234" s="738"/>
      <c r="L234" s="735">
        <v>715089.99999999895</v>
      </c>
      <c r="M234" s="736">
        <f t="shared" si="15"/>
        <v>1.1685242417038513</v>
      </c>
      <c r="N234" s="386"/>
    </row>
    <row r="235" spans="1:14" customFormat="1">
      <c r="A235" s="241">
        <v>33</v>
      </c>
      <c r="B235" s="439" t="s">
        <v>1202</v>
      </c>
      <c r="C235" s="734" t="s">
        <v>1583</v>
      </c>
      <c r="D235" s="161">
        <v>4464.3500000000004</v>
      </c>
      <c r="E235" s="161">
        <v>4519.9399999999996</v>
      </c>
      <c r="F235" s="247">
        <f>E235-D235</f>
        <v>55.589999999999236</v>
      </c>
      <c r="G235" s="161">
        <v>3000</v>
      </c>
      <c r="H235" s="241">
        <f>F235*G235</f>
        <v>166769.9999999977</v>
      </c>
      <c r="I235" s="244">
        <v>642269.06330000237</v>
      </c>
      <c r="J235" s="244">
        <f>SUM(H235:I235)</f>
        <v>809039.06330000004</v>
      </c>
      <c r="K235" s="738"/>
      <c r="L235" s="735">
        <v>2398090</v>
      </c>
      <c r="M235" s="736">
        <f t="shared" si="15"/>
        <v>0.33736809848671234</v>
      </c>
      <c r="N235" s="386">
        <f>653940-H235</f>
        <v>487170.00000000233</v>
      </c>
    </row>
    <row r="236" spans="1:14" customFormat="1">
      <c r="A236" s="241"/>
      <c r="B236" s="238"/>
      <c r="C236" s="238"/>
      <c r="D236" s="1238"/>
      <c r="E236" s="1238"/>
      <c r="F236" s="247"/>
      <c r="G236" s="241"/>
      <c r="H236" s="241"/>
      <c r="I236" s="241"/>
      <c r="J236" s="244">
        <f>SUM(J232+J233+J234+J235)</f>
        <v>3456039.0633</v>
      </c>
      <c r="K236" s="771">
        <f>(J230-J236)/J228</f>
        <v>4.5188481353217779E-3</v>
      </c>
      <c r="L236" s="735"/>
      <c r="M236" s="736" t="e">
        <f t="shared" si="15"/>
        <v>#DIV/0!</v>
      </c>
      <c r="N236" s="386"/>
    </row>
    <row r="237" spans="1:14" customFormat="1">
      <c r="A237" s="1239">
        <v>8</v>
      </c>
      <c r="B237" s="741" t="s">
        <v>1584</v>
      </c>
      <c r="C237" s="733"/>
      <c r="D237" s="1238"/>
      <c r="E237" s="1238"/>
      <c r="F237" s="247"/>
      <c r="G237" s="241"/>
      <c r="H237" s="241"/>
      <c r="I237" s="241"/>
      <c r="J237" s="241"/>
      <c r="K237" s="738"/>
      <c r="L237" s="735">
        <v>688020</v>
      </c>
      <c r="M237" s="736">
        <f t="shared" si="15"/>
        <v>0</v>
      </c>
      <c r="N237" s="386"/>
    </row>
    <row r="238" spans="1:14" customFormat="1" ht="18" customHeight="1">
      <c r="A238" s="241">
        <v>1</v>
      </c>
      <c r="B238" s="238" t="s">
        <v>1479</v>
      </c>
      <c r="C238" s="238">
        <v>5037326</v>
      </c>
      <c r="D238" s="289">
        <v>34363.5</v>
      </c>
      <c r="E238" s="289">
        <v>38292.1</v>
      </c>
      <c r="F238" s="247">
        <f>E238-D238</f>
        <v>3928.5999999999985</v>
      </c>
      <c r="G238" s="241">
        <v>180</v>
      </c>
      <c r="H238" s="241">
        <f>F238*G238</f>
        <v>707147.99999999977</v>
      </c>
      <c r="I238" s="241">
        <v>240492</v>
      </c>
      <c r="J238" s="241">
        <f>SUM(H238:I238)</f>
        <v>947639.99999999977</v>
      </c>
      <c r="K238" s="241"/>
      <c r="L238" s="735">
        <v>688020</v>
      </c>
      <c r="M238" s="736">
        <f t="shared" si="15"/>
        <v>1.3773436818697127</v>
      </c>
      <c r="N238" s="386"/>
    </row>
    <row r="239" spans="1:14" customFormat="1">
      <c r="A239" s="241"/>
      <c r="B239" s="734" t="s">
        <v>1363</v>
      </c>
      <c r="C239" s="238"/>
      <c r="D239" s="1238"/>
      <c r="E239" s="1238"/>
      <c r="F239" s="247"/>
      <c r="G239" s="241"/>
      <c r="H239" s="241"/>
      <c r="I239" s="241"/>
      <c r="J239" s="241">
        <f>SUM(J238)</f>
        <v>947639.99999999977</v>
      </c>
      <c r="K239" s="738"/>
      <c r="L239" s="735"/>
      <c r="M239" s="736" t="e">
        <f t="shared" si="15"/>
        <v>#DIV/0!</v>
      </c>
      <c r="N239" s="386"/>
    </row>
    <row r="240" spans="1:14" customFormat="1" ht="25.5" customHeight="1">
      <c r="A240" s="241"/>
      <c r="B240" s="733" t="s">
        <v>1522</v>
      </c>
      <c r="C240" s="238"/>
      <c r="D240" s="1238"/>
      <c r="E240" s="1238"/>
      <c r="F240" s="247"/>
      <c r="G240" s="241"/>
      <c r="H240" s="241"/>
      <c r="I240" s="241"/>
      <c r="J240" s="241"/>
      <c r="K240" s="738"/>
      <c r="L240" s="735">
        <v>585920</v>
      </c>
      <c r="M240" s="736">
        <f t="shared" si="15"/>
        <v>0</v>
      </c>
      <c r="N240" s="386"/>
    </row>
    <row r="241" spans="1:13" customFormat="1">
      <c r="A241" s="241">
        <v>34</v>
      </c>
      <c r="B241" s="734" t="s">
        <v>1585</v>
      </c>
      <c r="C241" s="238" t="s">
        <v>1586</v>
      </c>
      <c r="D241" s="1238">
        <v>296170</v>
      </c>
      <c r="E241" s="1238">
        <v>315908</v>
      </c>
      <c r="F241" s="247">
        <f>E241-D241</f>
        <v>19738</v>
      </c>
      <c r="G241" s="241">
        <v>40</v>
      </c>
      <c r="H241" s="241">
        <f>F241*G241</f>
        <v>789520</v>
      </c>
      <c r="I241" s="241"/>
      <c r="J241" s="241">
        <f>SUM(H241:I241)</f>
        <v>789520</v>
      </c>
      <c r="K241" s="738"/>
      <c r="L241" s="735">
        <v>93968</v>
      </c>
      <c r="M241" s="736">
        <f t="shared" si="15"/>
        <v>8.4020091946194455</v>
      </c>
    </row>
    <row r="242" spans="1:13" customFormat="1">
      <c r="A242" s="241">
        <v>35</v>
      </c>
      <c r="B242" s="734" t="s">
        <v>1587</v>
      </c>
      <c r="C242" s="238">
        <v>5037183</v>
      </c>
      <c r="D242" s="1238">
        <v>42977.8</v>
      </c>
      <c r="E242" s="1238">
        <v>46695.1</v>
      </c>
      <c r="F242" s="247">
        <f>E242-D242</f>
        <v>3717.2999999999956</v>
      </c>
      <c r="G242" s="241">
        <v>40</v>
      </c>
      <c r="H242" s="241">
        <f>F242*G242</f>
        <v>148691.99999999983</v>
      </c>
      <c r="I242" s="244"/>
      <c r="J242" s="244">
        <f>SUM(H242:I242)</f>
        <v>148691.99999999983</v>
      </c>
      <c r="K242" s="738"/>
      <c r="L242" s="735">
        <v>679888</v>
      </c>
      <c r="M242" s="736">
        <f t="shared" si="15"/>
        <v>0.21870072717859387</v>
      </c>
    </row>
    <row r="243" spans="1:13" customFormat="1">
      <c r="A243" s="241"/>
      <c r="B243" s="238"/>
      <c r="C243" s="238"/>
      <c r="D243" s="1238"/>
      <c r="E243" s="1238"/>
      <c r="F243" s="247"/>
      <c r="G243" s="241"/>
      <c r="H243" s="241"/>
      <c r="I243" s="241"/>
      <c r="J243" s="244">
        <f>SUM(J241:J242)</f>
        <v>938211.99999999977</v>
      </c>
      <c r="K243" s="771">
        <f>(J238-J243)/J238</f>
        <v>9.9489257523954263E-3</v>
      </c>
      <c r="L243" s="735"/>
      <c r="M243" s="736" t="e">
        <f t="shared" si="15"/>
        <v>#DIV/0!</v>
      </c>
    </row>
    <row r="244" spans="1:13" customFormat="1">
      <c r="A244" s="241"/>
      <c r="B244" s="239" t="s">
        <v>5</v>
      </c>
      <c r="C244" s="238"/>
      <c r="D244" s="1238"/>
      <c r="E244" s="1238"/>
      <c r="F244" s="247"/>
      <c r="G244" s="241"/>
      <c r="H244" s="241"/>
      <c r="I244" s="241"/>
      <c r="J244" s="241"/>
      <c r="K244" s="771"/>
      <c r="L244" s="735">
        <v>165199.999999983</v>
      </c>
      <c r="M244" s="736">
        <f t="shared" si="15"/>
        <v>0</v>
      </c>
    </row>
    <row r="245" spans="1:13" customFormat="1" ht="18" customHeight="1">
      <c r="A245" s="241">
        <v>1</v>
      </c>
      <c r="B245" s="238" t="s">
        <v>1200</v>
      </c>
      <c r="C245" s="238" t="str">
        <f t="shared" ref="C245:H245" si="16">C184</f>
        <v>MPE15902</v>
      </c>
      <c r="D245" s="241">
        <f t="shared" si="16"/>
        <v>123119</v>
      </c>
      <c r="E245" s="241">
        <f t="shared" si="16"/>
        <v>123251.6</v>
      </c>
      <c r="F245" s="241">
        <f t="shared" si="16"/>
        <v>132.60000000000582</v>
      </c>
      <c r="G245" s="241">
        <f t="shared" si="16"/>
        <v>2000</v>
      </c>
      <c r="H245" s="241">
        <f t="shared" si="16"/>
        <v>265200.00000001164</v>
      </c>
      <c r="I245" s="241"/>
      <c r="J245" s="241">
        <f>H245+I245</f>
        <v>265200.00000001164</v>
      </c>
      <c r="K245" s="771"/>
      <c r="L245" s="735">
        <v>393399.999999994</v>
      </c>
      <c r="M245" s="736">
        <f t="shared" si="15"/>
        <v>0.67412302999495599</v>
      </c>
    </row>
    <row r="246" spans="1:13" customFormat="1">
      <c r="A246" s="241">
        <v>2</v>
      </c>
      <c r="B246" s="238" t="s">
        <v>1486</v>
      </c>
      <c r="C246" s="258" t="str">
        <f t="shared" ref="C246:H246" si="17">C168</f>
        <v>MPE13164</v>
      </c>
      <c r="D246" s="244">
        <f t="shared" si="17"/>
        <v>89651.5</v>
      </c>
      <c r="E246" s="244">
        <f t="shared" si="17"/>
        <v>89931.5</v>
      </c>
      <c r="F246" s="244">
        <f t="shared" si="17"/>
        <v>280</v>
      </c>
      <c r="G246" s="244">
        <f t="shared" si="17"/>
        <v>2000</v>
      </c>
      <c r="H246" s="244">
        <f t="shared" si="17"/>
        <v>560000</v>
      </c>
      <c r="I246" s="244"/>
      <c r="J246" s="244">
        <f>J168</f>
        <v>560000</v>
      </c>
      <c r="K246" s="738"/>
      <c r="L246" s="735">
        <v>821400.00000002305</v>
      </c>
      <c r="M246" s="736">
        <f t="shared" si="15"/>
        <v>0.68176284392498698</v>
      </c>
    </row>
    <row r="247" spans="1:13" customFormat="1" ht="25.5" customHeight="1">
      <c r="A247" s="241">
        <v>3</v>
      </c>
      <c r="B247" s="238" t="s">
        <v>1171</v>
      </c>
      <c r="C247" s="258" t="str">
        <f t="shared" ref="C247:H247" si="18">C172</f>
        <v>MPE13163</v>
      </c>
      <c r="D247" s="244">
        <f t="shared" si="18"/>
        <v>154630.9</v>
      </c>
      <c r="E247" s="244">
        <f t="shared" si="18"/>
        <v>154830.79999999999</v>
      </c>
      <c r="F247" s="244">
        <f t="shared" si="18"/>
        <v>199.89999999999418</v>
      </c>
      <c r="G247" s="244">
        <f t="shared" si="18"/>
        <v>2000</v>
      </c>
      <c r="H247" s="244">
        <f t="shared" si="18"/>
        <v>399799.99999998836</v>
      </c>
      <c r="I247" s="244"/>
      <c r="J247" s="244">
        <f>J172</f>
        <v>961639.83290000039</v>
      </c>
      <c r="K247" s="738"/>
      <c r="L247" s="735">
        <v>1380000</v>
      </c>
      <c r="M247" s="736">
        <f t="shared" si="15"/>
        <v>0.69684045862318866</v>
      </c>
    </row>
    <row r="248" spans="1:13" customFormat="1">
      <c r="A248" s="241"/>
      <c r="B248" s="755"/>
      <c r="C248" s="238"/>
      <c r="D248" s="1238"/>
      <c r="E248" s="1238"/>
      <c r="F248" s="247"/>
      <c r="G248" s="241"/>
      <c r="H248" s="241"/>
      <c r="I248" s="241"/>
      <c r="J248" s="241">
        <f>SUM(J245:J247)</f>
        <v>1786839.8329000119</v>
      </c>
      <c r="K248" s="738"/>
      <c r="L248" s="735">
        <v>17352939.999999698</v>
      </c>
      <c r="M248" s="736">
        <f t="shared" si="15"/>
        <v>0.1029704380295237</v>
      </c>
    </row>
    <row r="249" spans="1:13" customFormat="1">
      <c r="A249" s="241"/>
      <c r="B249" s="239" t="s">
        <v>1492</v>
      </c>
      <c r="C249" s="238"/>
      <c r="D249" s="778"/>
      <c r="E249" s="778"/>
      <c r="F249" s="247"/>
      <c r="G249" s="241"/>
      <c r="H249" s="241"/>
      <c r="I249" s="241"/>
      <c r="J249" s="349">
        <f>J164+J181+J192+J202+J211+J221+J230-J248+J239</f>
        <v>24208490.16710005</v>
      </c>
      <c r="K249" s="738"/>
      <c r="L249" s="735">
        <v>17097068.421700001</v>
      </c>
      <c r="M249" s="736">
        <f t="shared" si="15"/>
        <v>1.4159439250049479</v>
      </c>
    </row>
    <row r="250" spans="1:13" customFormat="1">
      <c r="A250" s="241"/>
      <c r="B250" s="239" t="s">
        <v>1493</v>
      </c>
      <c r="C250" s="239"/>
      <c r="D250" s="690"/>
      <c r="E250" s="690"/>
      <c r="F250" s="779"/>
      <c r="G250" s="1239"/>
      <c r="H250" s="1239"/>
      <c r="I250" s="349"/>
      <c r="J250" s="349">
        <f>J174+J189+J198+J207+J218+J226+J236-J248+J243</f>
        <v>23994862.271499917</v>
      </c>
      <c r="K250" s="780">
        <f>(J249-J250)/J249</f>
        <v>8.8245030617588194E-3</v>
      </c>
      <c r="L250" s="386"/>
      <c r="M250" s="736" t="e">
        <f t="shared" si="15"/>
        <v>#DIV/0!</v>
      </c>
    </row>
    <row r="251" spans="1:13" customFormat="1">
      <c r="A251" s="241"/>
      <c r="B251" s="239"/>
      <c r="C251" s="239"/>
      <c r="D251" s="690"/>
      <c r="E251" s="690"/>
      <c r="F251" s="779"/>
      <c r="G251" s="1239"/>
      <c r="H251" s="1239"/>
      <c r="I251" s="349"/>
      <c r="J251" s="349"/>
      <c r="K251" s="781"/>
      <c r="L251" s="386"/>
      <c r="M251" s="736" t="e">
        <f t="shared" si="15"/>
        <v>#DIV/0!</v>
      </c>
    </row>
    <row r="252" spans="1:13" customFormat="1" ht="18">
      <c r="A252" s="1041" t="s">
        <v>1588</v>
      </c>
      <c r="B252" s="1042"/>
      <c r="C252" s="1042"/>
      <c r="D252" s="1042"/>
      <c r="E252" s="1042"/>
      <c r="F252" s="1042"/>
      <c r="G252" s="1042"/>
      <c r="H252" s="1042"/>
      <c r="I252" s="1042"/>
      <c r="J252" s="1042"/>
      <c r="K252" s="1043"/>
      <c r="L252" s="386"/>
      <c r="M252" s="736" t="e">
        <f t="shared" si="15"/>
        <v>#DIV/0!</v>
      </c>
    </row>
    <row r="253" spans="1:13" customFormat="1">
      <c r="A253" s="1056" t="s">
        <v>1589</v>
      </c>
      <c r="B253" s="1057"/>
      <c r="C253" s="1058"/>
      <c r="D253" s="1059" t="str">
        <f>D158</f>
        <v>OCT.2024</v>
      </c>
      <c r="E253" s="1060"/>
      <c r="F253" s="241"/>
      <c r="G253" s="241"/>
      <c r="H253" s="241"/>
      <c r="I253" s="241"/>
      <c r="J253" s="241"/>
      <c r="K253" s="241"/>
      <c r="L253" s="386" t="s">
        <v>1495</v>
      </c>
      <c r="M253" s="736" t="e">
        <f t="shared" si="15"/>
        <v>#VALUE!</v>
      </c>
    </row>
    <row r="254" spans="1:13" customFormat="1" ht="25.5">
      <c r="A254" s="1238" t="s">
        <v>345</v>
      </c>
      <c r="B254" s="1240" t="s">
        <v>898</v>
      </c>
      <c r="C254" s="782" t="s">
        <v>1351</v>
      </c>
      <c r="D254" s="1237"/>
      <c r="E254" s="1237"/>
      <c r="F254" s="783" t="s">
        <v>1353</v>
      </c>
      <c r="G254" s="1238" t="s">
        <v>135</v>
      </c>
      <c r="H254" s="1237" t="s">
        <v>1590</v>
      </c>
      <c r="I254" s="784" t="s">
        <v>1591</v>
      </c>
      <c r="J254" s="1237" t="s">
        <v>1495</v>
      </c>
      <c r="K254" s="1237" t="s">
        <v>293</v>
      </c>
      <c r="L254" s="386"/>
      <c r="M254" s="736" t="e">
        <f t="shared" si="15"/>
        <v>#VALUE!</v>
      </c>
    </row>
    <row r="255" spans="1:13" customFormat="1">
      <c r="A255" s="241"/>
      <c r="B255" s="1240"/>
      <c r="C255" s="726"/>
      <c r="D255" s="331">
        <f>D160</f>
        <v>45535</v>
      </c>
      <c r="E255" s="331">
        <f>E160</f>
        <v>45565</v>
      </c>
      <c r="F255" s="783"/>
      <c r="G255" s="1238"/>
      <c r="H255" s="241"/>
      <c r="I255" s="241"/>
      <c r="J255" s="731"/>
      <c r="K255" s="241" t="s">
        <v>1592</v>
      </c>
      <c r="L255" s="386"/>
      <c r="M255" s="736" t="e">
        <f t="shared" si="15"/>
        <v>#DIV/0!</v>
      </c>
    </row>
    <row r="256" spans="1:13" customFormat="1">
      <c r="A256" s="241">
        <v>1</v>
      </c>
      <c r="B256" s="741" t="s">
        <v>1593</v>
      </c>
      <c r="C256" s="238"/>
      <c r="D256" s="247"/>
      <c r="E256" s="247"/>
      <c r="F256" s="247"/>
      <c r="G256" s="241"/>
      <c r="H256" s="244"/>
      <c r="I256" s="244"/>
      <c r="J256" s="244"/>
      <c r="K256" s="241"/>
      <c r="L256" s="735">
        <v>181199.999999997</v>
      </c>
      <c r="M256" s="736">
        <f t="shared" si="15"/>
        <v>0</v>
      </c>
    </row>
    <row r="257" spans="1:15" customFormat="1">
      <c r="A257" s="241">
        <v>1</v>
      </c>
      <c r="B257" s="734" t="s">
        <v>1594</v>
      </c>
      <c r="C257" s="238" t="s">
        <v>1595</v>
      </c>
      <c r="D257" s="247">
        <v>29570.3</v>
      </c>
      <c r="E257" s="247">
        <v>29571</v>
      </c>
      <c r="F257" s="247">
        <f>E257-D257</f>
        <v>0.7000000000007276</v>
      </c>
      <c r="G257" s="241">
        <v>4000</v>
      </c>
      <c r="H257" s="244">
        <f>(F257*G257)</f>
        <v>2800.0000000029104</v>
      </c>
      <c r="I257" s="244">
        <v>400000</v>
      </c>
      <c r="J257" s="244">
        <f>H257+I257</f>
        <v>402800.00000000291</v>
      </c>
      <c r="K257" s="241"/>
      <c r="L257" s="735">
        <v>766200.00000001199</v>
      </c>
      <c r="M257" s="736">
        <f t="shared" si="15"/>
        <v>0.52571130253197151</v>
      </c>
      <c r="N257" s="386"/>
      <c r="O257" s="386"/>
    </row>
    <row r="258" spans="1:15" customFormat="1">
      <c r="A258" s="241">
        <v>2</v>
      </c>
      <c r="B258" s="734" t="s">
        <v>1596</v>
      </c>
      <c r="C258" s="238" t="s">
        <v>1597</v>
      </c>
      <c r="D258" s="247">
        <v>128518.39999999999</v>
      </c>
      <c r="E258" s="247">
        <v>129116.7</v>
      </c>
      <c r="F258" s="247">
        <f>E258-D258</f>
        <v>598.30000000000291</v>
      </c>
      <c r="G258" s="241">
        <v>2000</v>
      </c>
      <c r="H258" s="244">
        <f>(F258*G258)</f>
        <v>1196600.0000000058</v>
      </c>
      <c r="I258" s="244"/>
      <c r="J258" s="244">
        <f>H258+I258</f>
        <v>1196600.0000000058</v>
      </c>
      <c r="K258" s="241"/>
      <c r="L258" s="735">
        <v>1001000</v>
      </c>
      <c r="M258" s="736">
        <f t="shared" si="15"/>
        <v>1.1954045954046013</v>
      </c>
      <c r="N258" s="386"/>
      <c r="O258" s="386"/>
    </row>
    <row r="259" spans="1:15" customFormat="1">
      <c r="A259" s="241">
        <v>2</v>
      </c>
      <c r="B259" s="734" t="s">
        <v>1598</v>
      </c>
      <c r="C259" s="238" t="s">
        <v>1599</v>
      </c>
      <c r="D259" s="247">
        <v>36021.800000000003</v>
      </c>
      <c r="E259" s="247">
        <v>36021.800000000003</v>
      </c>
      <c r="F259" s="247">
        <f>E259-D259</f>
        <v>0</v>
      </c>
      <c r="G259" s="241">
        <v>2000</v>
      </c>
      <c r="H259" s="244">
        <f>(F259*G259)</f>
        <v>0</v>
      </c>
      <c r="I259" s="244">
        <v>400000</v>
      </c>
      <c r="J259" s="244">
        <f>H259+I259</f>
        <v>400000</v>
      </c>
      <c r="K259" s="241"/>
      <c r="L259" s="735">
        <v>645199.99999999697</v>
      </c>
      <c r="M259" s="736">
        <f t="shared" si="15"/>
        <v>0.61996280223186895</v>
      </c>
      <c r="N259" s="386"/>
      <c r="O259" s="386"/>
    </row>
    <row r="260" spans="1:15" customFormat="1">
      <c r="A260" s="241"/>
      <c r="B260" s="734" t="s">
        <v>1600</v>
      </c>
      <c r="C260" s="238" t="s">
        <v>1595</v>
      </c>
      <c r="D260" s="247">
        <v>11826.4</v>
      </c>
      <c r="E260" s="247">
        <v>11836.5</v>
      </c>
      <c r="F260" s="247">
        <f>E260-D260</f>
        <v>10.100000000000364</v>
      </c>
      <c r="G260" s="241">
        <v>4000</v>
      </c>
      <c r="H260" s="244">
        <f>(F260*G260)</f>
        <v>40400.000000001455</v>
      </c>
      <c r="I260" s="244"/>
      <c r="J260" s="244">
        <f>H260+I260</f>
        <v>40400.000000001455</v>
      </c>
      <c r="K260" s="241"/>
      <c r="L260" s="735">
        <v>0</v>
      </c>
      <c r="M260" s="736" t="e">
        <f t="shared" si="15"/>
        <v>#DIV/0!</v>
      </c>
      <c r="N260" s="386"/>
      <c r="O260" s="386"/>
    </row>
    <row r="261" spans="1:15" customFormat="1">
      <c r="A261" s="241"/>
      <c r="B261" s="734" t="s">
        <v>1601</v>
      </c>
      <c r="C261" s="238" t="s">
        <v>1599</v>
      </c>
      <c r="D261" s="247">
        <v>19660.8</v>
      </c>
      <c r="E261" s="247">
        <v>19660.8</v>
      </c>
      <c r="F261" s="247">
        <f>E261-D261</f>
        <v>0</v>
      </c>
      <c r="G261" s="241">
        <v>2000</v>
      </c>
      <c r="H261" s="244">
        <f>(F261*G261)</f>
        <v>0</v>
      </c>
      <c r="I261" s="244"/>
      <c r="J261" s="244">
        <f>H261+I261</f>
        <v>0</v>
      </c>
      <c r="K261" s="241"/>
      <c r="L261" s="735">
        <v>1303200.00000001</v>
      </c>
      <c r="M261" s="736">
        <f t="shared" ref="M261:M324" si="19">J261/L261</f>
        <v>0</v>
      </c>
      <c r="N261" s="386"/>
      <c r="O261" s="386"/>
    </row>
    <row r="262" spans="1:15" customFormat="1">
      <c r="A262" s="241"/>
      <c r="B262" s="734" t="s">
        <v>1363</v>
      </c>
      <c r="C262" s="238"/>
      <c r="D262" s="247"/>
      <c r="E262" s="247"/>
      <c r="F262" s="247"/>
      <c r="G262" s="241"/>
      <c r="H262" s="244"/>
      <c r="I262" s="244"/>
      <c r="J262" s="244">
        <f>J257+I259+J258-J260</f>
        <v>1959000.0000000075</v>
      </c>
      <c r="K262" s="241"/>
      <c r="L262" s="735"/>
      <c r="M262" s="736" t="e">
        <f t="shared" si="19"/>
        <v>#DIV/0!</v>
      </c>
      <c r="N262" s="386"/>
      <c r="O262" s="386"/>
    </row>
    <row r="263" spans="1:15" customFormat="1">
      <c r="A263" s="241"/>
      <c r="B263" s="737" t="s">
        <v>1522</v>
      </c>
      <c r="C263" s="238"/>
      <c r="D263" s="247"/>
      <c r="E263" s="247"/>
      <c r="F263" s="247"/>
      <c r="G263" s="241"/>
      <c r="H263" s="244"/>
      <c r="I263" s="244"/>
      <c r="J263" s="244"/>
      <c r="K263" s="241"/>
      <c r="L263" s="735">
        <v>570600.00000000605</v>
      </c>
      <c r="M263" s="736">
        <f t="shared" si="19"/>
        <v>0</v>
      </c>
      <c r="N263" s="386"/>
      <c r="O263" s="386"/>
    </row>
    <row r="264" spans="1:15" customFormat="1">
      <c r="A264" s="241">
        <v>1</v>
      </c>
      <c r="B264" s="734" t="s">
        <v>1602</v>
      </c>
      <c r="C264" s="238" t="s">
        <v>1603</v>
      </c>
      <c r="D264" s="247">
        <v>83929.8</v>
      </c>
      <c r="E264" s="247">
        <v>84364.7</v>
      </c>
      <c r="F264" s="247">
        <f>E264-D264</f>
        <v>434.89999999999418</v>
      </c>
      <c r="G264" s="241">
        <v>2000</v>
      </c>
      <c r="H264" s="244">
        <f>(F264*G264)</f>
        <v>869799.99999998836</v>
      </c>
      <c r="I264" s="244"/>
      <c r="J264" s="244">
        <f>H264+I264</f>
        <v>869799.99999998836</v>
      </c>
      <c r="K264" s="241"/>
      <c r="L264" s="735">
        <v>184240</v>
      </c>
      <c r="M264" s="736">
        <f t="shared" si="19"/>
        <v>4.7210160660008054</v>
      </c>
      <c r="N264" s="386" t="s">
        <v>1604</v>
      </c>
      <c r="O264" s="386">
        <v>521220.7</v>
      </c>
    </row>
    <row r="265" spans="1:15" customFormat="1">
      <c r="A265" s="241">
        <v>2</v>
      </c>
      <c r="B265" s="734" t="s">
        <v>1605</v>
      </c>
      <c r="C265" s="238" t="s">
        <v>1606</v>
      </c>
      <c r="D265" s="247">
        <v>21795.7</v>
      </c>
      <c r="E265" s="247">
        <v>23352.3</v>
      </c>
      <c r="F265" s="247">
        <f>E265-D265</f>
        <v>1556.5999999999985</v>
      </c>
      <c r="G265" s="241">
        <v>200</v>
      </c>
      <c r="H265" s="244">
        <f>(F265*G265)</f>
        <v>311319.99999999971</v>
      </c>
      <c r="I265" s="244"/>
      <c r="J265" s="244">
        <f>H265+I265</f>
        <v>311319.99999999971</v>
      </c>
      <c r="K265" s="241"/>
      <c r="L265" s="735">
        <v>288270.00000000198</v>
      </c>
      <c r="M265" s="736">
        <f t="shared" si="19"/>
        <v>1.0799597599472632</v>
      </c>
      <c r="N265" s="386" t="s">
        <v>1607</v>
      </c>
      <c r="O265" s="386">
        <v>187620.13</v>
      </c>
    </row>
    <row r="266" spans="1:15" customFormat="1">
      <c r="A266" s="161">
        <v>3</v>
      </c>
      <c r="B266" s="734" t="s">
        <v>169</v>
      </c>
      <c r="C266" s="238" t="s">
        <v>1608</v>
      </c>
      <c r="D266" s="247">
        <v>16413.400000000001</v>
      </c>
      <c r="E266" s="247">
        <v>16533.2</v>
      </c>
      <c r="F266" s="247">
        <f>E266-D266</f>
        <v>119.79999999999927</v>
      </c>
      <c r="G266" s="241">
        <v>2000</v>
      </c>
      <c r="H266" s="244">
        <f>(F266*G266)</f>
        <v>239599.99999999854</v>
      </c>
      <c r="I266" s="244">
        <v>123820.40660000144</v>
      </c>
      <c r="J266" s="244">
        <f>H266+I266</f>
        <v>363420.40659999999</v>
      </c>
      <c r="K266" s="241"/>
      <c r="L266" s="735">
        <v>255298.82759999999</v>
      </c>
      <c r="M266" s="736">
        <f t="shared" si="19"/>
        <v>1.4235098923736695</v>
      </c>
      <c r="N266" s="386" t="s">
        <v>1609</v>
      </c>
      <c r="O266" s="386">
        <v>269009.77</v>
      </c>
    </row>
    <row r="267" spans="1:15" customFormat="1">
      <c r="A267" s="241">
        <v>4</v>
      </c>
      <c r="B267" s="734" t="s">
        <v>1610</v>
      </c>
      <c r="C267" s="238" t="s">
        <v>1611</v>
      </c>
      <c r="D267" s="247">
        <v>36552.1</v>
      </c>
      <c r="E267" s="247">
        <v>36552.1</v>
      </c>
      <c r="F267" s="247">
        <f>E267-D267</f>
        <v>0</v>
      </c>
      <c r="G267" s="241">
        <v>2000</v>
      </c>
      <c r="H267" s="244">
        <f>(F267*G267)</f>
        <v>0</v>
      </c>
      <c r="I267" s="244">
        <v>384480.47129999998</v>
      </c>
      <c r="J267" s="244">
        <f>H267+I267</f>
        <v>384480.47129999998</v>
      </c>
      <c r="K267" s="241"/>
      <c r="L267" s="735">
        <v>1298408.82760001</v>
      </c>
      <c r="M267" s="736">
        <f t="shared" si="19"/>
        <v>0.2961166491841225</v>
      </c>
      <c r="N267" s="386" t="s">
        <v>1612</v>
      </c>
      <c r="O267" s="386">
        <v>179100.59</v>
      </c>
    </row>
    <row r="268" spans="1:15" customFormat="1">
      <c r="A268" s="241"/>
      <c r="B268" s="439"/>
      <c r="C268" s="238"/>
      <c r="D268" s="247"/>
      <c r="E268" s="247"/>
      <c r="F268" s="247"/>
      <c r="G268" s="241"/>
      <c r="H268" s="244"/>
      <c r="I268" s="244"/>
      <c r="J268" s="349">
        <f>SUM(J264:J267)</f>
        <v>1929020.8778999881</v>
      </c>
      <c r="K268" s="743">
        <f>(J262-J268)/J262</f>
        <v>1.5303278254221158E-2</v>
      </c>
      <c r="L268" s="785">
        <f>2603961-J268</f>
        <v>674940.12210001191</v>
      </c>
      <c r="M268" s="736">
        <f t="shared" si="19"/>
        <v>2.8580622409852054</v>
      </c>
      <c r="N268" s="386"/>
      <c r="O268" s="386"/>
    </row>
    <row r="269" spans="1:15" customFormat="1">
      <c r="A269" s="1239">
        <v>2</v>
      </c>
      <c r="B269" s="741" t="s">
        <v>1613</v>
      </c>
      <c r="C269" s="238"/>
      <c r="D269" s="247"/>
      <c r="E269" s="247"/>
      <c r="F269" s="247"/>
      <c r="G269" s="241"/>
      <c r="H269" s="244"/>
      <c r="I269" s="244"/>
      <c r="J269" s="244"/>
      <c r="K269" s="743"/>
      <c r="L269" s="735"/>
      <c r="M269" s="736" t="e">
        <f t="shared" si="19"/>
        <v>#DIV/0!</v>
      </c>
      <c r="N269" s="386"/>
      <c r="O269" s="386"/>
    </row>
    <row r="270" spans="1:15" customFormat="1">
      <c r="A270" s="241"/>
      <c r="B270" s="238"/>
      <c r="C270" s="238"/>
      <c r="D270" s="247"/>
      <c r="E270" s="247"/>
      <c r="F270" s="247"/>
      <c r="G270" s="241"/>
      <c r="H270" s="244"/>
      <c r="I270" s="244"/>
      <c r="J270" s="244"/>
      <c r="K270" s="743"/>
      <c r="L270" s="735">
        <v>792800.00000001804</v>
      </c>
      <c r="M270" s="736">
        <f t="shared" si="19"/>
        <v>0</v>
      </c>
      <c r="N270" s="386"/>
      <c r="O270" s="386"/>
    </row>
    <row r="271" spans="1:15" customFormat="1">
      <c r="A271" s="161">
        <v>1</v>
      </c>
      <c r="B271" s="238" t="s">
        <v>1614</v>
      </c>
      <c r="C271" s="241" t="s">
        <v>1615</v>
      </c>
      <c r="D271" s="247">
        <v>208805.8</v>
      </c>
      <c r="E271" s="247">
        <v>210621.6</v>
      </c>
      <c r="F271" s="247">
        <f>E271-D271</f>
        <v>1815.8000000000175</v>
      </c>
      <c r="G271" s="241">
        <v>1000</v>
      </c>
      <c r="H271" s="244">
        <f>(F271*G271)</f>
        <v>1815800.0000000175</v>
      </c>
      <c r="I271" s="244"/>
      <c r="J271" s="244">
        <f>SUM(H271:I271)</f>
        <v>1815800.0000000175</v>
      </c>
      <c r="K271" s="743"/>
      <c r="L271" s="735">
        <v>1078380</v>
      </c>
      <c r="M271" s="736">
        <f t="shared" si="19"/>
        <v>1.683822029340323</v>
      </c>
      <c r="N271" s="386"/>
      <c r="O271" s="386"/>
    </row>
    <row r="272" spans="1:15" customFormat="1">
      <c r="A272" s="241"/>
      <c r="B272" s="238" t="s">
        <v>1616</v>
      </c>
      <c r="C272" s="241" t="s">
        <v>1617</v>
      </c>
      <c r="D272" s="247">
        <v>549997</v>
      </c>
      <c r="E272" s="247">
        <v>558929</v>
      </c>
      <c r="F272" s="247">
        <f>E272-D272</f>
        <v>8932</v>
      </c>
      <c r="G272" s="241">
        <v>120</v>
      </c>
      <c r="H272" s="244">
        <f>(F272*G272)</f>
        <v>1071840</v>
      </c>
      <c r="I272" s="244"/>
      <c r="J272" s="244">
        <f>H272+I272</f>
        <v>1071840</v>
      </c>
      <c r="K272" s="241"/>
      <c r="L272" s="735">
        <v>1871180.00000002</v>
      </c>
      <c r="M272" s="736">
        <f t="shared" si="19"/>
        <v>0.57281501512414013</v>
      </c>
      <c r="N272" s="386"/>
      <c r="O272" s="386"/>
    </row>
    <row r="273" spans="1:17" customFormat="1">
      <c r="A273" s="241"/>
      <c r="B273" s="734" t="s">
        <v>1363</v>
      </c>
      <c r="C273" s="241"/>
      <c r="D273" s="247"/>
      <c r="E273" s="247"/>
      <c r="F273" s="247"/>
      <c r="G273" s="241"/>
      <c r="H273" s="244"/>
      <c r="I273" s="244"/>
      <c r="J273" s="244">
        <f>SUM(J271:J272)</f>
        <v>2887640.0000000177</v>
      </c>
      <c r="K273" s="241"/>
      <c r="L273" s="735"/>
      <c r="M273" s="736" t="e">
        <f t="shared" si="19"/>
        <v>#DIV/0!</v>
      </c>
      <c r="N273" s="386"/>
      <c r="O273" s="386"/>
      <c r="P273" s="386"/>
      <c r="Q273" s="386"/>
    </row>
    <row r="274" spans="1:17" customFormat="1">
      <c r="A274" s="241"/>
      <c r="B274" s="238" t="s">
        <v>1618</v>
      </c>
      <c r="C274" s="241"/>
      <c r="D274" s="247"/>
      <c r="E274" s="247"/>
      <c r="F274" s="247"/>
      <c r="G274" s="241"/>
      <c r="H274" s="244"/>
      <c r="I274" s="244"/>
      <c r="J274" s="244"/>
      <c r="K274" s="241"/>
      <c r="L274" s="735">
        <v>804420</v>
      </c>
      <c r="M274" s="736">
        <f t="shared" si="19"/>
        <v>0</v>
      </c>
      <c r="N274" s="386"/>
      <c r="O274" s="386"/>
      <c r="P274" s="386"/>
      <c r="Q274" s="386"/>
    </row>
    <row r="275" spans="1:17" customFormat="1">
      <c r="A275" s="241">
        <v>5</v>
      </c>
      <c r="B275" s="748" t="s">
        <v>1619</v>
      </c>
      <c r="C275" s="241" t="s">
        <v>1620</v>
      </c>
      <c r="D275" s="247">
        <v>1030782</v>
      </c>
      <c r="E275" s="247">
        <v>1048568.5</v>
      </c>
      <c r="F275" s="247">
        <f>E275-D275</f>
        <v>17786.5</v>
      </c>
      <c r="G275" s="241">
        <v>60</v>
      </c>
      <c r="H275" s="244">
        <f>(F275*G275)</f>
        <v>1067190</v>
      </c>
      <c r="I275" s="244"/>
      <c r="J275" s="244">
        <f>H275+I275</f>
        <v>1067190</v>
      </c>
      <c r="K275" s="786"/>
      <c r="L275" s="735">
        <v>512040</v>
      </c>
      <c r="M275" s="736">
        <f t="shared" si="19"/>
        <v>2.0841926411999063</v>
      </c>
      <c r="N275" s="386" t="s">
        <v>1621</v>
      </c>
      <c r="O275" s="386"/>
      <c r="P275" s="386">
        <v>27020.02</v>
      </c>
      <c r="Q275" s="386"/>
    </row>
    <row r="276" spans="1:17" customFormat="1">
      <c r="A276" s="241">
        <v>6</v>
      </c>
      <c r="B276" s="734" t="s">
        <v>1622</v>
      </c>
      <c r="C276" s="241" t="s">
        <v>1623</v>
      </c>
      <c r="D276" s="247">
        <v>482553</v>
      </c>
      <c r="E276" s="247">
        <v>496161</v>
      </c>
      <c r="F276" s="247">
        <f>E276-D276</f>
        <v>13608</v>
      </c>
      <c r="G276" s="241">
        <v>30</v>
      </c>
      <c r="H276" s="244">
        <f>(F276*G276)</f>
        <v>408240</v>
      </c>
      <c r="I276" s="244"/>
      <c r="J276" s="244">
        <f>H276+I276</f>
        <v>408240</v>
      </c>
      <c r="K276" s="241"/>
      <c r="L276" s="735">
        <v>27466.5979999999</v>
      </c>
      <c r="M276" s="736">
        <f t="shared" si="19"/>
        <v>14.863143953976444</v>
      </c>
      <c r="N276" s="386" t="s">
        <v>1624</v>
      </c>
      <c r="O276" s="386"/>
      <c r="P276" s="386">
        <v>229439.94</v>
      </c>
      <c r="Q276" s="386"/>
    </row>
    <row r="277" spans="1:17" customFormat="1">
      <c r="A277" s="241">
        <v>7</v>
      </c>
      <c r="B277" s="238" t="s">
        <v>1625</v>
      </c>
      <c r="C277" s="241" t="s">
        <v>1626</v>
      </c>
      <c r="D277" s="247">
        <v>4080.8</v>
      </c>
      <c r="E277" s="247">
        <v>4106</v>
      </c>
      <c r="F277" s="247">
        <f>E277-D277</f>
        <v>25.199999999999818</v>
      </c>
      <c r="G277" s="241">
        <v>1333.33</v>
      </c>
      <c r="H277" s="244">
        <f>(F277*G277)</f>
        <v>33599.915999999757</v>
      </c>
      <c r="I277" s="244">
        <v>12000</v>
      </c>
      <c r="J277" s="244">
        <f>H277+I277</f>
        <v>45599.915999999757</v>
      </c>
      <c r="K277" s="786"/>
      <c r="L277" s="735">
        <v>518760</v>
      </c>
      <c r="M277" s="736">
        <f t="shared" si="19"/>
        <v>8.7901758038398795E-2</v>
      </c>
      <c r="N277" s="386" t="s">
        <v>1627</v>
      </c>
      <c r="O277" s="386"/>
      <c r="P277" s="386">
        <v>461722.66</v>
      </c>
      <c r="Q277" s="386"/>
    </row>
    <row r="278" spans="1:17" customFormat="1" ht="14.45" customHeight="1">
      <c r="A278" s="241"/>
      <c r="B278" s="238" t="s">
        <v>989</v>
      </c>
      <c r="C278" s="241" t="s">
        <v>1628</v>
      </c>
      <c r="D278" s="247">
        <v>7443.38</v>
      </c>
      <c r="E278" s="247">
        <v>7670.03</v>
      </c>
      <c r="F278" s="247">
        <f>E278-D278</f>
        <v>226.64999999999964</v>
      </c>
      <c r="G278" s="241">
        <v>6000</v>
      </c>
      <c r="H278" s="244">
        <f>(F278*G278)</f>
        <v>1359899.9999999979</v>
      </c>
      <c r="I278" s="244"/>
      <c r="J278" s="244">
        <f>H278+I278</f>
        <v>1359899.9999999979</v>
      </c>
      <c r="K278" s="241"/>
      <c r="L278" s="735">
        <v>1862686.598</v>
      </c>
      <c r="M278" s="736">
        <f t="shared" si="19"/>
        <v>0.73007450714475908</v>
      </c>
      <c r="N278" s="386" t="s">
        <v>1629</v>
      </c>
      <c r="O278" s="386"/>
      <c r="P278" s="386">
        <v>548279.29</v>
      </c>
      <c r="Q278" s="386"/>
    </row>
    <row r="279" spans="1:17" customFormat="1">
      <c r="A279" s="241"/>
      <c r="B279" s="238"/>
      <c r="C279" s="238"/>
      <c r="D279" s="247"/>
      <c r="E279" s="247"/>
      <c r="F279" s="247"/>
      <c r="G279" s="241"/>
      <c r="H279" s="244"/>
      <c r="I279" s="244"/>
      <c r="J279" s="349">
        <f>SUM(J275:J278)</f>
        <v>2880929.9159999974</v>
      </c>
      <c r="K279" s="743">
        <f>(J273-J279)/J273</f>
        <v>2.3237259492250579E-3</v>
      </c>
      <c r="L279" s="735"/>
      <c r="M279" s="736" t="e">
        <f t="shared" si="19"/>
        <v>#DIV/0!</v>
      </c>
      <c r="N279" s="386"/>
      <c r="O279" s="386"/>
      <c r="P279" s="386"/>
      <c r="Q279" s="386"/>
    </row>
    <row r="280" spans="1:17" customFormat="1">
      <c r="A280" s="1239">
        <v>3</v>
      </c>
      <c r="B280" s="741" t="s">
        <v>1630</v>
      </c>
      <c r="C280" s="238"/>
      <c r="D280" s="247"/>
      <c r="E280" s="247"/>
      <c r="F280" s="247"/>
      <c r="G280" s="241"/>
      <c r="H280" s="244"/>
      <c r="I280" s="244"/>
      <c r="J280" s="244"/>
      <c r="K280" s="244"/>
      <c r="L280" s="735">
        <v>479700</v>
      </c>
      <c r="M280" s="736">
        <f t="shared" si="19"/>
        <v>0</v>
      </c>
      <c r="N280" s="386"/>
      <c r="O280" s="386"/>
      <c r="P280" s="386"/>
      <c r="Q280" s="386"/>
    </row>
    <row r="281" spans="1:17" customFormat="1">
      <c r="A281" s="241">
        <v>1</v>
      </c>
      <c r="B281" s="734" t="s">
        <v>1631</v>
      </c>
      <c r="C281" s="1238" t="s">
        <v>1632</v>
      </c>
      <c r="D281" s="247">
        <v>211736.5</v>
      </c>
      <c r="E281" s="247">
        <v>218742.5</v>
      </c>
      <c r="F281" s="247">
        <f>E281-D281</f>
        <v>7006</v>
      </c>
      <c r="G281" s="241">
        <v>120</v>
      </c>
      <c r="H281" s="244">
        <f>(F281*G281)</f>
        <v>840720</v>
      </c>
      <c r="I281" s="244"/>
      <c r="J281" s="244">
        <f>H281+I281</f>
        <v>840720</v>
      </c>
      <c r="K281" s="241"/>
      <c r="L281" s="735">
        <v>975900</v>
      </c>
      <c r="M281" s="736">
        <f t="shared" si="19"/>
        <v>0.86148170919151557</v>
      </c>
      <c r="N281" s="386"/>
      <c r="O281" s="386"/>
      <c r="P281" s="386"/>
      <c r="Q281" s="386"/>
    </row>
    <row r="282" spans="1:17" customFormat="1">
      <c r="A282" s="241">
        <v>2</v>
      </c>
      <c r="B282" s="734" t="s">
        <v>1633</v>
      </c>
      <c r="C282" s="238" t="s">
        <v>1634</v>
      </c>
      <c r="D282" s="247">
        <v>47129</v>
      </c>
      <c r="E282" s="247">
        <v>49600</v>
      </c>
      <c r="F282" s="247">
        <f>E282-D282</f>
        <v>2471</v>
      </c>
      <c r="G282" s="241">
        <v>600</v>
      </c>
      <c r="H282" s="244">
        <f>(F282*G282)</f>
        <v>1482600</v>
      </c>
      <c r="I282" s="244"/>
      <c r="J282" s="244">
        <f>H282+I282</f>
        <v>1482600</v>
      </c>
      <c r="K282" s="241"/>
      <c r="L282" s="735">
        <v>768060</v>
      </c>
      <c r="M282" s="736">
        <f t="shared" si="19"/>
        <v>1.9303179439106319</v>
      </c>
      <c r="N282" s="386"/>
      <c r="O282" s="386"/>
      <c r="P282" s="386"/>
      <c r="Q282" s="386">
        <f>40*33*0.98*30*1.732</f>
        <v>67215.456000000006</v>
      </c>
    </row>
    <row r="283" spans="1:17" customFormat="1">
      <c r="A283" s="161">
        <v>3</v>
      </c>
      <c r="B283" s="734" t="s">
        <v>1635</v>
      </c>
      <c r="C283" s="734" t="s">
        <v>1636</v>
      </c>
      <c r="D283" s="247">
        <v>423357</v>
      </c>
      <c r="E283" s="247">
        <v>427238.5</v>
      </c>
      <c r="F283" s="247">
        <f>E283-D283</f>
        <v>3881.5</v>
      </c>
      <c r="G283" s="241">
        <v>120</v>
      </c>
      <c r="H283" s="244">
        <f>(F283*G283)</f>
        <v>465780</v>
      </c>
      <c r="I283" s="244"/>
      <c r="J283" s="749">
        <f>H283+I283</f>
        <v>465780</v>
      </c>
      <c r="K283" s="161"/>
      <c r="L283" s="735">
        <v>2471600</v>
      </c>
      <c r="M283" s="736">
        <f t="shared" si="19"/>
        <v>0.18845282408156661</v>
      </c>
      <c r="N283" s="386"/>
      <c r="O283" s="386"/>
      <c r="P283" s="386"/>
      <c r="Q283" s="386">
        <f>Q282/1000</f>
        <v>67.215456000000003</v>
      </c>
    </row>
    <row r="284" spans="1:17" customFormat="1">
      <c r="A284" s="241"/>
      <c r="B284" s="751" t="s">
        <v>1598</v>
      </c>
      <c r="C284" s="752" t="s">
        <v>1637</v>
      </c>
      <c r="D284" s="247">
        <v>222.1</v>
      </c>
      <c r="E284" s="247">
        <v>222.1</v>
      </c>
      <c r="F284" s="247">
        <f>E284-D284</f>
        <v>0</v>
      </c>
      <c r="G284" s="241">
        <v>20000</v>
      </c>
      <c r="H284" s="244">
        <f>(F284*G284)</f>
        <v>0</v>
      </c>
      <c r="I284" s="244">
        <v>3008000</v>
      </c>
      <c r="J284" s="749">
        <f>H284+I284</f>
        <v>3008000</v>
      </c>
      <c r="K284" s="241"/>
      <c r="L284" s="735">
        <v>3159140</v>
      </c>
      <c r="M284" s="736">
        <f t="shared" si="19"/>
        <v>0.95215786574827321</v>
      </c>
      <c r="N284" s="386"/>
      <c r="O284" s="386"/>
      <c r="P284" s="386"/>
      <c r="Q284" s="386"/>
    </row>
    <row r="285" spans="1:17" customFormat="1">
      <c r="A285" s="241"/>
      <c r="B285" s="734" t="s">
        <v>1364</v>
      </c>
      <c r="C285" s="238"/>
      <c r="D285" s="247"/>
      <c r="E285" s="247"/>
      <c r="F285" s="247"/>
      <c r="G285" s="241"/>
      <c r="H285" s="244"/>
      <c r="I285" s="244"/>
      <c r="J285" s="349">
        <f>(J282+J281+J284)-J283</f>
        <v>4865540</v>
      </c>
      <c r="K285" s="244"/>
      <c r="L285" s="735">
        <v>193860</v>
      </c>
      <c r="M285" s="736">
        <f t="shared" si="19"/>
        <v>25.098215206850305</v>
      </c>
      <c r="N285" s="386"/>
      <c r="O285" s="386"/>
      <c r="P285" s="386"/>
      <c r="Q285" s="386"/>
    </row>
    <row r="286" spans="1:17" customFormat="1">
      <c r="A286" s="241">
        <v>9</v>
      </c>
      <c r="B286" s="734" t="s">
        <v>162</v>
      </c>
      <c r="C286" s="1238" t="s">
        <v>1638</v>
      </c>
      <c r="D286" s="247">
        <v>2007.48</v>
      </c>
      <c r="E286" s="247">
        <v>2131.5300000000002</v>
      </c>
      <c r="F286" s="247">
        <f t="shared" ref="F286:F292" si="20">E286-D286</f>
        <v>124.05000000000018</v>
      </c>
      <c r="G286" s="241">
        <v>6000</v>
      </c>
      <c r="H286" s="244">
        <f t="shared" ref="H286:H292" si="21">(F286*G286)</f>
        <v>744300.00000000105</v>
      </c>
      <c r="I286" s="244"/>
      <c r="J286" s="244">
        <f>H286+I286</f>
        <v>744300.00000000105</v>
      </c>
      <c r="K286" s="241"/>
      <c r="L286" s="735">
        <v>1037400</v>
      </c>
      <c r="M286" s="736">
        <f t="shared" si="19"/>
        <v>0.71746674378253428</v>
      </c>
      <c r="N286" s="386"/>
      <c r="O286" s="386"/>
      <c r="P286" s="386"/>
      <c r="Q286" s="386"/>
    </row>
    <row r="287" spans="1:17" customFormat="1">
      <c r="A287" s="241">
        <v>10</v>
      </c>
      <c r="B287" s="734" t="s">
        <v>1639</v>
      </c>
      <c r="C287" s="238" t="s">
        <v>1640</v>
      </c>
      <c r="D287" s="247">
        <v>7277.7</v>
      </c>
      <c r="E287" s="247">
        <v>8101.7</v>
      </c>
      <c r="F287" s="247">
        <f t="shared" si="20"/>
        <v>824</v>
      </c>
      <c r="G287" s="241">
        <v>2000</v>
      </c>
      <c r="H287" s="244">
        <f t="shared" si="21"/>
        <v>1648000</v>
      </c>
      <c r="I287" s="244"/>
      <c r="J287" s="244">
        <f>H287+I287</f>
        <v>1648000</v>
      </c>
      <c r="K287" s="787"/>
      <c r="L287" s="735">
        <v>477200.00000001199</v>
      </c>
      <c r="M287" s="736">
        <f t="shared" si="19"/>
        <v>3.4534786253142467</v>
      </c>
      <c r="N287" s="386">
        <f>N288*H289</f>
        <v>5802599.9999999963</v>
      </c>
      <c r="O287" s="386"/>
      <c r="P287" s="386"/>
      <c r="Q287" s="386"/>
    </row>
    <row r="288" spans="1:17" customFormat="1">
      <c r="A288" s="241">
        <v>11</v>
      </c>
      <c r="B288" s="734" t="s">
        <v>1641</v>
      </c>
      <c r="C288" s="238" t="s">
        <v>1642</v>
      </c>
      <c r="D288" s="247">
        <v>102706.3</v>
      </c>
      <c r="E288" s="247">
        <v>102706.3</v>
      </c>
      <c r="F288" s="247">
        <f t="shared" si="20"/>
        <v>0</v>
      </c>
      <c r="G288" s="241">
        <v>2000</v>
      </c>
      <c r="H288" s="244">
        <f t="shared" si="21"/>
        <v>0</v>
      </c>
      <c r="I288" s="244"/>
      <c r="J288" s="244">
        <f>H288+I288</f>
        <v>0</v>
      </c>
      <c r="K288" s="241"/>
      <c r="L288" s="735">
        <v>296960</v>
      </c>
      <c r="M288" s="736">
        <f t="shared" si="19"/>
        <v>0</v>
      </c>
      <c r="N288" s="386">
        <f>82852.3-82844.8</f>
        <v>7.5</v>
      </c>
      <c r="O288" s="386"/>
      <c r="P288" s="386"/>
      <c r="Q288" s="386"/>
    </row>
    <row r="289" spans="1:15" customFormat="1">
      <c r="A289" s="788">
        <v>12</v>
      </c>
      <c r="B289" s="789" t="s">
        <v>979</v>
      </c>
      <c r="C289" s="790" t="s">
        <v>1643</v>
      </c>
      <c r="D289" s="791">
        <v>25248.2</v>
      </c>
      <c r="E289" s="791">
        <v>29116.6</v>
      </c>
      <c r="F289" s="791">
        <f t="shared" si="20"/>
        <v>3868.3999999999978</v>
      </c>
      <c r="G289" s="788">
        <v>200</v>
      </c>
      <c r="H289" s="792">
        <f t="shared" si="21"/>
        <v>773679.99999999953</v>
      </c>
      <c r="I289" s="792"/>
      <c r="J289" s="792">
        <f>H289+I289</f>
        <v>773679.99999999953</v>
      </c>
      <c r="K289" s="788"/>
      <c r="L289" s="735">
        <v>82399.999999994194</v>
      </c>
      <c r="M289" s="736">
        <f t="shared" si="19"/>
        <v>9.3893203883501712</v>
      </c>
      <c r="N289" s="386">
        <f>L288*M287</f>
        <v>1025545.0125733187</v>
      </c>
      <c r="O289" s="386" t="s">
        <v>1643</v>
      </c>
    </row>
    <row r="290" spans="1:15" customFormat="1">
      <c r="A290" s="241">
        <v>13</v>
      </c>
      <c r="B290" s="734" t="s">
        <v>1644</v>
      </c>
      <c r="C290" s="238" t="s">
        <v>1645</v>
      </c>
      <c r="D290" s="247">
        <v>45819.3</v>
      </c>
      <c r="E290" s="247">
        <v>46010.5</v>
      </c>
      <c r="F290" s="247">
        <f t="shared" si="20"/>
        <v>191.19999999999709</v>
      </c>
      <c r="G290" s="241">
        <v>2000</v>
      </c>
      <c r="H290" s="244">
        <f t="shared" si="21"/>
        <v>382399.99999999418</v>
      </c>
      <c r="I290" s="244"/>
      <c r="J290" s="244">
        <f>H290+I290</f>
        <v>382399.99999999418</v>
      </c>
      <c r="K290" s="241"/>
      <c r="L290" s="735">
        <v>596200.00000001199</v>
      </c>
      <c r="M290" s="736">
        <f t="shared" si="19"/>
        <v>0.64139550486411689</v>
      </c>
      <c r="N290" s="386">
        <f>4000/30</f>
        <v>133.33333333333334</v>
      </c>
      <c r="O290" s="386"/>
    </row>
    <row r="291" spans="1:15" customFormat="1">
      <c r="A291" s="241">
        <v>14</v>
      </c>
      <c r="B291" s="734" t="s">
        <v>1323</v>
      </c>
      <c r="C291" s="238" t="s">
        <v>1646</v>
      </c>
      <c r="D291" s="247">
        <v>112256.8</v>
      </c>
      <c r="E291" s="247">
        <v>112740</v>
      </c>
      <c r="F291" s="247">
        <f t="shared" si="20"/>
        <v>483.19999999999709</v>
      </c>
      <c r="G291" s="241">
        <v>2000</v>
      </c>
      <c r="H291" s="244">
        <f t="shared" si="21"/>
        <v>966399.99999999418</v>
      </c>
      <c r="I291" s="244"/>
      <c r="J291" s="244">
        <f>SUM(H291:I291)</f>
        <v>966399.99999999418</v>
      </c>
      <c r="K291" s="743"/>
      <c r="L291" s="735">
        <v>416000</v>
      </c>
      <c r="M291" s="736">
        <f t="shared" si="19"/>
        <v>2.3230769230769091</v>
      </c>
      <c r="N291" s="386"/>
      <c r="O291" s="386">
        <v>7500</v>
      </c>
    </row>
    <row r="292" spans="1:15" customFormat="1">
      <c r="A292" s="241">
        <v>15</v>
      </c>
      <c r="B292" s="734" t="s">
        <v>1647</v>
      </c>
      <c r="C292" s="238" t="s">
        <v>1648</v>
      </c>
      <c r="D292" s="247">
        <v>26377.5</v>
      </c>
      <c r="E292" s="247">
        <v>26425.200000000001</v>
      </c>
      <c r="F292" s="247">
        <f t="shared" si="20"/>
        <v>47.700000000000728</v>
      </c>
      <c r="G292" s="241">
        <v>2000</v>
      </c>
      <c r="H292" s="244">
        <f t="shared" si="21"/>
        <v>95400.000000001455</v>
      </c>
      <c r="I292" s="244">
        <v>229841.21189999854</v>
      </c>
      <c r="J292" s="244">
        <f>H292+I292</f>
        <v>325241.21189999999</v>
      </c>
      <c r="K292" s="241"/>
      <c r="L292" s="735">
        <v>3100020.00000002</v>
      </c>
      <c r="M292" s="736">
        <f t="shared" si="19"/>
        <v>0.10491584309133421</v>
      </c>
      <c r="N292" s="386">
        <v>189799.80059999999</v>
      </c>
      <c r="O292" s="765">
        <f>N292-J292</f>
        <v>-135441.41130000001</v>
      </c>
    </row>
    <row r="293" spans="1:15" customFormat="1">
      <c r="A293" s="241"/>
      <c r="B293" s="238"/>
      <c r="C293" s="238"/>
      <c r="D293" s="247"/>
      <c r="E293" s="247"/>
      <c r="F293" s="247"/>
      <c r="G293" s="241"/>
      <c r="H293" s="244"/>
      <c r="I293" s="244"/>
      <c r="J293" s="349">
        <f>SUM(J286:J292)</f>
        <v>4840021.2118999884</v>
      </c>
      <c r="K293" s="743">
        <f>(J285-J293)/J285</f>
        <v>5.2448008032020387E-3</v>
      </c>
      <c r="L293" s="735"/>
      <c r="M293" s="736" t="e">
        <f t="shared" si="19"/>
        <v>#DIV/0!</v>
      </c>
      <c r="N293" s="386"/>
      <c r="O293" s="386"/>
    </row>
    <row r="294" spans="1:15" customFormat="1">
      <c r="A294" s="1239">
        <v>4</v>
      </c>
      <c r="B294" s="741" t="s">
        <v>1649</v>
      </c>
      <c r="C294" s="238"/>
      <c r="D294" s="247"/>
      <c r="E294" s="247"/>
      <c r="F294" s="247"/>
      <c r="G294" s="241"/>
      <c r="H294" s="244"/>
      <c r="I294" s="244"/>
      <c r="J294" s="244"/>
      <c r="K294" s="241"/>
      <c r="L294" s="735">
        <v>2290000</v>
      </c>
      <c r="M294" s="736">
        <f t="shared" si="19"/>
        <v>0</v>
      </c>
      <c r="N294" s="386"/>
      <c r="O294" s="386"/>
    </row>
    <row r="295" spans="1:15" customFormat="1">
      <c r="A295" s="241">
        <v>1</v>
      </c>
      <c r="B295" s="734" t="s">
        <v>1631</v>
      </c>
      <c r="C295" s="238" t="s">
        <v>1650</v>
      </c>
      <c r="D295" s="247">
        <v>273455.2</v>
      </c>
      <c r="E295" s="247">
        <v>273455.2</v>
      </c>
      <c r="F295" s="247">
        <f>E295-D295</f>
        <v>0</v>
      </c>
      <c r="G295" s="241">
        <v>1000</v>
      </c>
      <c r="H295" s="244">
        <f>(F295*G295)</f>
        <v>0</v>
      </c>
      <c r="I295" s="244">
        <v>3624000</v>
      </c>
      <c r="J295" s="244">
        <f>H295+I295</f>
        <v>3624000</v>
      </c>
      <c r="K295" s="241"/>
      <c r="L295" s="735">
        <v>2290000</v>
      </c>
      <c r="M295" s="736">
        <f t="shared" si="19"/>
        <v>1.5825327510917031</v>
      </c>
      <c r="N295" s="386"/>
      <c r="O295" s="386"/>
    </row>
    <row r="296" spans="1:15" customFormat="1">
      <c r="A296" s="241"/>
      <c r="B296" s="734" t="s">
        <v>1363</v>
      </c>
      <c r="C296" s="238"/>
      <c r="D296" s="793"/>
      <c r="E296" s="793"/>
      <c r="F296" s="247"/>
      <c r="G296" s="241"/>
      <c r="H296" s="244"/>
      <c r="I296" s="244"/>
      <c r="J296" s="244">
        <f>SUM(J295)</f>
        <v>3624000</v>
      </c>
      <c r="K296" s="241"/>
      <c r="L296" s="735"/>
      <c r="M296" s="736" t="e">
        <f t="shared" si="19"/>
        <v>#DIV/0!</v>
      </c>
      <c r="N296" s="386"/>
      <c r="O296" s="386"/>
    </row>
    <row r="297" spans="1:15" customFormat="1">
      <c r="A297" s="241"/>
      <c r="B297" s="737" t="s">
        <v>1364</v>
      </c>
      <c r="C297" s="238"/>
      <c r="D297" s="247"/>
      <c r="E297" s="247"/>
      <c r="F297" s="247"/>
      <c r="G297" s="241"/>
      <c r="H297" s="244"/>
      <c r="I297" s="244"/>
      <c r="J297" s="244"/>
      <c r="K297" s="241"/>
      <c r="L297" s="735">
        <v>458000</v>
      </c>
      <c r="M297" s="736">
        <f t="shared" si="19"/>
        <v>0</v>
      </c>
      <c r="N297" s="386"/>
      <c r="O297" s="386"/>
    </row>
    <row r="298" spans="1:15" customFormat="1">
      <c r="A298" s="241">
        <v>16</v>
      </c>
      <c r="B298" s="734" t="s">
        <v>1651</v>
      </c>
      <c r="C298" s="238" t="s">
        <v>1652</v>
      </c>
      <c r="D298" s="247">
        <v>12039.96</v>
      </c>
      <c r="E298" s="247">
        <v>12132.22</v>
      </c>
      <c r="F298" s="247">
        <f>E298-D298</f>
        <v>92.260000000000218</v>
      </c>
      <c r="G298" s="241">
        <v>8000</v>
      </c>
      <c r="H298" s="244">
        <f>(F298*G298)</f>
        <v>738080.00000000175</v>
      </c>
      <c r="I298" s="244"/>
      <c r="J298" s="244">
        <f>H298+I298</f>
        <v>738080.00000000175</v>
      </c>
      <c r="K298" s="743" t="s">
        <v>15</v>
      </c>
      <c r="L298" s="735">
        <v>325799.99999999598</v>
      </c>
      <c r="M298" s="736">
        <f t="shared" si="19"/>
        <v>2.2654389195825995</v>
      </c>
      <c r="N298" s="386"/>
      <c r="O298" s="386"/>
    </row>
    <row r="299" spans="1:15" customFormat="1">
      <c r="A299" s="241">
        <v>17</v>
      </c>
      <c r="B299" s="734" t="s">
        <v>1653</v>
      </c>
      <c r="C299" s="238" t="s">
        <v>1654</v>
      </c>
      <c r="D299" s="247">
        <v>9320.7900000000009</v>
      </c>
      <c r="E299" s="247">
        <v>9365.5</v>
      </c>
      <c r="F299" s="247">
        <f>E299-D299</f>
        <v>44.709999999999127</v>
      </c>
      <c r="G299" s="241">
        <v>12000</v>
      </c>
      <c r="H299" s="244">
        <f>(F299*G299)</f>
        <v>536519.99999998952</v>
      </c>
      <c r="I299" s="244"/>
      <c r="J299" s="244">
        <f>H299+I299</f>
        <v>536519.99999998952</v>
      </c>
      <c r="K299" s="743"/>
      <c r="L299" s="735">
        <v>1115730</v>
      </c>
      <c r="M299" s="736">
        <f t="shared" si="19"/>
        <v>0.48086902745286897</v>
      </c>
      <c r="N299" s="386"/>
      <c r="O299" s="386"/>
    </row>
    <row r="300" spans="1:15" customFormat="1">
      <c r="A300" s="241">
        <v>18</v>
      </c>
      <c r="B300" s="734" t="s">
        <v>1655</v>
      </c>
      <c r="C300" s="238" t="s">
        <v>1656</v>
      </c>
      <c r="D300" s="247">
        <v>1557594</v>
      </c>
      <c r="E300" s="247">
        <v>1585898</v>
      </c>
      <c r="F300" s="247">
        <f>E300-D300</f>
        <v>28304</v>
      </c>
      <c r="G300" s="241">
        <v>60</v>
      </c>
      <c r="H300" s="244">
        <f>(F300*G300)</f>
        <v>1698240</v>
      </c>
      <c r="I300" s="244"/>
      <c r="J300" s="244">
        <f>H300+I300</f>
        <v>1698240</v>
      </c>
      <c r="K300" s="743"/>
      <c r="L300" s="735">
        <v>354199.99999999697</v>
      </c>
      <c r="M300" s="736">
        <f t="shared" si="19"/>
        <v>4.7945793337098097</v>
      </c>
      <c r="N300" s="386"/>
      <c r="O300" s="386"/>
    </row>
    <row r="301" spans="1:15" customFormat="1">
      <c r="A301" s="241">
        <v>19</v>
      </c>
      <c r="B301" s="734" t="s">
        <v>1657</v>
      </c>
      <c r="C301" s="238" t="s">
        <v>1658</v>
      </c>
      <c r="D301" s="247">
        <v>54130.9</v>
      </c>
      <c r="E301" s="247">
        <v>54426.9</v>
      </c>
      <c r="F301" s="247">
        <f>E301-D301</f>
        <v>296</v>
      </c>
      <c r="G301" s="241">
        <v>2000</v>
      </c>
      <c r="H301" s="244">
        <f>(F301*G301)</f>
        <v>592000</v>
      </c>
      <c r="I301" s="244"/>
      <c r="J301" s="244">
        <f>H301+I301</f>
        <v>592000</v>
      </c>
      <c r="K301" s="743"/>
      <c r="L301" s="735">
        <v>2253729.9999999902</v>
      </c>
      <c r="M301" s="736">
        <f t="shared" si="19"/>
        <v>0.2626756532503905</v>
      </c>
      <c r="N301" s="386"/>
      <c r="O301" s="386"/>
    </row>
    <row r="302" spans="1:15" customFormat="1">
      <c r="A302" s="241"/>
      <c r="B302" s="238"/>
      <c r="C302" s="238"/>
      <c r="D302" s="247"/>
      <c r="E302" s="247"/>
      <c r="F302" s="247"/>
      <c r="G302" s="241"/>
      <c r="H302" s="244"/>
      <c r="I302" s="244"/>
      <c r="J302" s="349">
        <f>SUM(J298:J301)</f>
        <v>3564839.9999999912</v>
      </c>
      <c r="K302" s="743">
        <f>(J296-J302)/J296</f>
        <v>1.6324503311260719E-2</v>
      </c>
      <c r="L302" s="735"/>
      <c r="M302" s="736" t="e">
        <f t="shared" si="19"/>
        <v>#DIV/0!</v>
      </c>
      <c r="N302" s="386"/>
      <c r="O302" s="386"/>
    </row>
    <row r="303" spans="1:15" customFormat="1">
      <c r="A303" s="1239">
        <v>5</v>
      </c>
      <c r="B303" s="741" t="s">
        <v>1659</v>
      </c>
      <c r="C303" s="238"/>
      <c r="D303" s="247"/>
      <c r="E303" s="247"/>
      <c r="F303" s="247"/>
      <c r="G303" s="241"/>
      <c r="H303" s="244"/>
      <c r="I303" s="244"/>
      <c r="J303" s="244"/>
      <c r="K303" s="241"/>
      <c r="L303" s="794">
        <v>1285280</v>
      </c>
      <c r="M303" s="736">
        <f t="shared" si="19"/>
        <v>0</v>
      </c>
      <c r="N303" s="386"/>
      <c r="O303" s="386"/>
    </row>
    <row r="304" spans="1:15" s="796" customFormat="1">
      <c r="A304" s="161">
        <v>1</v>
      </c>
      <c r="B304" s="734" t="s">
        <v>1660</v>
      </c>
      <c r="C304" s="734" t="s">
        <v>1661</v>
      </c>
      <c r="D304" s="795">
        <v>2502.94</v>
      </c>
      <c r="E304" s="795">
        <v>2631.66</v>
      </c>
      <c r="F304" s="795">
        <f>E304-D304</f>
        <v>128.7199999999998</v>
      </c>
      <c r="G304" s="161">
        <v>9000</v>
      </c>
      <c r="H304" s="749">
        <f>(F304*G304)</f>
        <v>1158479.9999999981</v>
      </c>
      <c r="I304" s="749">
        <v>807000</v>
      </c>
      <c r="J304" s="749">
        <f>H304+I304</f>
        <v>1965479.9999999981</v>
      </c>
      <c r="K304" s="161"/>
      <c r="L304" s="735">
        <v>1577020.0000000019</v>
      </c>
      <c r="M304" s="736">
        <f t="shared" si="19"/>
        <v>1.2463253478078882</v>
      </c>
    </row>
    <row r="305" spans="1:21" customFormat="1">
      <c r="A305" s="241"/>
      <c r="B305" s="734" t="s">
        <v>1363</v>
      </c>
      <c r="C305" s="238"/>
      <c r="D305" s="247"/>
      <c r="E305" s="247"/>
      <c r="F305" s="247"/>
      <c r="G305" s="241"/>
      <c r="H305" s="244"/>
      <c r="I305" s="244"/>
      <c r="J305" s="244">
        <f>SUM(J304:J304)</f>
        <v>1965479.9999999981</v>
      </c>
      <c r="K305" s="241"/>
      <c r="L305" s="735">
        <v>1577020.0000000019</v>
      </c>
      <c r="M305" s="736">
        <f t="shared" si="19"/>
        <v>1.2463253478078882</v>
      </c>
      <c r="N305" s="386">
        <f>200/3</f>
        <v>66.666666666666671</v>
      </c>
      <c r="O305" s="386"/>
      <c r="P305" s="386"/>
      <c r="Q305" s="386"/>
      <c r="R305" s="386"/>
      <c r="S305" s="386"/>
      <c r="T305" s="386"/>
      <c r="U305" s="386"/>
    </row>
    <row r="306" spans="1:21" customFormat="1">
      <c r="A306" s="241"/>
      <c r="B306" s="733" t="s">
        <v>1364</v>
      </c>
      <c r="C306" s="238"/>
      <c r="D306" s="247"/>
      <c r="E306" s="247"/>
      <c r="F306" s="247"/>
      <c r="G306" s="241"/>
      <c r="H306" s="244"/>
      <c r="I306" s="244"/>
      <c r="J306" s="244"/>
      <c r="K306" s="743"/>
      <c r="L306" s="735"/>
      <c r="M306" s="736" t="e">
        <f t="shared" si="19"/>
        <v>#DIV/0!</v>
      </c>
      <c r="N306" s="386"/>
      <c r="O306" s="386"/>
      <c r="P306" s="386"/>
      <c r="Q306" s="386"/>
      <c r="R306" s="386"/>
      <c r="S306" s="386"/>
      <c r="T306" s="386"/>
      <c r="U306" s="386"/>
    </row>
    <row r="307" spans="1:21" customFormat="1">
      <c r="A307" s="241">
        <v>20</v>
      </c>
      <c r="B307" s="238" t="s">
        <v>1662</v>
      </c>
      <c r="C307" s="238" t="s">
        <v>1663</v>
      </c>
      <c r="D307" s="247">
        <v>4008.1</v>
      </c>
      <c r="E307" s="247">
        <v>4301.3999999999996</v>
      </c>
      <c r="F307" s="247">
        <f t="shared" ref="F307:F312" si="22">E307-D307</f>
        <v>293.29999999999973</v>
      </c>
      <c r="G307" s="241">
        <v>100</v>
      </c>
      <c r="H307" s="244">
        <f t="shared" ref="H307:H312" si="23">(F307*G307)</f>
        <v>29329.999999999971</v>
      </c>
      <c r="I307" s="244"/>
      <c r="J307" s="244">
        <f t="shared" ref="J307:J312" si="24">H307+I307</f>
        <v>29329.999999999971</v>
      </c>
      <c r="K307" s="743"/>
      <c r="L307" s="735">
        <v>34769.999999999985</v>
      </c>
      <c r="M307" s="736">
        <f t="shared" si="19"/>
        <v>0.84354328444060922</v>
      </c>
      <c r="N307" s="386" t="s">
        <v>1664</v>
      </c>
      <c r="O307" s="386"/>
      <c r="P307" s="386">
        <v>42849.86</v>
      </c>
      <c r="Q307" s="386"/>
      <c r="R307" s="386"/>
      <c r="S307" s="386"/>
      <c r="T307" s="386"/>
      <c r="U307" s="386"/>
    </row>
    <row r="308" spans="1:21" customFormat="1">
      <c r="A308" s="241">
        <v>21</v>
      </c>
      <c r="B308" s="797" t="s">
        <v>1665</v>
      </c>
      <c r="C308" s="797" t="s">
        <v>1666</v>
      </c>
      <c r="D308" s="798">
        <v>31282.799999999999</v>
      </c>
      <c r="E308" s="798">
        <v>31282.799999999999</v>
      </c>
      <c r="F308" s="799">
        <f t="shared" si="22"/>
        <v>0</v>
      </c>
      <c r="G308" s="800">
        <v>2000</v>
      </c>
      <c r="H308" s="800">
        <f t="shared" si="23"/>
        <v>0</v>
      </c>
      <c r="I308" s="800">
        <v>373678.71110000001</v>
      </c>
      <c r="J308" s="800">
        <f t="shared" si="24"/>
        <v>373678.71110000001</v>
      </c>
      <c r="K308" s="743"/>
      <c r="L308" s="735">
        <v>402900.87150000001</v>
      </c>
      <c r="M308" s="736">
        <f t="shared" si="19"/>
        <v>0.92747059520818143</v>
      </c>
      <c r="N308" s="386" t="s">
        <v>1667</v>
      </c>
      <c r="O308" s="386"/>
      <c r="P308" s="386">
        <v>212759.78</v>
      </c>
      <c r="Q308" s="386">
        <f>P308/2</f>
        <v>106379.89</v>
      </c>
      <c r="R308" s="386">
        <f>51+26</f>
        <v>77</v>
      </c>
      <c r="S308" s="386">
        <f>R308/2</f>
        <v>38.5</v>
      </c>
      <c r="T308" s="386">
        <f>33+15</f>
        <v>48</v>
      </c>
      <c r="U308" s="386">
        <f>T308/2</f>
        <v>24</v>
      </c>
    </row>
    <row r="309" spans="1:21" customFormat="1">
      <c r="A309" s="241">
        <v>22</v>
      </c>
      <c r="B309" s="238" t="s">
        <v>1668</v>
      </c>
      <c r="C309" s="238" t="s">
        <v>1669</v>
      </c>
      <c r="D309" s="247">
        <v>27806.6</v>
      </c>
      <c r="E309" s="247">
        <v>28311.9</v>
      </c>
      <c r="F309" s="247">
        <f t="shared" si="22"/>
        <v>505.30000000000291</v>
      </c>
      <c r="G309" s="241">
        <v>1333.33</v>
      </c>
      <c r="H309" s="244">
        <f t="shared" si="23"/>
        <v>673731.64900000382</v>
      </c>
      <c r="I309" s="244"/>
      <c r="J309" s="244">
        <f t="shared" si="24"/>
        <v>673731.64900000382</v>
      </c>
      <c r="K309" s="743"/>
      <c r="L309" s="735">
        <v>754131.447999998</v>
      </c>
      <c r="M309" s="736">
        <f t="shared" si="19"/>
        <v>0.89338755304102579</v>
      </c>
      <c r="N309" s="386" t="s">
        <v>1670</v>
      </c>
      <c r="O309" s="386"/>
      <c r="P309" s="386">
        <v>408960.48</v>
      </c>
      <c r="Q309" s="386">
        <f>P309/2</f>
        <v>204480.24</v>
      </c>
      <c r="R309" s="386">
        <f>51+25</f>
        <v>76</v>
      </c>
      <c r="S309" s="386">
        <f>R309/2</f>
        <v>38</v>
      </c>
      <c r="T309" s="386">
        <f>31+16</f>
        <v>47</v>
      </c>
      <c r="U309" s="386">
        <f>T309/2</f>
        <v>23.5</v>
      </c>
    </row>
    <row r="310" spans="1:21" customFormat="1">
      <c r="A310" s="241">
        <v>23</v>
      </c>
      <c r="B310" s="734" t="s">
        <v>1671</v>
      </c>
      <c r="C310" s="238">
        <v>3300078</v>
      </c>
      <c r="D310" s="795">
        <v>810780.2</v>
      </c>
      <c r="E310" s="795">
        <v>820361.2</v>
      </c>
      <c r="F310" s="247">
        <f t="shared" si="22"/>
        <v>9581</v>
      </c>
      <c r="G310" s="247">
        <v>6.6660000000000004</v>
      </c>
      <c r="H310" s="244">
        <f t="shared" si="23"/>
        <v>63866.946000000004</v>
      </c>
      <c r="I310" s="244"/>
      <c r="J310" s="244">
        <f t="shared" si="24"/>
        <v>63866.946000000004</v>
      </c>
      <c r="K310" s="743"/>
      <c r="L310" s="735">
        <v>64538.87879999954</v>
      </c>
      <c r="M310" s="736">
        <f t="shared" si="19"/>
        <v>0.98958871284266037</v>
      </c>
      <c r="N310" s="386" t="s">
        <v>1672</v>
      </c>
      <c r="O310" s="386"/>
      <c r="P310" s="386">
        <v>49019.53</v>
      </c>
      <c r="Q310" s="386">
        <f>P310/2</f>
        <v>24509.764999999999</v>
      </c>
      <c r="R310" s="386">
        <f>39+27</f>
        <v>66</v>
      </c>
      <c r="S310" s="386">
        <f>R310/2</f>
        <v>33</v>
      </c>
      <c r="T310" s="386">
        <f>26+16</f>
        <v>42</v>
      </c>
      <c r="U310" s="386">
        <f>T310/2</f>
        <v>21</v>
      </c>
    </row>
    <row r="311" spans="1:21" customFormat="1">
      <c r="A311" s="241">
        <v>24</v>
      </c>
      <c r="B311" s="238" t="s">
        <v>1132</v>
      </c>
      <c r="C311" s="238" t="s">
        <v>1673</v>
      </c>
      <c r="D311" s="795">
        <v>17242</v>
      </c>
      <c r="E311" s="795">
        <v>17441.599999999999</v>
      </c>
      <c r="F311" s="247">
        <f t="shared" si="22"/>
        <v>199.59999999999854</v>
      </c>
      <c r="G311" s="241">
        <v>100</v>
      </c>
      <c r="H311" s="244">
        <f t="shared" si="23"/>
        <v>19959.999999999854</v>
      </c>
      <c r="I311" s="244">
        <v>436144.00000000012</v>
      </c>
      <c r="J311" s="244">
        <f t="shared" si="24"/>
        <v>456104</v>
      </c>
      <c r="K311" s="247"/>
      <c r="L311" s="735">
        <v>242939.99999999997</v>
      </c>
      <c r="M311" s="736">
        <f t="shared" si="19"/>
        <v>1.8774347575533055</v>
      </c>
      <c r="N311" s="386" t="s">
        <v>1674</v>
      </c>
      <c r="O311" s="386"/>
      <c r="P311" s="386">
        <v>211916.01</v>
      </c>
      <c r="Q311" s="386">
        <f>AVERAGE(Q308:Q310)</f>
        <v>111789.96500000001</v>
      </c>
      <c r="R311" s="386"/>
      <c r="S311" s="386">
        <f>AVERAGE(S308:S310)</f>
        <v>36.5</v>
      </c>
      <c r="T311" s="386"/>
      <c r="U311" s="386">
        <f>AVERAGE(U308:U310)</f>
        <v>22.833333333333332</v>
      </c>
    </row>
    <row r="312" spans="1:21" customFormat="1">
      <c r="A312" s="241"/>
      <c r="B312" s="238" t="s">
        <v>1675</v>
      </c>
      <c r="C312" s="238" t="s">
        <v>1676</v>
      </c>
      <c r="D312" s="795">
        <v>13654</v>
      </c>
      <c r="E312" s="795">
        <v>15324.5</v>
      </c>
      <c r="F312" s="247">
        <f t="shared" si="22"/>
        <v>1670.5</v>
      </c>
      <c r="G312" s="241">
        <v>200</v>
      </c>
      <c r="H312" s="244">
        <f t="shared" si="23"/>
        <v>334100</v>
      </c>
      <c r="I312" s="244"/>
      <c r="J312" s="244">
        <f t="shared" si="24"/>
        <v>334100</v>
      </c>
      <c r="K312" s="247"/>
      <c r="L312" s="735">
        <v>65900</v>
      </c>
      <c r="M312" s="736">
        <f t="shared" si="19"/>
        <v>5.0698027314112295</v>
      </c>
      <c r="N312" s="386" t="s">
        <v>1677</v>
      </c>
      <c r="O312" s="386"/>
      <c r="P312" s="386">
        <v>334829.59000000003</v>
      </c>
      <c r="Q312" s="386"/>
      <c r="R312" s="386"/>
      <c r="S312" s="386"/>
      <c r="T312" s="386"/>
      <c r="U312" s="386"/>
    </row>
    <row r="313" spans="1:21" customFormat="1">
      <c r="A313" s="1239"/>
      <c r="B313" s="741"/>
      <c r="C313" s="238"/>
      <c r="D313" s="241"/>
      <c r="E313" s="247"/>
      <c r="F313" s="247"/>
      <c r="G313" s="241"/>
      <c r="H313" s="244"/>
      <c r="I313" s="244"/>
      <c r="J313" s="244">
        <f>SUM(J307:J312)</f>
        <v>1930811.3061000039</v>
      </c>
      <c r="K313" s="743">
        <f>(J305-J313)/J305</f>
        <v>1.7638792508697255E-2</v>
      </c>
      <c r="L313" s="735">
        <v>1565181.1982999975</v>
      </c>
      <c r="M313" s="736">
        <f t="shared" si="19"/>
        <v>1.2336024149773401</v>
      </c>
      <c r="N313" s="386"/>
      <c r="O313" s="386"/>
      <c r="P313" s="386">
        <v>12000</v>
      </c>
      <c r="Q313" s="386">
        <f>P313*Q311</f>
        <v>1341479580.0000002</v>
      </c>
      <c r="R313" s="386"/>
      <c r="S313" s="386">
        <f>P313*S311</f>
        <v>438000</v>
      </c>
      <c r="T313" s="386"/>
      <c r="U313" s="386">
        <f>P313*U311</f>
        <v>274000</v>
      </c>
    </row>
    <row r="314" spans="1:21" customFormat="1">
      <c r="A314" s="1239">
        <v>6</v>
      </c>
      <c r="B314" s="741" t="s">
        <v>1678</v>
      </c>
      <c r="C314" s="238"/>
      <c r="D314" s="241"/>
      <c r="E314" s="241"/>
      <c r="F314" s="247"/>
      <c r="G314" s="241"/>
      <c r="H314" s="244"/>
      <c r="I314" s="244"/>
      <c r="J314" s="244"/>
      <c r="K314" s="743"/>
      <c r="L314" s="735">
        <v>466800.000000017</v>
      </c>
      <c r="M314" s="736">
        <f t="shared" si="19"/>
        <v>0</v>
      </c>
      <c r="N314" s="386"/>
      <c r="O314" s="386"/>
      <c r="P314" s="386"/>
      <c r="Q314" s="386"/>
      <c r="R314" s="386"/>
      <c r="S314" s="386"/>
      <c r="T314" s="386"/>
      <c r="U314" s="386"/>
    </row>
    <row r="315" spans="1:21" customFormat="1">
      <c r="A315" s="241">
        <v>1</v>
      </c>
      <c r="B315" s="734" t="s">
        <v>1679</v>
      </c>
      <c r="C315" s="238" t="s">
        <v>1680</v>
      </c>
      <c r="D315" s="247">
        <v>123527.7</v>
      </c>
      <c r="E315" s="801">
        <v>124063.9</v>
      </c>
      <c r="F315" s="247">
        <f>E315-D315</f>
        <v>536.19999999999709</v>
      </c>
      <c r="G315" s="241">
        <v>2000</v>
      </c>
      <c r="H315" s="244">
        <f>(F315*G315)</f>
        <v>1072399.9999999942</v>
      </c>
      <c r="I315" s="244"/>
      <c r="J315" s="244">
        <f>H315+I315</f>
        <v>1072399.9999999942</v>
      </c>
      <c r="K315" s="241"/>
      <c r="L315" s="735">
        <v>689687.99999999802</v>
      </c>
      <c r="M315" s="736">
        <f t="shared" si="19"/>
        <v>1.5549059864750399</v>
      </c>
      <c r="N315" s="386">
        <f>J308/29</f>
        <v>12885.472796551725</v>
      </c>
      <c r="O315" s="386"/>
      <c r="P315" s="386"/>
      <c r="Q315" s="386"/>
      <c r="R315" s="386"/>
      <c r="S315" s="386"/>
      <c r="T315" s="386"/>
      <c r="U315" s="386"/>
    </row>
    <row r="316" spans="1:21" customFormat="1">
      <c r="A316" s="241">
        <v>2</v>
      </c>
      <c r="B316" s="748" t="s">
        <v>1681</v>
      </c>
      <c r="C316" s="238">
        <v>3300071</v>
      </c>
      <c r="D316" s="241">
        <v>941483.8</v>
      </c>
      <c r="E316" s="801">
        <v>942100.6</v>
      </c>
      <c r="F316" s="247">
        <f>E316-D316</f>
        <v>616.79999999993015</v>
      </c>
      <c r="G316" s="241">
        <v>80</v>
      </c>
      <c r="H316" s="244">
        <f>(F316*G316)</f>
        <v>49343.999999994412</v>
      </c>
      <c r="I316" s="244">
        <v>280000</v>
      </c>
      <c r="J316" s="244">
        <f>H316+I316</f>
        <v>329343.99999999441</v>
      </c>
      <c r="K316" s="743"/>
      <c r="L316" s="735">
        <v>461800.00000004697</v>
      </c>
      <c r="M316" s="736">
        <f t="shared" si="19"/>
        <v>0.71317453443040479</v>
      </c>
      <c r="N316" s="386">
        <f>N315*2</f>
        <v>25770.94559310345</v>
      </c>
      <c r="O316" s="386"/>
      <c r="P316" s="386"/>
      <c r="Q316" s="386"/>
      <c r="R316" s="386"/>
      <c r="S316" s="386"/>
      <c r="T316" s="386"/>
      <c r="U316" s="386"/>
    </row>
    <row r="317" spans="1:21" customFormat="1">
      <c r="A317" s="241">
        <v>3</v>
      </c>
      <c r="B317" s="734" t="s">
        <v>1682</v>
      </c>
      <c r="C317" s="238" t="s">
        <v>1683</v>
      </c>
      <c r="D317" s="247">
        <v>174142.5</v>
      </c>
      <c r="E317" s="801">
        <v>175454.6</v>
      </c>
      <c r="F317" s="247">
        <f>E317-D317</f>
        <v>1312.1000000000058</v>
      </c>
      <c r="G317" s="241">
        <v>2000</v>
      </c>
      <c r="H317" s="244">
        <f>(F317*G317)</f>
        <v>2624200.0000000116</v>
      </c>
      <c r="I317" s="244"/>
      <c r="J317" s="244">
        <f>H317+I317</f>
        <v>2624200.0000000116</v>
      </c>
      <c r="K317" s="743"/>
      <c r="L317" s="735">
        <v>0</v>
      </c>
      <c r="M317" s="736" t="e">
        <f t="shared" si="19"/>
        <v>#DIV/0!</v>
      </c>
      <c r="N317" s="386"/>
      <c r="O317" s="386"/>
      <c r="P317" s="386"/>
      <c r="Q317" s="386"/>
      <c r="R317" s="386"/>
      <c r="S317" s="386"/>
      <c r="T317" s="386"/>
      <c r="U317" s="386"/>
    </row>
    <row r="318" spans="1:21" customFormat="1">
      <c r="A318" s="241"/>
      <c r="B318" s="734" t="s">
        <v>1679</v>
      </c>
      <c r="C318" s="238" t="s">
        <v>1680</v>
      </c>
      <c r="D318" s="247">
        <v>123.9</v>
      </c>
      <c r="E318" s="247">
        <v>123.9</v>
      </c>
      <c r="F318" s="247">
        <f>E318-D318</f>
        <v>0</v>
      </c>
      <c r="G318" s="241">
        <v>2000</v>
      </c>
      <c r="H318" s="244">
        <f>(F318*G318)</f>
        <v>0</v>
      </c>
      <c r="I318" s="244"/>
      <c r="J318" s="244">
        <f>H318+I318</f>
        <v>0</v>
      </c>
      <c r="K318" s="743"/>
      <c r="L318" s="735">
        <v>1618288.0000000601</v>
      </c>
      <c r="M318" s="736">
        <f t="shared" si="19"/>
        <v>0</v>
      </c>
      <c r="N318" s="386"/>
      <c r="O318" s="386"/>
      <c r="P318" s="386"/>
      <c r="Q318" s="386"/>
      <c r="R318" s="386"/>
      <c r="S318" s="386"/>
      <c r="T318" s="386"/>
      <c r="U318" s="386"/>
    </row>
    <row r="319" spans="1:21" customFormat="1">
      <c r="A319" s="241"/>
      <c r="B319" s="734"/>
      <c r="C319" s="238"/>
      <c r="D319" s="247"/>
      <c r="E319" s="247"/>
      <c r="F319" s="247"/>
      <c r="G319" s="241"/>
      <c r="H319" s="244"/>
      <c r="I319" s="244"/>
      <c r="J319" s="244">
        <f>SUM(J317+J316-J315)</f>
        <v>1881144.0000000119</v>
      </c>
      <c r="K319" s="241"/>
      <c r="L319" s="735">
        <v>0</v>
      </c>
      <c r="M319" s="736" t="e">
        <f t="shared" si="19"/>
        <v>#DIV/0!</v>
      </c>
      <c r="N319" s="386"/>
      <c r="O319" s="386"/>
      <c r="P319" s="386"/>
      <c r="Q319" s="386"/>
      <c r="R319" s="386"/>
      <c r="S319" s="386"/>
      <c r="T319" s="386"/>
      <c r="U319" s="386"/>
    </row>
    <row r="320" spans="1:21" customFormat="1">
      <c r="A320" s="241">
        <v>1</v>
      </c>
      <c r="B320" s="802" t="s">
        <v>1684</v>
      </c>
      <c r="C320" s="803" t="s">
        <v>1685</v>
      </c>
      <c r="D320" s="804">
        <v>61358.2</v>
      </c>
      <c r="E320" s="804">
        <v>61361.8</v>
      </c>
      <c r="F320" s="804">
        <f>E320-D320</f>
        <v>3.6000000000058208</v>
      </c>
      <c r="G320" s="805">
        <v>2000</v>
      </c>
      <c r="H320" s="806">
        <f>(F320*G320)</f>
        <v>7200.0000000116415</v>
      </c>
      <c r="I320" s="806"/>
      <c r="J320" s="806">
        <f>H320+I320</f>
        <v>7200.0000000116415</v>
      </c>
      <c r="K320" s="743"/>
      <c r="L320" s="735">
        <v>187000</v>
      </c>
      <c r="M320" s="736">
        <f t="shared" si="19"/>
        <v>3.8502673796853695E-2</v>
      </c>
      <c r="N320" s="386"/>
      <c r="O320" s="386"/>
      <c r="P320" s="386"/>
      <c r="Q320" s="386"/>
      <c r="R320" s="386"/>
      <c r="S320" s="386"/>
      <c r="T320" s="386"/>
      <c r="U320" s="386"/>
    </row>
    <row r="321" spans="1:14" customFormat="1">
      <c r="A321" s="241"/>
      <c r="B321" s="802" t="s">
        <v>1686</v>
      </c>
      <c r="C321" s="803" t="s">
        <v>1685</v>
      </c>
      <c r="D321" s="804">
        <v>7613.5</v>
      </c>
      <c r="E321" s="804">
        <v>7689.3</v>
      </c>
      <c r="F321" s="804">
        <f>E321-D321</f>
        <v>75.800000000000182</v>
      </c>
      <c r="G321" s="805">
        <v>2000</v>
      </c>
      <c r="H321" s="806">
        <f>(F321*G321)</f>
        <v>151600.00000000035</v>
      </c>
      <c r="I321" s="806"/>
      <c r="J321" s="806">
        <f>H321+I321</f>
        <v>151600.00000000035</v>
      </c>
      <c r="K321" s="743"/>
      <c r="L321" s="735">
        <v>1151488.00000004</v>
      </c>
      <c r="M321" s="736">
        <f t="shared" si="19"/>
        <v>0.13165573588261023</v>
      </c>
      <c r="N321" s="386"/>
    </row>
    <row r="322" spans="1:14" customFormat="1">
      <c r="A322" s="241"/>
      <c r="B322" s="734" t="s">
        <v>1363</v>
      </c>
      <c r="C322" s="238"/>
      <c r="D322" s="247"/>
      <c r="E322" s="247"/>
      <c r="F322" s="247"/>
      <c r="G322" s="241"/>
      <c r="H322" s="244"/>
      <c r="I322" s="244"/>
      <c r="J322" s="244">
        <f>J319</f>
        <v>1881144.0000000119</v>
      </c>
      <c r="K322" s="743"/>
      <c r="L322" s="735"/>
      <c r="M322" s="736" t="e">
        <f t="shared" si="19"/>
        <v>#DIV/0!</v>
      </c>
      <c r="N322" s="386"/>
    </row>
    <row r="323" spans="1:14" customFormat="1">
      <c r="A323" s="241"/>
      <c r="B323" s="737" t="s">
        <v>1364</v>
      </c>
      <c r="C323" s="238"/>
      <c r="D323" s="247"/>
      <c r="E323" s="247"/>
      <c r="F323" s="247"/>
      <c r="G323" s="241"/>
      <c r="H323" s="244"/>
      <c r="I323" s="244"/>
      <c r="J323" s="244"/>
      <c r="K323" s="743"/>
      <c r="L323" s="735">
        <v>577300</v>
      </c>
      <c r="M323" s="736">
        <f t="shared" si="19"/>
        <v>0</v>
      </c>
      <c r="N323" s="386"/>
    </row>
    <row r="324" spans="1:14" customFormat="1">
      <c r="A324" s="241">
        <v>25</v>
      </c>
      <c r="B324" s="748" t="s">
        <v>1065</v>
      </c>
      <c r="C324" s="238" t="s">
        <v>1687</v>
      </c>
      <c r="D324" s="247">
        <v>48810</v>
      </c>
      <c r="E324" s="247">
        <v>53412.3</v>
      </c>
      <c r="F324" s="247">
        <f>E324-D324</f>
        <v>4602.3000000000029</v>
      </c>
      <c r="G324" s="241">
        <v>200</v>
      </c>
      <c r="H324" s="244">
        <f>(F324*G324)</f>
        <v>920460.00000000058</v>
      </c>
      <c r="I324" s="244"/>
      <c r="J324" s="244">
        <f>H324+I324</f>
        <v>920460.00000000058</v>
      </c>
      <c r="K324" s="743"/>
      <c r="L324" s="735">
        <v>95199.999999997104</v>
      </c>
      <c r="M324" s="736">
        <f t="shared" si="19"/>
        <v>9.6686974789918967</v>
      </c>
      <c r="N324" s="386">
        <v>806583.9828</v>
      </c>
    </row>
    <row r="325" spans="1:14" customFormat="1">
      <c r="A325" s="241">
        <v>26</v>
      </c>
      <c r="B325" s="748" t="s">
        <v>1688</v>
      </c>
      <c r="C325" s="238" t="s">
        <v>1689</v>
      </c>
      <c r="D325" s="247">
        <v>43336.800000000003</v>
      </c>
      <c r="E325" s="247">
        <v>43408.5</v>
      </c>
      <c r="F325" s="247">
        <f>E325-D325</f>
        <v>71.69999999999709</v>
      </c>
      <c r="G325" s="241">
        <v>2000</v>
      </c>
      <c r="H325" s="244">
        <f>(F325*G325)</f>
        <v>143399.99999999418</v>
      </c>
      <c r="I325" s="244"/>
      <c r="J325" s="244">
        <f>H325+I325</f>
        <v>143399.99999999418</v>
      </c>
      <c r="K325" s="241"/>
      <c r="L325" s="735">
        <v>21000</v>
      </c>
      <c r="M325" s="736">
        <f t="shared" ref="M325:M388" si="25">J325/L325</f>
        <v>6.8285714285711512</v>
      </c>
      <c r="N325" s="386"/>
    </row>
    <row r="326" spans="1:14" customFormat="1">
      <c r="A326" s="241">
        <v>27</v>
      </c>
      <c r="B326" s="748" t="s">
        <v>1162</v>
      </c>
      <c r="C326" s="238" t="s">
        <v>1690</v>
      </c>
      <c r="D326" s="247">
        <v>2729.3</v>
      </c>
      <c r="E326" s="247">
        <v>2753.4</v>
      </c>
      <c r="F326" s="247">
        <f>E326-D326</f>
        <v>24.099999999999909</v>
      </c>
      <c r="G326" s="241">
        <v>2000</v>
      </c>
      <c r="H326" s="244">
        <f>(F326*G326)</f>
        <v>48199.999999999818</v>
      </c>
      <c r="I326" s="244"/>
      <c r="J326" s="244">
        <f>H326+I326</f>
        <v>48199.999999999818</v>
      </c>
      <c r="K326" s="743"/>
      <c r="L326" s="735">
        <v>125380</v>
      </c>
      <c r="M326" s="736">
        <f t="shared" si="25"/>
        <v>0.3844313287605664</v>
      </c>
      <c r="N326" s="386"/>
    </row>
    <row r="327" spans="1:14" customFormat="1">
      <c r="A327" s="241">
        <v>28</v>
      </c>
      <c r="B327" s="734" t="s">
        <v>1691</v>
      </c>
      <c r="C327" s="238" t="s">
        <v>1692</v>
      </c>
      <c r="D327" s="247">
        <v>12641</v>
      </c>
      <c r="E327" s="247">
        <v>13842.4</v>
      </c>
      <c r="F327" s="247">
        <f>E327-D327</f>
        <v>1201.3999999999996</v>
      </c>
      <c r="G327" s="241">
        <v>200</v>
      </c>
      <c r="H327" s="244">
        <f>(F327*G327)</f>
        <v>240279.99999999994</v>
      </c>
      <c r="I327" s="244"/>
      <c r="J327" s="244">
        <f>H327+I327</f>
        <v>240279.99999999994</v>
      </c>
      <c r="K327" s="807"/>
      <c r="L327" s="735">
        <v>312599.99999999098</v>
      </c>
      <c r="M327" s="736">
        <f t="shared" si="25"/>
        <v>0.76865003198978532</v>
      </c>
      <c r="N327" s="386">
        <v>243240.2458</v>
      </c>
    </row>
    <row r="328" spans="1:14" customFormat="1">
      <c r="A328" s="241">
        <v>29</v>
      </c>
      <c r="B328" s="734" t="s">
        <v>1693</v>
      </c>
      <c r="C328" s="238" t="s">
        <v>1694</v>
      </c>
      <c r="D328" s="247">
        <v>49479.199999999997</v>
      </c>
      <c r="E328" s="247">
        <v>49737.1</v>
      </c>
      <c r="F328" s="247">
        <f>E328-D328</f>
        <v>257.90000000000146</v>
      </c>
      <c r="G328" s="241">
        <v>2000</v>
      </c>
      <c r="H328" s="244">
        <f>(F328*G328)</f>
        <v>515800.00000000291</v>
      </c>
      <c r="I328" s="244"/>
      <c r="J328" s="244">
        <f>H328+I328</f>
        <v>515800.00000000291</v>
      </c>
      <c r="K328" s="743"/>
      <c r="L328" s="735">
        <v>1131479.99999999</v>
      </c>
      <c r="M328" s="736">
        <f t="shared" si="25"/>
        <v>0.45586311733305712</v>
      </c>
      <c r="N328" s="386"/>
    </row>
    <row r="329" spans="1:14" customFormat="1">
      <c r="A329" s="241"/>
      <c r="B329" s="238"/>
      <c r="C329" s="238"/>
      <c r="D329" s="247"/>
      <c r="E329" s="247"/>
      <c r="F329" s="247"/>
      <c r="G329" s="241"/>
      <c r="H329" s="244"/>
      <c r="I329" s="244"/>
      <c r="J329" s="244">
        <f>SUM(J324:J328)</f>
        <v>1868139.9999999977</v>
      </c>
      <c r="K329" s="743">
        <f>(J322-J329)/J322</f>
        <v>6.9128147552840824E-3</v>
      </c>
      <c r="L329" s="735"/>
      <c r="M329" s="736" t="e">
        <f t="shared" si="25"/>
        <v>#DIV/0!</v>
      </c>
      <c r="N329" s="386"/>
    </row>
    <row r="330" spans="1:14" customFormat="1">
      <c r="A330" s="1239">
        <v>7</v>
      </c>
      <c r="B330" s="741" t="s">
        <v>1695</v>
      </c>
      <c r="C330" s="238"/>
      <c r="D330" s="247"/>
      <c r="E330" s="247"/>
      <c r="F330" s="247"/>
      <c r="G330" s="241"/>
      <c r="H330" s="244"/>
      <c r="I330" s="244"/>
      <c r="J330" s="244"/>
      <c r="K330" s="743"/>
      <c r="L330" s="735">
        <v>2326599.99999998</v>
      </c>
      <c r="M330" s="736">
        <f t="shared" si="25"/>
        <v>0</v>
      </c>
      <c r="N330" s="386"/>
    </row>
    <row r="331" spans="1:14" customFormat="1">
      <c r="A331" s="241">
        <v>1</v>
      </c>
      <c r="B331" s="238" t="s">
        <v>1696</v>
      </c>
      <c r="C331" s="238" t="s">
        <v>1697</v>
      </c>
      <c r="D331" s="247">
        <v>319617.40000000002</v>
      </c>
      <c r="E331" s="247">
        <v>320912.5</v>
      </c>
      <c r="F331" s="247">
        <f>E331-D331</f>
        <v>1295.0999999999767</v>
      </c>
      <c r="G331" s="241">
        <v>2000</v>
      </c>
      <c r="H331" s="244">
        <f>(F331*G331)</f>
        <v>2590199.9999999534</v>
      </c>
      <c r="I331" s="244">
        <v>820000</v>
      </c>
      <c r="J331" s="244">
        <f>H331+I331</f>
        <v>3410199.9999999534</v>
      </c>
      <c r="K331" s="743"/>
      <c r="L331" s="735">
        <v>2326599.99999998</v>
      </c>
      <c r="M331" s="736">
        <f t="shared" si="25"/>
        <v>1.4657440041261853</v>
      </c>
      <c r="N331" s="386"/>
    </row>
    <row r="332" spans="1:14" customFormat="1">
      <c r="A332" s="241"/>
      <c r="B332" s="734" t="s">
        <v>1363</v>
      </c>
      <c r="C332" s="238"/>
      <c r="D332" s="247"/>
      <c r="E332" s="247"/>
      <c r="F332" s="247"/>
      <c r="G332" s="241"/>
      <c r="H332" s="244"/>
      <c r="I332" s="244"/>
      <c r="J332" s="244">
        <f>SUM(J331)</f>
        <v>3410199.9999999534</v>
      </c>
      <c r="K332" s="743"/>
      <c r="L332" s="735"/>
      <c r="M332" s="736" t="e">
        <f t="shared" si="25"/>
        <v>#DIV/0!</v>
      </c>
      <c r="N332" s="386"/>
    </row>
    <row r="333" spans="1:14" customFormat="1">
      <c r="A333" s="241"/>
      <c r="B333" s="737" t="s">
        <v>1364</v>
      </c>
      <c r="C333" s="238"/>
      <c r="D333" s="247"/>
      <c r="E333" s="247"/>
      <c r="F333" s="247"/>
      <c r="G333" s="241"/>
      <c r="H333" s="244"/>
      <c r="I333" s="244"/>
      <c r="J333" s="244"/>
      <c r="K333" s="743"/>
      <c r="L333" s="735">
        <v>1335799.99999999</v>
      </c>
      <c r="M333" s="736">
        <f t="shared" si="25"/>
        <v>0</v>
      </c>
      <c r="N333" s="386"/>
    </row>
    <row r="334" spans="1:14" customFormat="1">
      <c r="A334" s="241">
        <v>30</v>
      </c>
      <c r="B334" s="748" t="s">
        <v>1698</v>
      </c>
      <c r="C334" s="238" t="s">
        <v>1699</v>
      </c>
      <c r="D334" s="241">
        <v>109637.4</v>
      </c>
      <c r="E334" s="241">
        <v>110562</v>
      </c>
      <c r="F334" s="241">
        <f>E334-D334</f>
        <v>924.60000000000582</v>
      </c>
      <c r="G334" s="241">
        <v>2000</v>
      </c>
      <c r="H334" s="244">
        <f>(F334*G334)</f>
        <v>1849200.0000000116</v>
      </c>
      <c r="I334" s="244"/>
      <c r="J334" s="244">
        <f>H334+I334</f>
        <v>1849200.0000000116</v>
      </c>
      <c r="K334" s="808"/>
      <c r="L334" s="735">
        <v>267066.59989999898</v>
      </c>
      <c r="M334" s="736">
        <f t="shared" si="25"/>
        <v>6.9241155602850757</v>
      </c>
      <c r="N334" s="386"/>
    </row>
    <row r="335" spans="1:14" customFormat="1">
      <c r="A335" s="241">
        <v>31</v>
      </c>
      <c r="B335" s="238" t="s">
        <v>1700</v>
      </c>
      <c r="C335" s="238" t="s">
        <v>1701</v>
      </c>
      <c r="D335" s="247">
        <v>14467.1</v>
      </c>
      <c r="E335" s="247">
        <v>14758.9</v>
      </c>
      <c r="F335" s="247">
        <f>E335-D335</f>
        <v>291.79999999999927</v>
      </c>
      <c r="G335" s="261">
        <v>1333.3330000000001</v>
      </c>
      <c r="H335" s="244">
        <f>(F335*G335)</f>
        <v>389066.56939999905</v>
      </c>
      <c r="I335" s="244"/>
      <c r="J335" s="244">
        <f>H335+I335</f>
        <v>389066.56939999905</v>
      </c>
      <c r="K335" s="743"/>
      <c r="L335" s="735">
        <v>448000</v>
      </c>
      <c r="M335" s="736">
        <f t="shared" si="25"/>
        <v>0.86845216383928359</v>
      </c>
      <c r="N335" s="386"/>
    </row>
    <row r="336" spans="1:14" customFormat="1">
      <c r="A336" s="241">
        <v>32</v>
      </c>
      <c r="B336" s="238" t="s">
        <v>1702</v>
      </c>
      <c r="C336" s="238" t="s">
        <v>1703</v>
      </c>
      <c r="D336" s="247">
        <v>22350</v>
      </c>
      <c r="E336" s="247">
        <v>22698.5</v>
      </c>
      <c r="F336" s="247">
        <f>E336-D336</f>
        <v>348.5</v>
      </c>
      <c r="G336" s="241">
        <v>2000</v>
      </c>
      <c r="H336" s="244">
        <f>(F336*G336)</f>
        <v>697000</v>
      </c>
      <c r="I336" s="244"/>
      <c r="J336" s="244">
        <f>H336+I336</f>
        <v>697000</v>
      </c>
      <c r="K336" s="743"/>
      <c r="L336" s="735">
        <v>266199.99999999697</v>
      </c>
      <c r="M336" s="736">
        <f t="shared" si="25"/>
        <v>2.6183320811420283</v>
      </c>
      <c r="N336" s="386"/>
    </row>
    <row r="337" spans="1:17" customFormat="1">
      <c r="A337" s="241">
        <v>33</v>
      </c>
      <c r="B337" s="238" t="s">
        <v>1067</v>
      </c>
      <c r="C337" s="238" t="s">
        <v>1704</v>
      </c>
      <c r="D337" s="247">
        <v>47395.9</v>
      </c>
      <c r="E337" s="247">
        <v>47806.9</v>
      </c>
      <c r="F337" s="247">
        <f>E337-D337</f>
        <v>411</v>
      </c>
      <c r="G337" s="241">
        <v>1000</v>
      </c>
      <c r="H337" s="244">
        <f>(F337*G337)</f>
        <v>411000</v>
      </c>
      <c r="I337" s="244"/>
      <c r="J337" s="244">
        <f>H337+I337</f>
        <v>411000</v>
      </c>
      <c r="K337" s="743"/>
      <c r="L337" s="735">
        <v>2317066.5998999798</v>
      </c>
      <c r="M337" s="736">
        <f t="shared" si="25"/>
        <v>0.17737945038685618</v>
      </c>
      <c r="N337" s="386"/>
      <c r="O337" s="386"/>
      <c r="P337" s="386"/>
      <c r="Q337" s="386"/>
    </row>
    <row r="338" spans="1:17" customFormat="1">
      <c r="A338" s="241"/>
      <c r="B338" s="238"/>
      <c r="C338" s="238"/>
      <c r="D338" s="247"/>
      <c r="E338" s="247"/>
      <c r="F338" s="247"/>
      <c r="G338" s="241"/>
      <c r="H338" s="244"/>
      <c r="I338" s="244"/>
      <c r="J338" s="244">
        <f>SUM(J334:J337)</f>
        <v>3346266.5694000106</v>
      </c>
      <c r="K338" s="743">
        <f>(J332-J338)/J332</f>
        <v>1.8747707055288158E-2</v>
      </c>
      <c r="L338" s="735"/>
      <c r="M338" s="736" t="e">
        <f t="shared" si="25"/>
        <v>#DIV/0!</v>
      </c>
      <c r="N338" s="386"/>
      <c r="O338" s="386"/>
      <c r="P338" s="386"/>
      <c r="Q338" s="386"/>
    </row>
    <row r="339" spans="1:17" customFormat="1">
      <c r="A339" s="241">
        <v>8</v>
      </c>
      <c r="B339" s="239" t="s">
        <v>1705</v>
      </c>
      <c r="C339" s="238"/>
      <c r="D339" s="247"/>
      <c r="E339" s="247"/>
      <c r="F339" s="247"/>
      <c r="G339" s="241"/>
      <c r="H339" s="244"/>
      <c r="I339" s="244"/>
      <c r="J339" s="244"/>
      <c r="K339" s="241"/>
      <c r="L339" s="735"/>
      <c r="M339" s="736" t="e">
        <f t="shared" si="25"/>
        <v>#DIV/0!</v>
      </c>
      <c r="N339" s="386"/>
      <c r="O339" s="386"/>
      <c r="P339" s="386"/>
      <c r="Q339" s="386"/>
    </row>
    <row r="340" spans="1:17" customFormat="1">
      <c r="A340" s="241"/>
      <c r="B340" s="734" t="s">
        <v>1706</v>
      </c>
      <c r="C340" s="238"/>
      <c r="D340" s="247"/>
      <c r="E340" s="247"/>
      <c r="F340" s="247"/>
      <c r="G340" s="241"/>
      <c r="H340" s="244"/>
      <c r="I340" s="244"/>
      <c r="J340" s="244"/>
      <c r="K340" s="241"/>
      <c r="L340" s="735">
        <v>4028199.9999999502</v>
      </c>
      <c r="M340" s="736">
        <f t="shared" si="25"/>
        <v>0</v>
      </c>
      <c r="N340" s="386"/>
      <c r="O340" s="386"/>
      <c r="P340" s="386"/>
      <c r="Q340" s="386"/>
    </row>
    <row r="341" spans="1:17" customFormat="1">
      <c r="A341" s="241">
        <v>1</v>
      </c>
      <c r="B341" s="748" t="s">
        <v>1707</v>
      </c>
      <c r="C341" s="748" t="s">
        <v>1708</v>
      </c>
      <c r="D341" s="809">
        <v>402333.6</v>
      </c>
      <c r="E341" s="809">
        <v>404647.7</v>
      </c>
      <c r="F341" s="809">
        <f>E341-D341</f>
        <v>2314.1000000000349</v>
      </c>
      <c r="G341" s="747">
        <v>2000</v>
      </c>
      <c r="H341" s="769">
        <f>(F341*G341)</f>
        <v>4628200.0000000698</v>
      </c>
      <c r="I341" s="769"/>
      <c r="J341" s="769">
        <f>H341+I341</f>
        <v>4628200.0000000698</v>
      </c>
      <c r="K341" s="1237"/>
      <c r="L341" s="735">
        <v>0</v>
      </c>
      <c r="M341" s="736" t="e">
        <f t="shared" si="25"/>
        <v>#DIV/0!</v>
      </c>
      <c r="N341" s="386"/>
      <c r="O341" s="386"/>
      <c r="P341" s="386"/>
      <c r="Q341" s="386"/>
    </row>
    <row r="342" spans="1:17" customFormat="1">
      <c r="A342" s="241">
        <v>2</v>
      </c>
      <c r="B342" s="734" t="s">
        <v>1709</v>
      </c>
      <c r="C342" s="752" t="s">
        <v>1710</v>
      </c>
      <c r="D342" s="247">
        <v>6501.2</v>
      </c>
      <c r="E342" s="247">
        <v>6501.2</v>
      </c>
      <c r="F342" s="247">
        <f>E342-D342</f>
        <v>0</v>
      </c>
      <c r="G342" s="241">
        <v>800</v>
      </c>
      <c r="H342" s="244">
        <f>(F342*G342)</f>
        <v>0</v>
      </c>
      <c r="I342" s="244">
        <v>5025000</v>
      </c>
      <c r="J342" s="244">
        <f>H342+I342</f>
        <v>5025000</v>
      </c>
      <c r="K342" s="1237"/>
      <c r="L342" s="735">
        <v>9202440</v>
      </c>
      <c r="M342" s="736">
        <f t="shared" si="25"/>
        <v>0.54605082999726162</v>
      </c>
      <c r="N342" s="386" t="e">
        <f>L341*M341</f>
        <v>#DIV/0!</v>
      </c>
      <c r="O342" s="386"/>
      <c r="P342" s="386"/>
      <c r="Q342" s="386"/>
    </row>
    <row r="343" spans="1:17" customFormat="1">
      <c r="A343" s="241">
        <v>1</v>
      </c>
      <c r="B343" s="734" t="s">
        <v>1711</v>
      </c>
      <c r="C343" s="752" t="s">
        <v>1712</v>
      </c>
      <c r="D343" s="247">
        <v>28348</v>
      </c>
      <c r="E343" s="247">
        <v>28348</v>
      </c>
      <c r="F343" s="247">
        <f>E343-D343</f>
        <v>0</v>
      </c>
      <c r="G343" s="241">
        <v>800</v>
      </c>
      <c r="H343" s="244">
        <f>(F343*G343)</f>
        <v>0</v>
      </c>
      <c r="I343" s="769"/>
      <c r="J343" s="244">
        <f>H343+I343</f>
        <v>0</v>
      </c>
      <c r="K343" s="1237"/>
      <c r="L343" s="735">
        <v>2852720.0000000009</v>
      </c>
      <c r="M343" s="736">
        <f t="shared" si="25"/>
        <v>0</v>
      </c>
      <c r="N343" s="386"/>
      <c r="O343" s="386"/>
      <c r="P343" s="386"/>
      <c r="Q343" s="386"/>
    </row>
    <row r="344" spans="1:17" customFormat="1">
      <c r="A344" s="241"/>
      <c r="B344" s="734" t="s">
        <v>1363</v>
      </c>
      <c r="C344" s="238"/>
      <c r="D344" s="247"/>
      <c r="E344" s="247"/>
      <c r="F344" s="247"/>
      <c r="G344" s="241"/>
      <c r="H344" s="244"/>
      <c r="I344" s="244"/>
      <c r="J344" s="244">
        <f>SUM(J341:J343)</f>
        <v>9653200.0000000708</v>
      </c>
      <c r="K344" s="241"/>
      <c r="L344" s="735">
        <v>12055160</v>
      </c>
      <c r="M344" s="736">
        <f t="shared" si="25"/>
        <v>0.80075254082070013</v>
      </c>
      <c r="N344" s="386"/>
      <c r="O344" s="386"/>
      <c r="P344" s="386"/>
      <c r="Q344" s="386"/>
    </row>
    <row r="345" spans="1:17" customFormat="1">
      <c r="A345" s="241"/>
      <c r="B345" s="734" t="s">
        <v>1713</v>
      </c>
      <c r="C345" s="238"/>
      <c r="D345" s="247"/>
      <c r="E345" s="247"/>
      <c r="F345" s="247"/>
      <c r="G345" s="241"/>
      <c r="H345" s="244"/>
      <c r="I345" s="244"/>
      <c r="J345" s="20"/>
      <c r="K345" s="244"/>
      <c r="L345" s="735"/>
      <c r="M345" s="736" t="e">
        <f t="shared" si="25"/>
        <v>#DIV/0!</v>
      </c>
      <c r="N345" s="386"/>
      <c r="O345" s="386"/>
      <c r="P345" s="386"/>
      <c r="Q345" s="386"/>
    </row>
    <row r="346" spans="1:17" customFormat="1">
      <c r="A346" s="241">
        <v>3</v>
      </c>
      <c r="B346" s="734" t="s">
        <v>1714</v>
      </c>
      <c r="C346" s="748" t="s">
        <v>1715</v>
      </c>
      <c r="D346" s="809">
        <v>376388.2</v>
      </c>
      <c r="E346" s="809">
        <v>377084.2</v>
      </c>
      <c r="F346" s="809">
        <f>E346-D346</f>
        <v>696</v>
      </c>
      <c r="G346" s="747">
        <v>2000</v>
      </c>
      <c r="H346" s="769">
        <f>(F346*G346)</f>
        <v>1392000</v>
      </c>
      <c r="I346" s="244"/>
      <c r="J346" s="244">
        <f>H346+I346</f>
        <v>1392000</v>
      </c>
      <c r="K346" s="810"/>
      <c r="L346" s="735">
        <v>2110800.0000000466</v>
      </c>
      <c r="M346" s="736">
        <f t="shared" si="25"/>
        <v>0.65946560545763189</v>
      </c>
      <c r="N346" s="386"/>
      <c r="O346" s="386"/>
      <c r="P346" s="386"/>
      <c r="Q346" s="386"/>
    </row>
    <row r="347" spans="1:17" customFormat="1">
      <c r="A347" s="241">
        <v>4</v>
      </c>
      <c r="B347" s="734" t="s">
        <v>1716</v>
      </c>
      <c r="C347" s="748">
        <v>3743638</v>
      </c>
      <c r="D347" s="809">
        <v>417681.2</v>
      </c>
      <c r="E347" s="809">
        <v>424278.9</v>
      </c>
      <c r="F347" s="809">
        <f>E347-D347</f>
        <v>6597.7000000000116</v>
      </c>
      <c r="G347" s="747">
        <v>40</v>
      </c>
      <c r="H347" s="769">
        <f>(F347*G347)</f>
        <v>263908.00000000047</v>
      </c>
      <c r="I347" s="244">
        <v>395862.00000000122</v>
      </c>
      <c r="J347" s="244">
        <f>H347+I347</f>
        <v>659770.00000000163</v>
      </c>
      <c r="K347" s="1237" t="s">
        <v>1546</v>
      </c>
      <c r="L347" s="735">
        <v>213248.00000000047</v>
      </c>
      <c r="M347" s="736">
        <f t="shared" si="25"/>
        <v>3.0939094387755111</v>
      </c>
      <c r="N347" s="386"/>
      <c r="O347" s="386"/>
      <c r="P347" s="386"/>
      <c r="Q347" s="386"/>
    </row>
    <row r="348" spans="1:17" customFormat="1">
      <c r="A348" s="241">
        <v>5</v>
      </c>
      <c r="B348" s="734" t="s">
        <v>1717</v>
      </c>
      <c r="C348" s="238" t="s">
        <v>1718</v>
      </c>
      <c r="D348" s="247">
        <v>203323.2</v>
      </c>
      <c r="E348" s="247">
        <v>205488.1</v>
      </c>
      <c r="F348" s="247">
        <f>E348-D348</f>
        <v>2164.8999999999942</v>
      </c>
      <c r="G348" s="241">
        <v>1000</v>
      </c>
      <c r="H348" s="244">
        <f>(F348*G348)</f>
        <v>2164899.9999999944</v>
      </c>
      <c r="I348" s="244"/>
      <c r="J348" s="244">
        <f>H348+I348</f>
        <v>2164899.9999999944</v>
      </c>
      <c r="K348" s="241"/>
      <c r="L348" s="735">
        <v>3729100.0000000056</v>
      </c>
      <c r="M348" s="736">
        <f t="shared" si="25"/>
        <v>0.5805422219838543</v>
      </c>
      <c r="N348" s="386"/>
      <c r="O348" s="386"/>
      <c r="P348" s="386"/>
      <c r="Q348" s="386"/>
    </row>
    <row r="349" spans="1:17" customFormat="1">
      <c r="A349" s="241"/>
      <c r="B349" s="734" t="s">
        <v>1719</v>
      </c>
      <c r="C349" s="238"/>
      <c r="D349" s="247"/>
      <c r="E349" s="247"/>
      <c r="F349" s="247"/>
      <c r="G349" s="241"/>
      <c r="H349" s="244"/>
      <c r="I349" s="244"/>
      <c r="J349" s="244">
        <f>SUM(J346:J348)</f>
        <v>4216669.9999999963</v>
      </c>
      <c r="K349" s="247"/>
      <c r="L349" s="735">
        <v>6053148.0000000522</v>
      </c>
      <c r="M349" s="736">
        <f t="shared" si="25"/>
        <v>0.69660778160387948</v>
      </c>
      <c r="N349" s="386"/>
      <c r="O349" s="386"/>
      <c r="P349" s="386"/>
      <c r="Q349" s="386"/>
    </row>
    <row r="350" spans="1:17" customFormat="1">
      <c r="A350" s="241"/>
      <c r="B350" s="734" t="s">
        <v>1363</v>
      </c>
      <c r="C350" s="238"/>
      <c r="D350" s="247"/>
      <c r="E350" s="247"/>
      <c r="F350" s="247"/>
      <c r="G350" s="241"/>
      <c r="H350" s="244"/>
      <c r="I350" s="244"/>
      <c r="J350" s="244">
        <f>J344-J349</f>
        <v>5436530.0000000745</v>
      </c>
      <c r="K350" s="247"/>
      <c r="L350" s="735">
        <v>6002011.9999999478</v>
      </c>
      <c r="M350" s="736">
        <f t="shared" si="25"/>
        <v>0.90578459356631102</v>
      </c>
      <c r="N350" s="386"/>
      <c r="O350" s="386"/>
      <c r="P350" s="386"/>
      <c r="Q350" s="386"/>
    </row>
    <row r="351" spans="1:17" customFormat="1">
      <c r="A351" s="241"/>
      <c r="B351" s="737" t="s">
        <v>1522</v>
      </c>
      <c r="C351" s="238"/>
      <c r="D351" s="247"/>
      <c r="E351" s="247"/>
      <c r="F351" s="247"/>
      <c r="G351" s="241"/>
      <c r="H351" s="244"/>
      <c r="I351" s="241"/>
      <c r="J351" s="244"/>
      <c r="K351" s="743"/>
      <c r="L351" s="735"/>
      <c r="M351" s="736" t="e">
        <f t="shared" si="25"/>
        <v>#DIV/0!</v>
      </c>
      <c r="N351" s="386"/>
      <c r="O351" s="386"/>
      <c r="P351" s="386"/>
      <c r="Q351" s="386"/>
    </row>
    <row r="352" spans="1:17" customFormat="1">
      <c r="A352" s="241">
        <v>34</v>
      </c>
      <c r="B352" s="748" t="s">
        <v>1310</v>
      </c>
      <c r="C352" s="748" t="s">
        <v>1720</v>
      </c>
      <c r="D352" s="809">
        <v>135170.1</v>
      </c>
      <c r="E352" s="809">
        <v>135618.1</v>
      </c>
      <c r="F352" s="809">
        <f>E352-D352</f>
        <v>448</v>
      </c>
      <c r="G352" s="747">
        <v>2000</v>
      </c>
      <c r="H352" s="769">
        <f t="shared" ref="H352:H359" si="26">(F352*G352)</f>
        <v>896000</v>
      </c>
      <c r="I352" s="769"/>
      <c r="J352" s="769">
        <f t="shared" ref="J352:J359" si="27">H352+I352</f>
        <v>896000</v>
      </c>
      <c r="K352" s="1237"/>
      <c r="L352" s="735">
        <v>956000</v>
      </c>
      <c r="M352" s="736">
        <f>J352/L352</f>
        <v>0.93723849372384938</v>
      </c>
      <c r="N352" s="386">
        <f>133.6*2000</f>
        <v>267200</v>
      </c>
      <c r="O352" s="386"/>
      <c r="P352" s="386"/>
      <c r="Q352" s="386">
        <v>35</v>
      </c>
    </row>
    <row r="353" spans="1:17" customFormat="1">
      <c r="A353" s="241">
        <v>35</v>
      </c>
      <c r="B353" s="734" t="s">
        <v>1721</v>
      </c>
      <c r="C353" s="238">
        <v>3300079</v>
      </c>
      <c r="D353" s="247">
        <v>64965.3</v>
      </c>
      <c r="E353" s="247">
        <v>82645</v>
      </c>
      <c r="F353" s="247">
        <v>20149.900000000001</v>
      </c>
      <c r="G353" s="241">
        <v>20</v>
      </c>
      <c r="H353" s="244">
        <f t="shared" si="26"/>
        <v>402998</v>
      </c>
      <c r="I353" s="244"/>
      <c r="J353" s="244">
        <f t="shared" si="27"/>
        <v>402998</v>
      </c>
      <c r="K353" s="1237"/>
      <c r="L353" s="735">
        <v>402998</v>
      </c>
      <c r="M353" s="736">
        <f t="shared" si="25"/>
        <v>1</v>
      </c>
      <c r="N353" s="386">
        <f>N352/5</f>
        <v>53440</v>
      </c>
      <c r="O353" s="386"/>
      <c r="P353" s="386"/>
      <c r="Q353" s="386">
        <v>12500</v>
      </c>
    </row>
    <row r="354" spans="1:17" customFormat="1">
      <c r="A354" s="241">
        <v>36</v>
      </c>
      <c r="B354" s="734" t="s">
        <v>1722</v>
      </c>
      <c r="C354" s="238" t="s">
        <v>1723</v>
      </c>
      <c r="D354" s="247">
        <v>11715.07</v>
      </c>
      <c r="E354" s="247">
        <v>11816</v>
      </c>
      <c r="F354" s="247">
        <f t="shared" ref="F354:F359" si="28">E354-D354</f>
        <v>100.93000000000029</v>
      </c>
      <c r="G354" s="241">
        <v>6000</v>
      </c>
      <c r="H354" s="244">
        <f t="shared" si="26"/>
        <v>605580.00000000175</v>
      </c>
      <c r="I354" s="244">
        <v>791912.30769231101</v>
      </c>
      <c r="J354" s="244">
        <f t="shared" si="27"/>
        <v>1397492.3076923126</v>
      </c>
      <c r="K354" s="1237"/>
      <c r="L354" s="735">
        <v>1436699.9999999935</v>
      </c>
      <c r="M354" s="736">
        <f t="shared" si="25"/>
        <v>0.97270989607595115</v>
      </c>
      <c r="N354" s="386">
        <f>N352-N353</f>
        <v>213760</v>
      </c>
      <c r="O354" s="386"/>
      <c r="P354" s="386"/>
      <c r="Q354" s="386">
        <f>Q353*Q352</f>
        <v>437500</v>
      </c>
    </row>
    <row r="355" spans="1:17" customFormat="1">
      <c r="A355" s="241"/>
      <c r="B355" s="734" t="s">
        <v>1724</v>
      </c>
      <c r="C355" s="238" t="s">
        <v>1725</v>
      </c>
      <c r="D355" s="247">
        <v>762.38</v>
      </c>
      <c r="E355" s="247">
        <v>895.89</v>
      </c>
      <c r="F355" s="247">
        <f t="shared" si="28"/>
        <v>133.51</v>
      </c>
      <c r="G355" s="241">
        <v>6000</v>
      </c>
      <c r="H355" s="244">
        <f t="shared" si="26"/>
        <v>801060</v>
      </c>
      <c r="I355" s="244"/>
      <c r="J355" s="244">
        <f t="shared" si="27"/>
        <v>801060</v>
      </c>
      <c r="K355" s="1237"/>
      <c r="L355" s="735">
        <v>918720</v>
      </c>
      <c r="M355" s="736">
        <f t="shared" si="25"/>
        <v>0.87193051201671889</v>
      </c>
      <c r="N355" s="386"/>
      <c r="O355" s="386"/>
      <c r="P355" s="386"/>
      <c r="Q355" s="386">
        <f>Q354/30</f>
        <v>14583.333333333334</v>
      </c>
    </row>
    <row r="356" spans="1:17" customFormat="1">
      <c r="A356" s="241">
        <v>38</v>
      </c>
      <c r="B356" s="734" t="s">
        <v>1726</v>
      </c>
      <c r="C356" s="238" t="s">
        <v>1727</v>
      </c>
      <c r="D356" s="247">
        <v>71671.7</v>
      </c>
      <c r="E356" s="247">
        <v>72046.5</v>
      </c>
      <c r="F356" s="247">
        <f t="shared" si="28"/>
        <v>374.80000000000291</v>
      </c>
      <c r="G356" s="241">
        <v>2000</v>
      </c>
      <c r="H356" s="244">
        <f t="shared" si="26"/>
        <v>749600.00000000582</v>
      </c>
      <c r="I356" s="244"/>
      <c r="J356" s="244">
        <f t="shared" si="27"/>
        <v>749600.00000000582</v>
      </c>
      <c r="K356" s="1237"/>
      <c r="L356" s="735">
        <v>769600.00000000582</v>
      </c>
      <c r="M356" s="736">
        <f t="shared" si="25"/>
        <v>0.97401247401247426</v>
      </c>
      <c r="N356" s="386">
        <f>23*G357</f>
        <v>138000</v>
      </c>
      <c r="O356" s="386">
        <f>N356*0.6</f>
        <v>82800</v>
      </c>
      <c r="P356" s="386">
        <f>N356-O356</f>
        <v>55200</v>
      </c>
      <c r="Q356" s="386">
        <f>Q355*16</f>
        <v>233333.33333333334</v>
      </c>
    </row>
    <row r="357" spans="1:17" customFormat="1">
      <c r="A357" s="241">
        <v>39</v>
      </c>
      <c r="B357" s="734" t="s">
        <v>1728</v>
      </c>
      <c r="C357" s="238" t="s">
        <v>1729</v>
      </c>
      <c r="D357" s="247">
        <v>3419.51</v>
      </c>
      <c r="E357" s="247">
        <v>3524.5</v>
      </c>
      <c r="F357" s="247">
        <f t="shared" si="28"/>
        <v>104.98999999999978</v>
      </c>
      <c r="G357" s="241">
        <v>6000</v>
      </c>
      <c r="H357" s="244">
        <f t="shared" si="26"/>
        <v>629939.99999999872</v>
      </c>
      <c r="I357" s="244">
        <v>19199.643900001305</v>
      </c>
      <c r="J357" s="244">
        <f t="shared" si="27"/>
        <v>649139.64390000002</v>
      </c>
      <c r="K357" s="1237"/>
      <c r="L357" s="735">
        <v>820740.00000000256</v>
      </c>
      <c r="M357" s="736">
        <f t="shared" si="25"/>
        <v>0.79091995504057067</v>
      </c>
      <c r="N357" s="386">
        <f>J357/3</f>
        <v>216379.88130000001</v>
      </c>
      <c r="O357" s="386">
        <f>J357/3</f>
        <v>216379.88130000001</v>
      </c>
      <c r="P357" s="386">
        <f>O357*33</f>
        <v>7140536.0829000007</v>
      </c>
      <c r="Q357" s="386">
        <f>J357/2</f>
        <v>324569.82195000001</v>
      </c>
    </row>
    <row r="358" spans="1:17" customFormat="1">
      <c r="A358" s="241">
        <v>40</v>
      </c>
      <c r="B358" s="734" t="s">
        <v>1730</v>
      </c>
      <c r="C358" s="238" t="s">
        <v>1731</v>
      </c>
      <c r="D358" s="247">
        <v>1795.25</v>
      </c>
      <c r="E358" s="247">
        <v>1815.84</v>
      </c>
      <c r="F358" s="247">
        <f t="shared" si="28"/>
        <v>20.589999999999918</v>
      </c>
      <c r="G358" s="241">
        <v>4000</v>
      </c>
      <c r="H358" s="244">
        <f t="shared" si="26"/>
        <v>82359.99999999968</v>
      </c>
      <c r="I358" s="244">
        <v>27038.438200000299</v>
      </c>
      <c r="J358" s="244">
        <f t="shared" si="27"/>
        <v>109398.43819999998</v>
      </c>
      <c r="K358" s="1237"/>
      <c r="L358" s="735">
        <v>176839.856</v>
      </c>
      <c r="M358" s="736">
        <f t="shared" si="25"/>
        <v>0.61862998915810008</v>
      </c>
      <c r="N358" s="386">
        <f>N357/100</f>
        <v>2163.7988129999999</v>
      </c>
      <c r="O358" s="386"/>
      <c r="P358" s="386"/>
      <c r="Q358" s="386"/>
    </row>
    <row r="359" spans="1:17" customFormat="1">
      <c r="A359" s="241">
        <v>41</v>
      </c>
      <c r="B359" s="734" t="s">
        <v>1077</v>
      </c>
      <c r="C359" s="238" t="s">
        <v>1732</v>
      </c>
      <c r="D359" s="247">
        <v>1089.42</v>
      </c>
      <c r="E359" s="247">
        <v>1173.57</v>
      </c>
      <c r="F359" s="247">
        <f t="shared" si="28"/>
        <v>84.149999999999864</v>
      </c>
      <c r="G359" s="241">
        <v>4000</v>
      </c>
      <c r="H359" s="244">
        <f t="shared" si="26"/>
        <v>336599.99999999948</v>
      </c>
      <c r="I359" s="244"/>
      <c r="J359" s="244">
        <f t="shared" si="27"/>
        <v>336599.99999999948</v>
      </c>
      <c r="K359" s="1237"/>
      <c r="L359" s="735">
        <v>418000.00000000047</v>
      </c>
      <c r="M359" s="736">
        <f t="shared" si="25"/>
        <v>0.80526315789473468</v>
      </c>
      <c r="N359" s="386">
        <f>N358*33</f>
        <v>71405.360828999997</v>
      </c>
      <c r="O359" s="386"/>
      <c r="P359" s="386"/>
      <c r="Q359" s="386"/>
    </row>
    <row r="360" spans="1:17" customFormat="1">
      <c r="A360" s="241"/>
      <c r="B360" s="238"/>
      <c r="C360" s="238"/>
      <c r="D360" s="247"/>
      <c r="E360" s="247"/>
      <c r="F360" s="247"/>
      <c r="G360" s="241"/>
      <c r="H360" s="244"/>
      <c r="I360" s="244"/>
      <c r="J360" s="244">
        <f>SUM(J352:J359)</f>
        <v>5342288.3897923175</v>
      </c>
      <c r="K360" s="743">
        <f>(J350-J360)/J350</f>
        <v>1.7334882766719892E-2</v>
      </c>
      <c r="L360" s="735">
        <v>5899597.8560000025</v>
      </c>
      <c r="M360" s="736">
        <f t="shared" si="25"/>
        <v>0.90553432965928504</v>
      </c>
      <c r="N360" s="386"/>
      <c r="O360" s="386"/>
      <c r="P360" s="386"/>
      <c r="Q360" s="386"/>
    </row>
    <row r="361" spans="1:17" customFormat="1">
      <c r="A361" s="1239">
        <v>9</v>
      </c>
      <c r="B361" s="732" t="s">
        <v>1733</v>
      </c>
      <c r="C361" s="238"/>
      <c r="D361" s="247"/>
      <c r="E361" s="247"/>
      <c r="F361" s="247"/>
      <c r="G361" s="241"/>
      <c r="H361" s="244"/>
      <c r="I361" s="244"/>
      <c r="J361" s="244"/>
      <c r="K361" s="241"/>
      <c r="L361" s="735">
        <v>1836799.99999999</v>
      </c>
      <c r="M361" s="736">
        <f t="shared" si="25"/>
        <v>0</v>
      </c>
      <c r="N361" s="386"/>
      <c r="O361" s="386"/>
      <c r="P361" s="386"/>
      <c r="Q361" s="386"/>
    </row>
    <row r="362" spans="1:17" customFormat="1">
      <c r="A362" s="241">
        <v>1</v>
      </c>
      <c r="B362" s="734" t="s">
        <v>1714</v>
      </c>
      <c r="C362" s="238" t="s">
        <v>1734</v>
      </c>
      <c r="D362" s="247">
        <v>170270.8</v>
      </c>
      <c r="E362" s="247">
        <v>171283.8</v>
      </c>
      <c r="F362" s="247">
        <f>E362-D362</f>
        <v>1013</v>
      </c>
      <c r="G362" s="241">
        <v>2000</v>
      </c>
      <c r="H362" s="244">
        <f>(F362*G362)</f>
        <v>2026000</v>
      </c>
      <c r="I362" s="244"/>
      <c r="J362" s="244">
        <f>H362+I362</f>
        <v>2026000</v>
      </c>
      <c r="K362" s="1237"/>
      <c r="L362" s="735">
        <v>259920</v>
      </c>
      <c r="M362" s="736">
        <f t="shared" si="25"/>
        <v>7.7947060634041243</v>
      </c>
      <c r="N362" s="386"/>
      <c r="O362" s="386"/>
      <c r="P362" s="386"/>
      <c r="Q362" s="386"/>
    </row>
    <row r="363" spans="1:17" customFormat="1">
      <c r="A363" s="241"/>
      <c r="B363" s="734" t="s">
        <v>1714</v>
      </c>
      <c r="C363" s="238" t="s">
        <v>1735</v>
      </c>
      <c r="D363" s="247">
        <v>1260.49</v>
      </c>
      <c r="E363" s="247">
        <v>1312.4</v>
      </c>
      <c r="F363" s="247">
        <f>E363-D363</f>
        <v>51.910000000000082</v>
      </c>
      <c r="G363" s="241">
        <v>8000</v>
      </c>
      <c r="H363" s="244">
        <f>(F363*G363)</f>
        <v>415280.00000000064</v>
      </c>
      <c r="I363" s="244"/>
      <c r="J363" s="244">
        <f>H363+I363</f>
        <v>415280.00000000064</v>
      </c>
      <c r="K363" s="1237"/>
      <c r="L363" s="735">
        <v>450000</v>
      </c>
      <c r="M363" s="736">
        <f t="shared" si="25"/>
        <v>0.92284444444444591</v>
      </c>
      <c r="N363" s="386"/>
      <c r="O363" s="386"/>
      <c r="P363" s="386"/>
      <c r="Q363" s="386"/>
    </row>
    <row r="364" spans="1:17" customFormat="1">
      <c r="A364" s="241"/>
      <c r="B364" s="734" t="s">
        <v>1736</v>
      </c>
      <c r="C364" s="238"/>
      <c r="D364" s="247"/>
      <c r="E364" s="247"/>
      <c r="F364" s="247"/>
      <c r="G364" s="241"/>
      <c r="H364" s="244"/>
      <c r="I364" s="244"/>
      <c r="J364" s="244">
        <v>1050000</v>
      </c>
      <c r="K364" s="1237"/>
      <c r="L364" s="735">
        <v>2546719.9999999902</v>
      </c>
      <c r="M364" s="736">
        <f t="shared" si="25"/>
        <v>0.41229503047056765</v>
      </c>
      <c r="N364" s="386"/>
      <c r="O364" s="386"/>
      <c r="P364" s="386"/>
      <c r="Q364" s="386"/>
    </row>
    <row r="365" spans="1:17" customFormat="1">
      <c r="A365" s="241"/>
      <c r="B365" s="734" t="s">
        <v>1363</v>
      </c>
      <c r="C365" s="238"/>
      <c r="D365" s="247"/>
      <c r="E365" s="247"/>
      <c r="F365" s="247"/>
      <c r="G365" s="241"/>
      <c r="H365" s="244"/>
      <c r="I365" s="244"/>
      <c r="J365" s="244">
        <f>SUM(J362:J364)</f>
        <v>3491280.0000000005</v>
      </c>
      <c r="K365" s="241"/>
      <c r="L365" s="735"/>
      <c r="M365" s="736" t="e">
        <f t="shared" si="25"/>
        <v>#DIV/0!</v>
      </c>
      <c r="N365" s="386"/>
      <c r="O365" s="386"/>
      <c r="P365" s="386"/>
      <c r="Q365" s="386"/>
    </row>
    <row r="366" spans="1:17" customFormat="1">
      <c r="A366" s="241"/>
      <c r="B366" s="737" t="s">
        <v>1522</v>
      </c>
      <c r="C366" s="238"/>
      <c r="D366" s="247"/>
      <c r="E366" s="247"/>
      <c r="F366" s="247"/>
      <c r="G366" s="241"/>
      <c r="H366" s="244"/>
      <c r="I366" s="244"/>
      <c r="J366" s="244"/>
      <c r="K366" s="241"/>
      <c r="L366" s="735">
        <v>658600.00000000605</v>
      </c>
      <c r="M366" s="736">
        <f t="shared" si="25"/>
        <v>0</v>
      </c>
      <c r="N366" s="386"/>
      <c r="O366" s="386"/>
      <c r="P366" s="386"/>
      <c r="Q366" s="386"/>
    </row>
    <row r="367" spans="1:17" customFormat="1">
      <c r="A367" s="241">
        <v>42</v>
      </c>
      <c r="B367" s="734" t="s">
        <v>1737</v>
      </c>
      <c r="C367" s="238" t="s">
        <v>1738</v>
      </c>
      <c r="D367" s="247">
        <v>5764.72</v>
      </c>
      <c r="E367" s="247">
        <v>5817.15</v>
      </c>
      <c r="F367" s="247">
        <f t="shared" ref="F367:F372" si="29">E367-D367</f>
        <v>52.429999999999382</v>
      </c>
      <c r="G367" s="241">
        <v>20000</v>
      </c>
      <c r="H367" s="244">
        <f t="shared" ref="H367:H372" si="30">(F367*G367)</f>
        <v>1048599.9999999877</v>
      </c>
      <c r="I367" s="244"/>
      <c r="J367" s="244">
        <f>H367+I367</f>
        <v>1048599.9999999877</v>
      </c>
      <c r="K367" s="1237"/>
      <c r="L367" s="735">
        <v>37799.935899999997</v>
      </c>
      <c r="M367" s="736">
        <f t="shared" si="25"/>
        <v>27.740787782658323</v>
      </c>
      <c r="N367" s="386"/>
      <c r="O367" s="386"/>
      <c r="P367" s="386"/>
      <c r="Q367" s="386"/>
    </row>
    <row r="368" spans="1:17" customFormat="1">
      <c r="A368" s="241">
        <v>43</v>
      </c>
      <c r="B368" s="734" t="s">
        <v>1739</v>
      </c>
      <c r="C368" s="238" t="s">
        <v>1740</v>
      </c>
      <c r="D368" s="247">
        <v>1517936</v>
      </c>
      <c r="E368" s="247">
        <v>1519747</v>
      </c>
      <c r="F368" s="247">
        <f t="shared" si="29"/>
        <v>1811</v>
      </c>
      <c r="G368" s="241">
        <v>60</v>
      </c>
      <c r="H368" s="244">
        <f t="shared" si="30"/>
        <v>108660</v>
      </c>
      <c r="I368" s="244"/>
      <c r="J368" s="244">
        <f t="shared" ref="J368:J372" si="31">H368+I368</f>
        <v>108660</v>
      </c>
      <c r="K368" s="241"/>
      <c r="L368" s="735">
        <v>250600.000000006</v>
      </c>
      <c r="M368" s="736">
        <f t="shared" si="25"/>
        <v>0.43359936153231204</v>
      </c>
      <c r="N368" s="386">
        <f>J368/27</f>
        <v>4024.4444444444443</v>
      </c>
      <c r="O368" s="386"/>
      <c r="P368" s="386"/>
      <c r="Q368" s="386"/>
    </row>
    <row r="369" spans="1:14" customFormat="1">
      <c r="A369" s="241">
        <v>44</v>
      </c>
      <c r="B369" s="734" t="s">
        <v>1741</v>
      </c>
      <c r="C369" s="238" t="s">
        <v>1742</v>
      </c>
      <c r="D369" s="247">
        <v>67516</v>
      </c>
      <c r="E369" s="247">
        <v>67652.399999999994</v>
      </c>
      <c r="F369" s="247">
        <f t="shared" si="29"/>
        <v>136.39999999999418</v>
      </c>
      <c r="G369" s="241">
        <v>2000</v>
      </c>
      <c r="H369" s="244">
        <f t="shared" si="30"/>
        <v>272799.99999998836</v>
      </c>
      <c r="I369" s="244">
        <v>142760.54770001164</v>
      </c>
      <c r="J369" s="244">
        <f t="shared" si="31"/>
        <v>415560.5477</v>
      </c>
      <c r="K369" s="241"/>
      <c r="L369" s="735">
        <v>834200.00000000105</v>
      </c>
      <c r="M369" s="736">
        <f t="shared" si="25"/>
        <v>0.49815457648045969</v>
      </c>
      <c r="N369" s="386">
        <f>N368*4</f>
        <v>16097.777777777777</v>
      </c>
    </row>
    <row r="370" spans="1:14" customFormat="1">
      <c r="A370" s="241">
        <v>45</v>
      </c>
      <c r="B370" s="734" t="s">
        <v>1743</v>
      </c>
      <c r="C370" s="238" t="s">
        <v>1744</v>
      </c>
      <c r="D370" s="247">
        <v>6405.35</v>
      </c>
      <c r="E370" s="247">
        <v>6435.99</v>
      </c>
      <c r="F370" s="247">
        <f t="shared" si="29"/>
        <v>30.639999999999418</v>
      </c>
      <c r="G370" s="241">
        <v>20000</v>
      </c>
      <c r="H370" s="244">
        <f t="shared" si="30"/>
        <v>612799.99999998836</v>
      </c>
      <c r="I370" s="244"/>
      <c r="J370" s="244">
        <f t="shared" si="31"/>
        <v>612799.99999998836</v>
      </c>
      <c r="K370" s="241"/>
      <c r="L370" s="735">
        <v>162419.9657</v>
      </c>
      <c r="M370" s="736">
        <f t="shared" si="25"/>
        <v>3.772935164460439</v>
      </c>
      <c r="N370" s="386"/>
    </row>
    <row r="371" spans="1:14" customFormat="1">
      <c r="A371" s="241"/>
      <c r="B371" s="238" t="s">
        <v>1745</v>
      </c>
      <c r="C371" s="1238" t="s">
        <v>1746</v>
      </c>
      <c r="D371" s="241">
        <v>1020.17</v>
      </c>
      <c r="E371" s="241">
        <v>1040.07</v>
      </c>
      <c r="F371" s="241">
        <f t="shared" si="29"/>
        <v>19.899999999999977</v>
      </c>
      <c r="G371" s="241">
        <v>6000</v>
      </c>
      <c r="H371" s="241">
        <f t="shared" si="30"/>
        <v>119399.99999999987</v>
      </c>
      <c r="I371" s="244">
        <v>251519.66660000011</v>
      </c>
      <c r="J371" s="244">
        <f t="shared" si="31"/>
        <v>370919.6666</v>
      </c>
      <c r="K371" s="241"/>
      <c r="L371" s="735">
        <v>553240</v>
      </c>
      <c r="M371" s="736">
        <f t="shared" si="25"/>
        <v>0.67044983479141063</v>
      </c>
      <c r="N371" s="386"/>
    </row>
    <row r="372" spans="1:14" customFormat="1">
      <c r="A372" s="241"/>
      <c r="B372" s="1240" t="s">
        <v>1747</v>
      </c>
      <c r="C372" s="238" t="s">
        <v>1748</v>
      </c>
      <c r="D372" s="247">
        <v>50782.1</v>
      </c>
      <c r="E372" s="247">
        <v>55125.1</v>
      </c>
      <c r="F372" s="247">
        <f t="shared" si="29"/>
        <v>4343</v>
      </c>
      <c r="G372" s="241">
        <v>200</v>
      </c>
      <c r="H372" s="244">
        <f t="shared" si="30"/>
        <v>868600</v>
      </c>
      <c r="I372" s="20"/>
      <c r="J372" s="244">
        <f t="shared" si="31"/>
        <v>868600</v>
      </c>
      <c r="K372" s="241"/>
      <c r="L372" s="735">
        <v>2496859.9016000102</v>
      </c>
      <c r="M372" s="736">
        <f t="shared" si="25"/>
        <v>0.34787694713804057</v>
      </c>
      <c r="N372" s="386"/>
    </row>
    <row r="373" spans="1:14" customFormat="1">
      <c r="A373" s="241"/>
      <c r="B373" s="734"/>
      <c r="C373" s="811"/>
      <c r="D373" s="202"/>
      <c r="E373" s="247"/>
      <c r="F373" s="247"/>
      <c r="G373" s="244"/>
      <c r="H373" s="244"/>
      <c r="I373" s="244"/>
      <c r="J373" s="244">
        <f>SUM(J367:J372)</f>
        <v>3425140.2142999759</v>
      </c>
      <c r="K373" s="743">
        <f>(J365-J373)/J365</f>
        <v>1.8944279948908297E-2</v>
      </c>
      <c r="L373" s="735"/>
      <c r="M373" s="736" t="e">
        <f t="shared" si="25"/>
        <v>#DIV/0!</v>
      </c>
      <c r="N373" s="386"/>
    </row>
    <row r="374" spans="1:14" customFormat="1">
      <c r="A374" s="1239">
        <v>10</v>
      </c>
      <c r="B374" s="732" t="s">
        <v>1749</v>
      </c>
      <c r="C374" s="238"/>
      <c r="D374" s="247"/>
      <c r="E374" s="247"/>
      <c r="F374" s="247"/>
      <c r="G374" s="241"/>
      <c r="H374" s="244"/>
      <c r="I374" s="244"/>
      <c r="J374" s="244"/>
      <c r="K374" s="241"/>
      <c r="L374" s="735">
        <v>3702000</v>
      </c>
      <c r="M374" s="736">
        <f t="shared" si="25"/>
        <v>0</v>
      </c>
      <c r="N374" s="386"/>
    </row>
    <row r="375" spans="1:14" customFormat="1">
      <c r="A375" s="241">
        <v>1</v>
      </c>
      <c r="B375" s="734" t="s">
        <v>1750</v>
      </c>
      <c r="C375" s="238" t="s">
        <v>1751</v>
      </c>
      <c r="D375" s="247">
        <v>29979</v>
      </c>
      <c r="E375" s="247">
        <v>30318</v>
      </c>
      <c r="F375" s="247">
        <f>E375-D375</f>
        <v>339</v>
      </c>
      <c r="G375" s="241">
        <v>8000</v>
      </c>
      <c r="H375" s="244">
        <f>(F375*G375)</f>
        <v>2712000</v>
      </c>
      <c r="I375" s="244">
        <v>2219000</v>
      </c>
      <c r="J375" s="244">
        <f>H375+I375</f>
        <v>4931000</v>
      </c>
      <c r="K375" s="241"/>
      <c r="L375" s="735">
        <v>1836799.99999999</v>
      </c>
      <c r="M375" s="736">
        <f t="shared" si="25"/>
        <v>2.6845601045296315</v>
      </c>
      <c r="N375" s="386"/>
    </row>
    <row r="376" spans="1:14" customFormat="1">
      <c r="A376" s="241">
        <v>2</v>
      </c>
      <c r="B376" s="734" t="s">
        <v>1752</v>
      </c>
      <c r="C376" s="238" t="s">
        <v>1734</v>
      </c>
      <c r="D376" s="247"/>
      <c r="E376" s="247"/>
      <c r="F376" s="247">
        <f>F362</f>
        <v>1013</v>
      </c>
      <c r="G376" s="244">
        <f>G362</f>
        <v>2000</v>
      </c>
      <c r="H376" s="244">
        <f>H362</f>
        <v>2026000</v>
      </c>
      <c r="I376" s="244"/>
      <c r="J376" s="244">
        <f>J362</f>
        <v>2026000</v>
      </c>
      <c r="K376" s="241"/>
      <c r="L376" s="735">
        <v>259920</v>
      </c>
      <c r="M376" s="736">
        <f t="shared" si="25"/>
        <v>7.7947060634041243</v>
      </c>
      <c r="N376" s="386"/>
    </row>
    <row r="377" spans="1:14" customFormat="1">
      <c r="A377" s="241"/>
      <c r="B377" s="734" t="s">
        <v>1714</v>
      </c>
      <c r="C377" s="238" t="s">
        <v>1735</v>
      </c>
      <c r="D377" s="247">
        <v>1260.49</v>
      </c>
      <c r="E377" s="247">
        <v>1312.4</v>
      </c>
      <c r="F377" s="247">
        <f>E377-D377</f>
        <v>51.910000000000082</v>
      </c>
      <c r="G377" s="241">
        <v>8000</v>
      </c>
      <c r="H377" s="244">
        <f>(F377*G377)</f>
        <v>415280.00000000064</v>
      </c>
      <c r="I377" s="244"/>
      <c r="J377" s="244">
        <f>H377+I377</f>
        <v>415280.00000000064</v>
      </c>
      <c r="K377" s="241"/>
      <c r="L377" s="735"/>
      <c r="M377" s="736" t="e">
        <f t="shared" si="25"/>
        <v>#DIV/0!</v>
      </c>
      <c r="N377" s="386"/>
    </row>
    <row r="378" spans="1:14" customFormat="1">
      <c r="A378" s="241"/>
      <c r="B378" s="734" t="s">
        <v>1736</v>
      </c>
      <c r="C378" s="238"/>
      <c r="D378" s="247"/>
      <c r="E378" s="247"/>
      <c r="F378" s="247"/>
      <c r="G378" s="244"/>
      <c r="H378" s="244"/>
      <c r="I378" s="244"/>
      <c r="J378" s="244"/>
      <c r="K378" s="241"/>
      <c r="L378" s="735">
        <v>1605280.00000001</v>
      </c>
      <c r="M378" s="736">
        <f t="shared" si="25"/>
        <v>0</v>
      </c>
      <c r="N378" s="386"/>
    </row>
    <row r="379" spans="1:14" customFormat="1">
      <c r="A379" s="241"/>
      <c r="B379" s="238" t="s">
        <v>1363</v>
      </c>
      <c r="C379" s="238"/>
      <c r="D379" s="247"/>
      <c r="E379" s="247"/>
      <c r="F379" s="247"/>
      <c r="G379" s="241"/>
      <c r="H379" s="244"/>
      <c r="I379" s="244"/>
      <c r="J379" s="244">
        <f>J375-J376-J377-J378</f>
        <v>2489719.9999999995</v>
      </c>
      <c r="K379" s="241"/>
      <c r="L379" s="735"/>
      <c r="M379" s="736" t="e">
        <f t="shared" si="25"/>
        <v>#DIV/0!</v>
      </c>
      <c r="N379" s="386">
        <v>60</v>
      </c>
    </row>
    <row r="380" spans="1:14" customFormat="1">
      <c r="A380" s="241"/>
      <c r="B380" s="737" t="s">
        <v>1522</v>
      </c>
      <c r="C380" s="238"/>
      <c r="D380" s="247"/>
      <c r="E380" s="247"/>
      <c r="F380" s="247"/>
      <c r="G380" s="241"/>
      <c r="H380" s="244"/>
      <c r="I380" s="241"/>
      <c r="J380" s="244"/>
      <c r="K380" s="241"/>
      <c r="L380" s="735">
        <v>480000</v>
      </c>
      <c r="M380" s="736">
        <f t="shared" si="25"/>
        <v>0</v>
      </c>
      <c r="N380" s="386"/>
    </row>
    <row r="381" spans="1:14" customFormat="1">
      <c r="A381" s="241">
        <v>46</v>
      </c>
      <c r="B381" s="1240" t="s">
        <v>1753</v>
      </c>
      <c r="C381" s="238" t="s">
        <v>1754</v>
      </c>
      <c r="D381" s="247">
        <v>62472.4</v>
      </c>
      <c r="E381" s="247">
        <v>62862.6</v>
      </c>
      <c r="F381" s="247">
        <f>E381-D381</f>
        <v>390.19999999999709</v>
      </c>
      <c r="G381" s="241">
        <v>2000</v>
      </c>
      <c r="H381" s="244">
        <f>(F381*G381)</f>
        <v>780399.99999999418</v>
      </c>
      <c r="I381" s="20">
        <v>34346.092700005858</v>
      </c>
      <c r="J381" s="244">
        <f>H381+I381</f>
        <v>814746.09270000004</v>
      </c>
      <c r="K381" s="1237"/>
      <c r="L381" s="735">
        <v>253200.00000000201</v>
      </c>
      <c r="M381" s="736">
        <f t="shared" si="25"/>
        <v>3.2177965746445243</v>
      </c>
      <c r="N381" s="386"/>
    </row>
    <row r="382" spans="1:14" customFormat="1">
      <c r="A382" s="241">
        <v>47</v>
      </c>
      <c r="B382" s="1240" t="s">
        <v>1755</v>
      </c>
      <c r="C382" s="238" t="s">
        <v>1756</v>
      </c>
      <c r="D382" s="247">
        <v>2155.3000000000002</v>
      </c>
      <c r="E382" s="247">
        <v>2175.02</v>
      </c>
      <c r="F382" s="247">
        <f>E382-D382</f>
        <v>19.7199999999998</v>
      </c>
      <c r="G382" s="241">
        <v>20000</v>
      </c>
      <c r="H382" s="244">
        <f>(F382*G382)</f>
        <v>394399.99999999598</v>
      </c>
      <c r="I382" s="20"/>
      <c r="J382" s="244">
        <f>H382+I382</f>
        <v>394399.99999999598</v>
      </c>
      <c r="K382" s="1237"/>
      <c r="L382" s="735">
        <v>340560</v>
      </c>
      <c r="M382" s="736">
        <f t="shared" si="25"/>
        <v>1.1580925534413788</v>
      </c>
      <c r="N382" s="386"/>
    </row>
    <row r="383" spans="1:14" customFormat="1">
      <c r="A383" s="241"/>
      <c r="B383" s="1240" t="s">
        <v>1757</v>
      </c>
      <c r="C383" s="238">
        <v>3190952</v>
      </c>
      <c r="D383" s="247">
        <v>988012</v>
      </c>
      <c r="E383" s="801">
        <v>992161</v>
      </c>
      <c r="F383" s="247">
        <f>E383-D383</f>
        <v>4149</v>
      </c>
      <c r="G383" s="241">
        <v>60</v>
      </c>
      <c r="H383" s="244">
        <f>(F383*G383)</f>
        <v>248940</v>
      </c>
      <c r="I383" s="20">
        <v>242797.30910000001</v>
      </c>
      <c r="J383" s="244">
        <f>H383+I383</f>
        <v>491737.30910000001</v>
      </c>
      <c r="K383" s="1237"/>
      <c r="L383" s="735"/>
      <c r="M383" s="736" t="e">
        <f t="shared" si="25"/>
        <v>#DIV/0!</v>
      </c>
      <c r="N383" s="386"/>
    </row>
    <row r="384" spans="1:14" customFormat="1">
      <c r="A384" s="241"/>
      <c r="B384" s="439"/>
      <c r="C384" s="202"/>
      <c r="D384" s="202"/>
      <c r="E384" s="202"/>
      <c r="F384" s="202"/>
      <c r="G384" s="202"/>
      <c r="H384" s="202"/>
      <c r="I384" s="202"/>
      <c r="J384" s="202"/>
      <c r="K384" s="1237"/>
      <c r="L384" s="735">
        <v>154930</v>
      </c>
      <c r="M384" s="736">
        <f t="shared" si="25"/>
        <v>0</v>
      </c>
      <c r="N384" s="386"/>
    </row>
    <row r="385" spans="1:17" customFormat="1">
      <c r="A385" s="241">
        <v>49</v>
      </c>
      <c r="B385" s="1240" t="s">
        <v>1758</v>
      </c>
      <c r="C385" s="238" t="s">
        <v>1759</v>
      </c>
      <c r="D385" s="247">
        <v>26596.6</v>
      </c>
      <c r="E385" s="247">
        <v>29239.9</v>
      </c>
      <c r="F385" s="247">
        <f>E385-D385</f>
        <v>2643.3000000000029</v>
      </c>
      <c r="G385" s="241">
        <v>100</v>
      </c>
      <c r="H385" s="244">
        <f>(F385*G385)</f>
        <v>264330.00000000029</v>
      </c>
      <c r="I385" s="20"/>
      <c r="J385" s="244">
        <f>H385+I385</f>
        <v>264330.00000000029</v>
      </c>
      <c r="K385" s="1237"/>
      <c r="L385" s="735">
        <v>366520</v>
      </c>
      <c r="M385" s="736">
        <f t="shared" si="25"/>
        <v>0.72118847539015685</v>
      </c>
      <c r="N385" s="386">
        <v>235375</v>
      </c>
      <c r="O385" s="386"/>
      <c r="P385" s="386"/>
      <c r="Q385" s="386"/>
    </row>
    <row r="386" spans="1:17" customFormat="1">
      <c r="A386" s="241">
        <v>50</v>
      </c>
      <c r="B386" s="1240" t="s">
        <v>1760</v>
      </c>
      <c r="C386" s="238" t="s">
        <v>1761</v>
      </c>
      <c r="D386" s="247">
        <v>60376.3</v>
      </c>
      <c r="E386" s="247">
        <v>65203.6</v>
      </c>
      <c r="F386" s="247">
        <f>E386-D386</f>
        <v>4827.2999999999956</v>
      </c>
      <c r="G386" s="241">
        <v>100</v>
      </c>
      <c r="H386" s="244">
        <f>(F386*G386)</f>
        <v>482729.99999999953</v>
      </c>
      <c r="I386" s="20"/>
      <c r="J386" s="244">
        <f>H386+I386</f>
        <v>482729.99999999953</v>
      </c>
      <c r="K386" s="241"/>
      <c r="L386" s="735">
        <v>1595210</v>
      </c>
      <c r="M386" s="736">
        <f t="shared" si="25"/>
        <v>0.30261219525955801</v>
      </c>
      <c r="N386" s="765">
        <v>584875</v>
      </c>
      <c r="O386" s="386"/>
      <c r="P386" s="765">
        <f>N386-J386</f>
        <v>102145.00000000047</v>
      </c>
      <c r="Q386" s="386"/>
    </row>
    <row r="387" spans="1:17" customFormat="1">
      <c r="A387" s="241"/>
      <c r="B387" s="238"/>
      <c r="C387" s="238"/>
      <c r="D387" s="247"/>
      <c r="E387" s="247"/>
      <c r="F387" s="247"/>
      <c r="G387" s="241"/>
      <c r="H387" s="244"/>
      <c r="I387" s="244"/>
      <c r="J387" s="244">
        <f>SUM(J381:J386)</f>
        <v>2447943.4017999955</v>
      </c>
      <c r="K387" s="743">
        <f>(J379-J387)/J379</f>
        <v>1.6779637147954024E-2</v>
      </c>
      <c r="L387" s="735"/>
      <c r="M387" s="736" t="e">
        <f t="shared" si="25"/>
        <v>#DIV/0!</v>
      </c>
      <c r="N387" s="765">
        <f>I385-N385</f>
        <v>-235375</v>
      </c>
      <c r="O387" s="386"/>
      <c r="P387" s="386"/>
      <c r="Q387" s="386"/>
    </row>
    <row r="388" spans="1:17" customFormat="1">
      <c r="A388" s="1239">
        <v>11</v>
      </c>
      <c r="B388" s="741" t="s">
        <v>1762</v>
      </c>
      <c r="C388" s="238"/>
      <c r="D388" s="247"/>
      <c r="E388" s="247"/>
      <c r="F388" s="247"/>
      <c r="G388" s="241"/>
      <c r="H388" s="244"/>
      <c r="I388" s="244"/>
      <c r="J388" s="244"/>
      <c r="K388" s="247"/>
      <c r="L388" s="735">
        <v>1216200.00000001</v>
      </c>
      <c r="M388" s="736">
        <f t="shared" si="25"/>
        <v>0</v>
      </c>
      <c r="N388" s="386"/>
      <c r="O388" s="386"/>
      <c r="P388" s="386"/>
      <c r="Q388" s="386"/>
    </row>
    <row r="389" spans="1:17" customFormat="1">
      <c r="A389" s="241">
        <v>1</v>
      </c>
      <c r="B389" s="238" t="s">
        <v>1763</v>
      </c>
      <c r="C389" s="238" t="s">
        <v>1764</v>
      </c>
      <c r="D389" s="247">
        <v>160113</v>
      </c>
      <c r="E389" s="247">
        <v>161221.70000000001</v>
      </c>
      <c r="F389" s="247">
        <f>E389-D389</f>
        <v>1108.7000000000116</v>
      </c>
      <c r="G389" s="241">
        <v>1000</v>
      </c>
      <c r="H389" s="244">
        <f>(F389*G389)</f>
        <v>1108700.0000000116</v>
      </c>
      <c r="I389" s="244"/>
      <c r="J389" s="244">
        <f>H389+I389</f>
        <v>1108700.0000000116</v>
      </c>
      <c r="K389" s="247"/>
      <c r="L389" s="735">
        <v>1779480</v>
      </c>
      <c r="M389" s="736">
        <f t="shared" ref="M389:M417" si="32">J389/L389</f>
        <v>0.62304718232293232</v>
      </c>
      <c r="N389" s="386"/>
      <c r="O389" s="386"/>
      <c r="P389" s="386"/>
      <c r="Q389" s="386"/>
    </row>
    <row r="390" spans="1:17" customFormat="1">
      <c r="A390" s="241"/>
      <c r="B390" s="238" t="s">
        <v>1765</v>
      </c>
      <c r="C390" s="747" t="s">
        <v>1766</v>
      </c>
      <c r="D390" s="247">
        <v>571235.5</v>
      </c>
      <c r="E390" s="247">
        <v>597377.5</v>
      </c>
      <c r="F390" s="247">
        <f>E390-D390</f>
        <v>26142</v>
      </c>
      <c r="G390" s="241">
        <v>90</v>
      </c>
      <c r="H390" s="244">
        <f>(F390*G390)</f>
        <v>2352780</v>
      </c>
      <c r="I390" s="244"/>
      <c r="J390" s="244">
        <f>H390+I390</f>
        <v>2352780</v>
      </c>
      <c r="K390" s="247"/>
      <c r="L390" s="735">
        <v>2995680.0000000098</v>
      </c>
      <c r="M390" s="736">
        <f t="shared" si="32"/>
        <v>0.7853909629866983</v>
      </c>
      <c r="N390" s="386"/>
      <c r="O390" s="386"/>
      <c r="P390" s="386"/>
      <c r="Q390" s="386"/>
    </row>
    <row r="391" spans="1:17" customFormat="1">
      <c r="A391" s="241"/>
      <c r="B391" s="238" t="s">
        <v>1363</v>
      </c>
      <c r="C391" s="238"/>
      <c r="D391" s="247"/>
      <c r="E391" s="247"/>
      <c r="F391" s="247"/>
      <c r="G391" s="241"/>
      <c r="H391" s="244"/>
      <c r="I391" s="244"/>
      <c r="J391" s="244">
        <f>SUM(J389:J390)</f>
        <v>3461480.0000000116</v>
      </c>
      <c r="K391" s="247"/>
      <c r="L391" s="735"/>
      <c r="M391" s="736" t="e">
        <f t="shared" si="32"/>
        <v>#DIV/0!</v>
      </c>
      <c r="N391" s="386"/>
      <c r="O391" s="386"/>
      <c r="P391" s="386"/>
      <c r="Q391" s="386"/>
    </row>
    <row r="392" spans="1:17" customFormat="1">
      <c r="A392" s="241"/>
      <c r="B392" s="733" t="s">
        <v>1767</v>
      </c>
      <c r="C392" s="238"/>
      <c r="D392" s="247"/>
      <c r="E392" s="247"/>
      <c r="F392" s="247"/>
      <c r="G392" s="241"/>
      <c r="H392" s="244"/>
      <c r="I392" s="244"/>
      <c r="J392" s="244"/>
      <c r="K392" s="247"/>
      <c r="L392" s="735">
        <v>1240950</v>
      </c>
      <c r="M392" s="736">
        <f t="shared" si="32"/>
        <v>0</v>
      </c>
      <c r="N392" s="386"/>
      <c r="O392" s="386"/>
      <c r="P392" s="386"/>
      <c r="Q392" s="386"/>
    </row>
    <row r="393" spans="1:17" customFormat="1">
      <c r="A393" s="241">
        <v>51</v>
      </c>
      <c r="B393" s="748" t="s">
        <v>167</v>
      </c>
      <c r="C393" s="238" t="s">
        <v>1768</v>
      </c>
      <c r="D393" s="247">
        <v>59444.33</v>
      </c>
      <c r="E393" s="247">
        <v>60014.71</v>
      </c>
      <c r="F393" s="247">
        <f>E393-D393</f>
        <v>570.37999999999738</v>
      </c>
      <c r="G393" s="241">
        <v>3000</v>
      </c>
      <c r="H393" s="244">
        <f>(F393*G393)</f>
        <v>1711139.9999999921</v>
      </c>
      <c r="I393" s="244"/>
      <c r="J393" s="244">
        <f>H393+I393</f>
        <v>1711139.9999999921</v>
      </c>
      <c r="K393" s="247"/>
      <c r="L393" s="735">
        <v>512655.000000006</v>
      </c>
      <c r="M393" s="736">
        <f t="shared" si="32"/>
        <v>3.3378002750387141</v>
      </c>
      <c r="N393" s="386">
        <v>1362421.8746</v>
      </c>
      <c r="O393" s="386"/>
      <c r="P393" s="386"/>
      <c r="Q393" s="386">
        <v>7974669663</v>
      </c>
    </row>
    <row r="394" spans="1:17" customFormat="1">
      <c r="A394" s="241">
        <v>52</v>
      </c>
      <c r="B394" s="748" t="s">
        <v>1769</v>
      </c>
      <c r="C394" s="238" t="s">
        <v>1770</v>
      </c>
      <c r="D394" s="247">
        <v>45767.57</v>
      </c>
      <c r="E394" s="247">
        <v>46104.77</v>
      </c>
      <c r="F394" s="247">
        <f>E394-D394</f>
        <v>337.19999999999709</v>
      </c>
      <c r="G394" s="241">
        <v>1500</v>
      </c>
      <c r="H394" s="244">
        <f>(F394*G394)</f>
        <v>505799.99999999563</v>
      </c>
      <c r="I394" s="244"/>
      <c r="J394" s="244">
        <f>H394+I394</f>
        <v>505799.99999999563</v>
      </c>
      <c r="K394" s="247"/>
      <c r="L394" s="735">
        <v>686600.00000000605</v>
      </c>
      <c r="M394" s="736">
        <f t="shared" si="32"/>
        <v>0.73667346344303986</v>
      </c>
      <c r="N394" s="386"/>
      <c r="O394" s="386"/>
      <c r="P394" s="386"/>
      <c r="Q394" s="386"/>
    </row>
    <row r="395" spans="1:17" customFormat="1">
      <c r="A395" s="241">
        <v>53</v>
      </c>
      <c r="B395" s="238" t="s">
        <v>1771</v>
      </c>
      <c r="C395" s="238" t="s">
        <v>1772</v>
      </c>
      <c r="D395" s="247">
        <v>46372.6</v>
      </c>
      <c r="E395" s="247">
        <v>46857.5</v>
      </c>
      <c r="F395" s="247">
        <f>E395-D395</f>
        <v>484.90000000000146</v>
      </c>
      <c r="G395" s="241">
        <v>2000</v>
      </c>
      <c r="H395" s="244">
        <f>(F395*G395)</f>
        <v>969800.00000000291</v>
      </c>
      <c r="I395" s="244"/>
      <c r="J395" s="244">
        <f>H395+I395</f>
        <v>969800.00000000291</v>
      </c>
      <c r="K395" s="247"/>
      <c r="L395" s="735">
        <v>509000</v>
      </c>
      <c r="M395" s="736">
        <f t="shared" si="32"/>
        <v>1.9053045186640529</v>
      </c>
      <c r="N395" s="386"/>
      <c r="O395" s="386"/>
      <c r="P395" s="386"/>
      <c r="Q395" s="386"/>
    </row>
    <row r="396" spans="1:17" customFormat="1">
      <c r="A396" s="241">
        <v>54</v>
      </c>
      <c r="B396" s="238" t="s">
        <v>1773</v>
      </c>
      <c r="C396" s="238" t="s">
        <v>1774</v>
      </c>
      <c r="D396" s="247">
        <v>60853.5</v>
      </c>
      <c r="E396" s="247">
        <v>60935.7</v>
      </c>
      <c r="F396" s="247">
        <f>E396-D396</f>
        <v>82.19999999999709</v>
      </c>
      <c r="G396" s="241">
        <v>1000</v>
      </c>
      <c r="H396" s="244">
        <f>(F396*G396)</f>
        <v>82199.99999999709</v>
      </c>
      <c r="I396" s="244">
        <v>125000</v>
      </c>
      <c r="J396" s="244">
        <f>H396+I396</f>
        <v>207199.99999999709</v>
      </c>
      <c r="K396" s="247"/>
      <c r="L396" s="735">
        <v>2949205.00000002</v>
      </c>
      <c r="M396" s="736">
        <f t="shared" si="32"/>
        <v>7.0256221591919077E-2</v>
      </c>
      <c r="N396" s="386"/>
      <c r="O396" s="386"/>
      <c r="P396" s="386"/>
      <c r="Q396" s="386"/>
    </row>
    <row r="397" spans="1:17" customFormat="1">
      <c r="A397" s="241"/>
      <c r="B397" s="238"/>
      <c r="C397" s="238"/>
      <c r="D397" s="247"/>
      <c r="E397" s="247"/>
      <c r="F397" s="247"/>
      <c r="G397" s="241"/>
      <c r="H397" s="244"/>
      <c r="I397" s="244"/>
      <c r="J397" s="244">
        <f>SUM(J393:J396)</f>
        <v>3393939.9999999879</v>
      </c>
      <c r="K397" s="743">
        <f>(J391-J397)/J391</f>
        <v>1.9511885089621643E-2</v>
      </c>
      <c r="L397" s="735"/>
      <c r="M397" s="736" t="e">
        <f t="shared" si="32"/>
        <v>#DIV/0!</v>
      </c>
      <c r="N397" s="386"/>
      <c r="O397" s="386"/>
      <c r="P397" s="386"/>
      <c r="Q397" s="386"/>
    </row>
    <row r="398" spans="1:17" customFormat="1">
      <c r="A398" s="1239">
        <v>12</v>
      </c>
      <c r="B398" s="741" t="s">
        <v>1775</v>
      </c>
      <c r="C398" s="238"/>
      <c r="D398" s="247"/>
      <c r="E398" s="247"/>
      <c r="F398" s="247"/>
      <c r="G398" s="241"/>
      <c r="H398" s="244"/>
      <c r="I398" s="244"/>
      <c r="J398" s="244"/>
      <c r="K398" s="247"/>
      <c r="L398" s="735">
        <v>1880000</v>
      </c>
      <c r="M398" s="736">
        <f t="shared" si="32"/>
        <v>0</v>
      </c>
      <c r="N398" s="386"/>
      <c r="O398" s="386"/>
      <c r="P398" s="386"/>
      <c r="Q398" s="386"/>
    </row>
    <row r="399" spans="1:17" customFormat="1">
      <c r="A399" s="241">
        <v>1</v>
      </c>
      <c r="B399" s="238" t="s">
        <v>1776</v>
      </c>
      <c r="C399" s="238" t="s">
        <v>1777</v>
      </c>
      <c r="D399" s="247">
        <v>40967.599999999999</v>
      </c>
      <c r="E399" s="247">
        <v>41327.5</v>
      </c>
      <c r="F399" s="247">
        <f>E399-D399</f>
        <v>359.90000000000146</v>
      </c>
      <c r="G399" s="241">
        <v>8000</v>
      </c>
      <c r="H399" s="244">
        <f>(F399*G399)</f>
        <v>2879200.0000000116</v>
      </c>
      <c r="I399" s="244"/>
      <c r="J399" s="244">
        <f>H399+I399</f>
        <v>2879200.0000000116</v>
      </c>
      <c r="K399" s="247"/>
      <c r="L399" s="735">
        <v>741800.00000000303</v>
      </c>
      <c r="M399" s="736">
        <f t="shared" si="32"/>
        <v>3.8813696414127796</v>
      </c>
      <c r="N399" s="386"/>
      <c r="O399" s="386"/>
      <c r="P399" s="386"/>
      <c r="Q399" s="386"/>
    </row>
    <row r="400" spans="1:17" customFormat="1">
      <c r="A400" s="241">
        <v>2</v>
      </c>
      <c r="B400" s="238" t="s">
        <v>1776</v>
      </c>
      <c r="C400" s="238" t="s">
        <v>1778</v>
      </c>
      <c r="D400" s="247">
        <v>54976.3</v>
      </c>
      <c r="E400" s="247">
        <v>55590.400000000001</v>
      </c>
      <c r="F400" s="247">
        <f>E400-D400</f>
        <v>614.09999999999854</v>
      </c>
      <c r="G400" s="241">
        <v>2000</v>
      </c>
      <c r="H400" s="244">
        <f>(F400*G400)</f>
        <v>1228199.9999999972</v>
      </c>
      <c r="I400" s="244"/>
      <c r="J400" s="244">
        <f>H400+I400</f>
        <v>1228199.9999999972</v>
      </c>
      <c r="K400" s="244"/>
      <c r="L400" s="735">
        <v>1880000</v>
      </c>
      <c r="M400" s="736">
        <f t="shared" si="32"/>
        <v>0.65329787234042402</v>
      </c>
      <c r="N400" s="386"/>
      <c r="O400" s="386"/>
      <c r="P400" s="386"/>
      <c r="Q400" s="386"/>
    </row>
    <row r="401" spans="1:16" customFormat="1">
      <c r="A401" s="241"/>
      <c r="B401" s="238" t="s">
        <v>1363</v>
      </c>
      <c r="C401" s="238"/>
      <c r="D401" s="241"/>
      <c r="E401" s="241"/>
      <c r="F401" s="241"/>
      <c r="G401" s="241"/>
      <c r="H401" s="241"/>
      <c r="I401" s="244"/>
      <c r="J401" s="244">
        <f>J399</f>
        <v>2879200.0000000116</v>
      </c>
      <c r="K401" s="241"/>
      <c r="L401" s="735"/>
      <c r="M401" s="736" t="e">
        <f t="shared" si="32"/>
        <v>#DIV/0!</v>
      </c>
      <c r="N401" s="386"/>
      <c r="O401" s="386"/>
      <c r="P401" s="386"/>
    </row>
    <row r="402" spans="1:16" customFormat="1">
      <c r="A402" s="241"/>
      <c r="B402" s="733" t="s">
        <v>1767</v>
      </c>
      <c r="C402" s="238"/>
      <c r="D402" s="247"/>
      <c r="E402" s="247"/>
      <c r="F402" s="247"/>
      <c r="G402" s="241"/>
      <c r="H402" s="244"/>
      <c r="I402" s="244"/>
      <c r="J402" s="244"/>
      <c r="K402" s="247"/>
      <c r="L402" s="735">
        <v>478999.99999999598</v>
      </c>
      <c r="M402" s="736">
        <f t="shared" si="32"/>
        <v>0</v>
      </c>
      <c r="N402" s="386"/>
      <c r="O402" s="386"/>
      <c r="P402" s="386"/>
    </row>
    <row r="403" spans="1:16" customFormat="1">
      <c r="A403" s="241">
        <v>55</v>
      </c>
      <c r="B403" s="238" t="s">
        <v>1779</v>
      </c>
      <c r="C403" s="238" t="s">
        <v>1780</v>
      </c>
      <c r="D403" s="247">
        <v>4336.3599999999997</v>
      </c>
      <c r="E403" s="247">
        <v>4375.24</v>
      </c>
      <c r="F403" s="247">
        <f>E403-D403</f>
        <v>38.880000000000109</v>
      </c>
      <c r="G403" s="241">
        <v>20000</v>
      </c>
      <c r="H403" s="244">
        <f>(F403*G403)</f>
        <v>777600.00000000221</v>
      </c>
      <c r="I403" s="244"/>
      <c r="J403" s="244">
        <f>H403+I403</f>
        <v>777600.00000000221</v>
      </c>
      <c r="K403" s="812"/>
      <c r="L403" s="735">
        <v>619927.133999996</v>
      </c>
      <c r="M403" s="736">
        <f t="shared" si="32"/>
        <v>1.2543409658206819</v>
      </c>
      <c r="N403" s="386"/>
      <c r="O403" s="386"/>
      <c r="P403" s="386"/>
    </row>
    <row r="404" spans="1:16" customFormat="1">
      <c r="A404" s="241">
        <v>56</v>
      </c>
      <c r="B404" s="238" t="s">
        <v>1781</v>
      </c>
      <c r="C404" s="238" t="s">
        <v>1782</v>
      </c>
      <c r="D404" s="247">
        <v>105482.8</v>
      </c>
      <c r="E404" s="247">
        <v>106934.5</v>
      </c>
      <c r="F404" s="247">
        <f>E404-D404</f>
        <v>1451.6999999999971</v>
      </c>
      <c r="G404" s="241">
        <v>666.66</v>
      </c>
      <c r="H404" s="244">
        <f>(F404*G404)</f>
        <v>967790.32199999806</v>
      </c>
      <c r="I404" s="813"/>
      <c r="J404" s="244">
        <f>H404+I404</f>
        <v>967790.32199999806</v>
      </c>
      <c r="K404" s="247"/>
      <c r="L404" s="735">
        <v>260000</v>
      </c>
      <c r="M404" s="736">
        <f t="shared" si="32"/>
        <v>3.7222704692307618</v>
      </c>
      <c r="N404" s="386"/>
      <c r="O404" s="386"/>
      <c r="P404" s="386"/>
    </row>
    <row r="405" spans="1:16" customFormat="1">
      <c r="A405" s="241">
        <v>57</v>
      </c>
      <c r="B405" s="238" t="s">
        <v>1783</v>
      </c>
      <c r="C405" s="238" t="s">
        <v>1784</v>
      </c>
      <c r="D405" s="247">
        <v>11723.7</v>
      </c>
      <c r="E405" s="247">
        <v>11946.8</v>
      </c>
      <c r="F405" s="247">
        <f>E405-D405</f>
        <v>223.09999999999854</v>
      </c>
      <c r="G405" s="247">
        <v>2000</v>
      </c>
      <c r="H405" s="244">
        <f>(F405*G405)</f>
        <v>446199.99999999709</v>
      </c>
      <c r="I405" s="244"/>
      <c r="J405" s="244">
        <f>H405+I405</f>
        <v>446199.99999999709</v>
      </c>
      <c r="K405" s="247"/>
      <c r="L405" s="735">
        <v>484200.00000000402</v>
      </c>
      <c r="M405" s="736">
        <f t="shared" si="32"/>
        <v>0.92152003304418295</v>
      </c>
      <c r="N405" s="386"/>
      <c r="O405" s="386">
        <v>362359.86349999998</v>
      </c>
      <c r="P405" s="743">
        <f>(J400-O405)/J400</f>
        <v>0.70496672895293866</v>
      </c>
    </row>
    <row r="406" spans="1:16" customFormat="1">
      <c r="A406" s="241">
        <v>58</v>
      </c>
      <c r="B406" s="238" t="s">
        <v>1785</v>
      </c>
      <c r="C406" s="814" t="s">
        <v>1786</v>
      </c>
      <c r="D406" s="247">
        <v>2778.12</v>
      </c>
      <c r="E406" s="247">
        <v>2811.85</v>
      </c>
      <c r="F406" s="247">
        <f>E406-D406</f>
        <v>33.730000000000018</v>
      </c>
      <c r="G406" s="247">
        <v>20000</v>
      </c>
      <c r="H406" s="244">
        <f>(F406*G406)</f>
        <v>674600.00000000035</v>
      </c>
      <c r="I406" s="244"/>
      <c r="J406" s="244">
        <f>H406+I406</f>
        <v>674600.00000000035</v>
      </c>
      <c r="K406" s="247"/>
      <c r="L406" s="735">
        <v>1843127.1340000001</v>
      </c>
      <c r="M406" s="736">
        <f t="shared" si="32"/>
        <v>0.36600839277753278</v>
      </c>
      <c r="N406" s="386"/>
      <c r="O406" s="386">
        <v>581220</v>
      </c>
      <c r="P406" s="743">
        <f>(J399-O406)/J399</f>
        <v>0.79813142539594417</v>
      </c>
    </row>
    <row r="407" spans="1:16" customFormat="1">
      <c r="A407" s="241"/>
      <c r="B407" s="755"/>
      <c r="C407" s="238"/>
      <c r="D407" s="247"/>
      <c r="E407" s="247"/>
      <c r="F407" s="247"/>
      <c r="G407" s="241"/>
      <c r="H407" s="244"/>
      <c r="I407" s="244"/>
      <c r="J407" s="244">
        <f>SUM(J403:J406)</f>
        <v>2866190.3219999978</v>
      </c>
      <c r="K407" s="743">
        <f>(J401-J407)/J401</f>
        <v>4.5185044456841333E-3</v>
      </c>
      <c r="L407" s="735"/>
      <c r="M407" s="736" t="e">
        <f t="shared" si="32"/>
        <v>#DIV/0!</v>
      </c>
      <c r="N407" s="386"/>
      <c r="O407" s="386"/>
      <c r="P407" s="386"/>
    </row>
    <row r="408" spans="1:16" customFormat="1">
      <c r="A408" s="1239">
        <v>13</v>
      </c>
      <c r="B408" s="741" t="s">
        <v>1787</v>
      </c>
      <c r="C408" s="238"/>
      <c r="D408" s="247"/>
      <c r="E408" s="247"/>
      <c r="F408" s="247"/>
      <c r="G408" s="241"/>
      <c r="H408" s="244"/>
      <c r="I408" s="244"/>
      <c r="J408" s="244"/>
      <c r="K408" s="247"/>
      <c r="L408" s="785">
        <v>865599.99999997695</v>
      </c>
      <c r="M408" s="736">
        <f t="shared" si="32"/>
        <v>0</v>
      </c>
      <c r="N408" s="386"/>
      <c r="O408" s="386"/>
      <c r="P408" s="386"/>
    </row>
    <row r="409" spans="1:16" customFormat="1">
      <c r="A409" s="241">
        <v>1</v>
      </c>
      <c r="B409" s="238" t="s">
        <v>242</v>
      </c>
      <c r="C409" s="238" t="s">
        <v>1788</v>
      </c>
      <c r="D409" s="247">
        <v>5186.28</v>
      </c>
      <c r="E409" s="247">
        <v>5208.8999999999996</v>
      </c>
      <c r="F409" s="247">
        <f>E409-D409</f>
        <v>22.619999999999891</v>
      </c>
      <c r="G409" s="241">
        <v>80000</v>
      </c>
      <c r="H409" s="244">
        <f>(F409*G409)</f>
        <v>1809599.9999999912</v>
      </c>
      <c r="I409" s="244"/>
      <c r="J409" s="244">
        <f t="shared" ref="J409:J414" si="33">H409+I409</f>
        <v>1809599.9999999912</v>
      </c>
      <c r="K409" s="247"/>
      <c r="L409" s="735">
        <v>17600</v>
      </c>
      <c r="M409" s="736">
        <f t="shared" si="32"/>
        <v>102.81818181818132</v>
      </c>
      <c r="N409" s="386"/>
      <c r="O409" s="386"/>
      <c r="P409" s="386"/>
    </row>
    <row r="410" spans="1:16" customFormat="1">
      <c r="A410" s="241">
        <v>2</v>
      </c>
      <c r="B410" s="734" t="s">
        <v>1789</v>
      </c>
      <c r="C410" s="748" t="s">
        <v>321</v>
      </c>
      <c r="D410" s="809">
        <v>436150</v>
      </c>
      <c r="E410" s="809">
        <v>437460</v>
      </c>
      <c r="F410" s="809">
        <f>E410-D410</f>
        <v>1310</v>
      </c>
      <c r="G410" s="747">
        <v>40</v>
      </c>
      <c r="H410" s="769">
        <f>F410*G410</f>
        <v>52400</v>
      </c>
      <c r="I410" s="769"/>
      <c r="J410" s="769">
        <f t="shared" si="33"/>
        <v>52400</v>
      </c>
      <c r="K410" s="809"/>
      <c r="L410" s="735">
        <v>3600</v>
      </c>
      <c r="M410" s="736">
        <f t="shared" si="32"/>
        <v>14.555555555555555</v>
      </c>
      <c r="N410" s="386"/>
      <c r="O410" s="386"/>
      <c r="P410" s="386"/>
    </row>
    <row r="411" spans="1:16" customFormat="1">
      <c r="A411" s="241"/>
      <c r="B411" s="734" t="s">
        <v>1790</v>
      </c>
      <c r="C411" s="748" t="s">
        <v>321</v>
      </c>
      <c r="D411" s="809">
        <v>89990</v>
      </c>
      <c r="E411" s="809">
        <v>90050</v>
      </c>
      <c r="F411" s="809">
        <f>E411-D411</f>
        <v>60</v>
      </c>
      <c r="G411" s="747">
        <v>40</v>
      </c>
      <c r="H411" s="769">
        <f>F411*G411</f>
        <v>2400</v>
      </c>
      <c r="I411" s="769"/>
      <c r="J411" s="769">
        <f t="shared" si="33"/>
        <v>2400</v>
      </c>
      <c r="K411" s="809"/>
      <c r="L411" s="735">
        <v>433360</v>
      </c>
      <c r="M411" s="736">
        <f t="shared" si="32"/>
        <v>5.5381207310319369E-3</v>
      </c>
      <c r="N411" s="386"/>
      <c r="O411" s="386"/>
      <c r="P411" s="386"/>
    </row>
    <row r="412" spans="1:16" customFormat="1">
      <c r="A412" s="241"/>
      <c r="B412" s="238" t="s">
        <v>1791</v>
      </c>
      <c r="C412" s="1238" t="s">
        <v>1792</v>
      </c>
      <c r="D412" s="247">
        <v>314466</v>
      </c>
      <c r="E412" s="247">
        <v>323431</v>
      </c>
      <c r="F412" s="247">
        <f>E412-D412</f>
        <v>8965</v>
      </c>
      <c r="G412" s="241">
        <v>80</v>
      </c>
      <c r="H412" s="244">
        <f>(F412*G412)</f>
        <v>717200</v>
      </c>
      <c r="I412" s="244"/>
      <c r="J412" s="244">
        <f t="shared" si="33"/>
        <v>717200</v>
      </c>
      <c r="K412" s="809"/>
      <c r="L412" s="735">
        <v>168080</v>
      </c>
      <c r="M412" s="736">
        <f t="shared" si="32"/>
        <v>4.2670157068062826</v>
      </c>
      <c r="N412" s="386"/>
      <c r="O412" s="386"/>
      <c r="P412" s="386"/>
    </row>
    <row r="413" spans="1:16" customFormat="1">
      <c r="A413" s="241"/>
      <c r="B413" s="238" t="s">
        <v>1791</v>
      </c>
      <c r="C413" s="1238" t="s">
        <v>1792</v>
      </c>
      <c r="D413" s="247">
        <v>312355</v>
      </c>
      <c r="E413" s="247">
        <v>321268</v>
      </c>
      <c r="F413" s="247">
        <f>E413-D413</f>
        <v>8913</v>
      </c>
      <c r="G413" s="241">
        <v>80</v>
      </c>
      <c r="H413" s="244">
        <f>(F413*G413)</f>
        <v>713040</v>
      </c>
      <c r="I413" s="244"/>
      <c r="J413" s="244">
        <f t="shared" si="33"/>
        <v>713040</v>
      </c>
      <c r="K413" s="809"/>
      <c r="L413" s="735">
        <v>105000</v>
      </c>
      <c r="M413" s="736">
        <f t="shared" si="32"/>
        <v>6.7908571428571429</v>
      </c>
      <c r="N413" s="386"/>
      <c r="O413" s="386"/>
      <c r="P413" s="386"/>
    </row>
    <row r="414" spans="1:16" customFormat="1">
      <c r="A414" s="241"/>
      <c r="B414" s="734" t="s">
        <v>1736</v>
      </c>
      <c r="C414" s="748"/>
      <c r="D414" s="809"/>
      <c r="E414" s="809"/>
      <c r="F414" s="809"/>
      <c r="G414" s="747"/>
      <c r="H414" s="769"/>
      <c r="I414" s="769">
        <v>305000</v>
      </c>
      <c r="J414" s="244">
        <f t="shared" si="33"/>
        <v>305000</v>
      </c>
      <c r="K414" s="809"/>
      <c r="L414" s="735">
        <v>691319.99999997695</v>
      </c>
      <c r="M414" s="736">
        <f t="shared" si="32"/>
        <v>0.44118497945959928</v>
      </c>
      <c r="N414" s="386"/>
      <c r="O414" s="386"/>
      <c r="P414" s="386"/>
    </row>
    <row r="415" spans="1:16" customFormat="1">
      <c r="A415" s="241"/>
      <c r="B415" s="734" t="s">
        <v>1363</v>
      </c>
      <c r="C415" s="238"/>
      <c r="D415" s="241"/>
      <c r="E415" s="241"/>
      <c r="F415" s="241"/>
      <c r="G415" s="247"/>
      <c r="H415" s="241"/>
      <c r="I415" s="244"/>
      <c r="J415" s="244">
        <f>J409+J410+J411+J412-J413+J414</f>
        <v>2173559.9999999912</v>
      </c>
      <c r="K415" s="241"/>
      <c r="L415" s="735" t="s">
        <v>1546</v>
      </c>
      <c r="M415" s="736" t="e">
        <f t="shared" si="32"/>
        <v>#VALUE!</v>
      </c>
      <c r="N415" s="386"/>
      <c r="O415" s="386"/>
      <c r="P415" s="386"/>
    </row>
    <row r="416" spans="1:16" customFormat="1">
      <c r="A416" s="241"/>
      <c r="B416" s="734" t="s">
        <v>1793</v>
      </c>
      <c r="C416" s="238" t="s">
        <v>1794</v>
      </c>
      <c r="D416" s="247">
        <v>1774.48</v>
      </c>
      <c r="E416" s="247">
        <v>1774.48</v>
      </c>
      <c r="F416" s="247">
        <f>E416-D416</f>
        <v>0</v>
      </c>
      <c r="G416" s="241">
        <v>2000</v>
      </c>
      <c r="H416" s="244">
        <f>F416*G416</f>
        <v>0</v>
      </c>
      <c r="I416" s="244"/>
      <c r="J416" s="244" t="s">
        <v>1546</v>
      </c>
      <c r="K416" s="247"/>
      <c r="L416" s="735">
        <v>32799.180000000502</v>
      </c>
      <c r="M416" s="736" t="e">
        <f t="shared" si="32"/>
        <v>#VALUE!</v>
      </c>
      <c r="N416" s="386"/>
      <c r="O416" s="386"/>
      <c r="P416" s="386"/>
    </row>
    <row r="417" spans="1:16" customFormat="1">
      <c r="A417" s="241" t="s">
        <v>1795</v>
      </c>
      <c r="B417" s="748" t="s">
        <v>1796</v>
      </c>
      <c r="C417" s="748" t="s">
        <v>337</v>
      </c>
      <c r="D417" s="809">
        <v>1489.1</v>
      </c>
      <c r="E417" s="809">
        <v>1489.1</v>
      </c>
      <c r="F417" s="809">
        <f>E417-D417</f>
        <v>0</v>
      </c>
      <c r="G417" s="747">
        <v>13333</v>
      </c>
      <c r="H417" s="769">
        <f>(F417*G417)</f>
        <v>0</v>
      </c>
      <c r="I417" s="769">
        <v>40933</v>
      </c>
      <c r="J417" s="769">
        <f>H417+I417</f>
        <v>40933</v>
      </c>
      <c r="K417" s="809" t="s">
        <v>5</v>
      </c>
      <c r="L417" s="735">
        <v>311235.54000001599</v>
      </c>
      <c r="M417" s="736">
        <f t="shared" si="32"/>
        <v>0.13151775661609177</v>
      </c>
      <c r="N417" s="386"/>
      <c r="O417" s="386"/>
      <c r="P417" s="386"/>
    </row>
    <row r="418" spans="1:16" customFormat="1">
      <c r="A418" s="241"/>
      <c r="B418" s="748" t="s">
        <v>1797</v>
      </c>
      <c r="C418" s="748" t="s">
        <v>1798</v>
      </c>
      <c r="D418" s="809">
        <v>1836160</v>
      </c>
      <c r="E418" s="809">
        <v>2320500</v>
      </c>
      <c r="F418" s="769">
        <f>E418-D418</f>
        <v>484340</v>
      </c>
      <c r="G418" s="747">
        <v>1.333</v>
      </c>
      <c r="H418" s="769">
        <f>(F418*G418)</f>
        <v>645625.22</v>
      </c>
      <c r="I418" s="769"/>
      <c r="J418" s="769">
        <f>H418+I418</f>
        <v>645625.22</v>
      </c>
      <c r="K418" s="809"/>
      <c r="L418" s="735"/>
      <c r="M418" s="736"/>
      <c r="N418" s="386"/>
      <c r="O418" s="386"/>
      <c r="P418" s="386"/>
    </row>
    <row r="419" spans="1:16" customFormat="1">
      <c r="A419" s="241">
        <v>59</v>
      </c>
      <c r="B419" s="734" t="s">
        <v>1799</v>
      </c>
      <c r="C419" s="238" t="s">
        <v>1800</v>
      </c>
      <c r="D419" s="247">
        <v>17496.310000000001</v>
      </c>
      <c r="E419" s="247">
        <v>17648.689999999999</v>
      </c>
      <c r="F419" s="247">
        <f>E419-D419</f>
        <v>152.37999999999738</v>
      </c>
      <c r="G419" s="241">
        <v>6666</v>
      </c>
      <c r="H419" s="244">
        <f>(F419*G419)</f>
        <v>1015765.0799999825</v>
      </c>
      <c r="I419" s="244">
        <v>31742.097000000998</v>
      </c>
      <c r="J419" s="244">
        <f>H419+I419</f>
        <v>1047507.1769999835</v>
      </c>
      <c r="K419" s="247"/>
      <c r="L419" s="735">
        <v>338360.3517</v>
      </c>
      <c r="M419" s="736">
        <f t="shared" ref="M419:M482" si="34">J419/L419</f>
        <v>3.0958331014170755</v>
      </c>
      <c r="N419" s="386"/>
      <c r="O419" s="386"/>
      <c r="P419" s="386"/>
    </row>
    <row r="420" spans="1:16" customFormat="1">
      <c r="A420" s="241">
        <v>60</v>
      </c>
      <c r="B420" s="726" t="s">
        <v>1801</v>
      </c>
      <c r="C420" s="238" t="s">
        <v>1802</v>
      </c>
      <c r="D420" s="1238">
        <v>172414.5</v>
      </c>
      <c r="E420" s="1238">
        <v>178589</v>
      </c>
      <c r="F420" s="247">
        <f>E420-D420</f>
        <v>6174.5</v>
      </c>
      <c r="G420" s="241">
        <v>60</v>
      </c>
      <c r="H420" s="241">
        <f>F420*G420</f>
        <v>370470</v>
      </c>
      <c r="I420" s="1235">
        <f>435480.4352-H420</f>
        <v>65010.435200000007</v>
      </c>
      <c r="J420" s="244">
        <f>H420+I420</f>
        <v>435480.43520000001</v>
      </c>
      <c r="K420" s="247"/>
      <c r="L420" s="735">
        <v>682395.07170001604</v>
      </c>
      <c r="M420" s="736">
        <f t="shared" si="34"/>
        <v>0.63816468386137348</v>
      </c>
      <c r="N420" s="386"/>
      <c r="O420" s="386"/>
      <c r="P420" s="386"/>
    </row>
    <row r="421" spans="1:16" customFormat="1">
      <c r="A421" s="241"/>
      <c r="B421" s="734"/>
      <c r="C421" s="238"/>
      <c r="D421" s="247"/>
      <c r="E421" s="247"/>
      <c r="F421" s="247"/>
      <c r="G421" s="241"/>
      <c r="H421" s="244"/>
      <c r="I421" s="244"/>
      <c r="J421" s="244">
        <f>SUM(J417:J420)</f>
        <v>2169545.8321999838</v>
      </c>
      <c r="K421" s="743">
        <f>(J415-J421)/J415</f>
        <v>1.8468171111022491E-3</v>
      </c>
      <c r="L421" s="735"/>
      <c r="M421" s="736" t="e">
        <f t="shared" si="34"/>
        <v>#DIV/0!</v>
      </c>
      <c r="N421" s="386"/>
      <c r="O421" s="386"/>
      <c r="P421" s="386"/>
    </row>
    <row r="422" spans="1:16" customFormat="1">
      <c r="A422" s="1239">
        <v>14</v>
      </c>
      <c r="B422" s="732" t="s">
        <v>1803</v>
      </c>
      <c r="C422" s="238"/>
      <c r="D422" s="247" t="s">
        <v>1804</v>
      </c>
      <c r="E422" s="247" t="s">
        <v>1804</v>
      </c>
      <c r="F422" s="247"/>
      <c r="G422" s="241"/>
      <c r="H422" s="244"/>
      <c r="I422" s="244"/>
      <c r="J422" s="244"/>
      <c r="K422" s="247"/>
      <c r="L422" s="735">
        <v>1228399.99999999</v>
      </c>
      <c r="M422" s="736">
        <f t="shared" si="34"/>
        <v>0</v>
      </c>
      <c r="N422" s="386"/>
      <c r="O422" s="386"/>
      <c r="P422" s="386"/>
    </row>
    <row r="423" spans="1:16" customFormat="1">
      <c r="A423" s="241">
        <v>1</v>
      </c>
      <c r="B423" s="734" t="s">
        <v>1631</v>
      </c>
      <c r="C423" s="238" t="s">
        <v>1805</v>
      </c>
      <c r="D423" s="247">
        <v>189422.1</v>
      </c>
      <c r="E423" s="247">
        <v>191166.5</v>
      </c>
      <c r="F423" s="247">
        <f>E423-D423</f>
        <v>1744.3999999999942</v>
      </c>
      <c r="G423" s="241">
        <v>1000</v>
      </c>
      <c r="H423" s="244">
        <f>(F423*G423)</f>
        <v>1744399.9999999942</v>
      </c>
      <c r="I423" s="244"/>
      <c r="J423" s="244">
        <f>H423+I423</f>
        <v>1744399.9999999942</v>
      </c>
      <c r="K423" s="247"/>
      <c r="L423" s="735">
        <v>1228399.99999999</v>
      </c>
      <c r="M423" s="736">
        <f t="shared" si="34"/>
        <v>1.4200586128297039</v>
      </c>
      <c r="N423" s="386"/>
      <c r="O423" s="386"/>
      <c r="P423" s="386"/>
    </row>
    <row r="424" spans="1:16" customFormat="1">
      <c r="A424" s="241"/>
      <c r="B424" s="734" t="s">
        <v>1363</v>
      </c>
      <c r="C424" s="238"/>
      <c r="D424" s="247"/>
      <c r="E424" s="247"/>
      <c r="F424" s="247"/>
      <c r="G424" s="241"/>
      <c r="H424" s="244"/>
      <c r="I424" s="244"/>
      <c r="J424" s="244">
        <f>SUM(J423)</f>
        <v>1744399.9999999942</v>
      </c>
      <c r="K424" s="247"/>
      <c r="L424" s="735"/>
      <c r="M424" s="736" t="e">
        <f t="shared" si="34"/>
        <v>#DIV/0!</v>
      </c>
      <c r="N424" s="386"/>
      <c r="O424" s="386"/>
      <c r="P424" s="386"/>
    </row>
    <row r="425" spans="1:16" customFormat="1">
      <c r="A425" s="241"/>
      <c r="B425" s="733" t="s">
        <v>1364</v>
      </c>
      <c r="C425" s="238"/>
      <c r="D425" s="247"/>
      <c r="E425" s="247"/>
      <c r="F425" s="247"/>
      <c r="G425" s="241"/>
      <c r="H425" s="244"/>
      <c r="I425" s="244"/>
      <c r="J425" s="244"/>
      <c r="K425" s="247"/>
      <c r="L425" s="735">
        <v>217400.00000000099</v>
      </c>
      <c r="M425" s="736">
        <f t="shared" si="34"/>
        <v>0</v>
      </c>
      <c r="N425" s="386"/>
      <c r="O425" s="386"/>
      <c r="P425" s="386"/>
    </row>
    <row r="426" spans="1:16" customFormat="1">
      <c r="A426" s="241">
        <v>61</v>
      </c>
      <c r="B426" s="734" t="s">
        <v>1806</v>
      </c>
      <c r="C426" s="238" t="s">
        <v>1807</v>
      </c>
      <c r="D426" s="247">
        <v>21309.4</v>
      </c>
      <c r="E426" s="247">
        <v>21515.7</v>
      </c>
      <c r="F426" s="247">
        <f>E426-D426</f>
        <v>206.29999999999927</v>
      </c>
      <c r="G426" s="241">
        <v>2000</v>
      </c>
      <c r="H426" s="244">
        <f>(F426*G426)</f>
        <v>412599.99999999854</v>
      </c>
      <c r="I426" s="244"/>
      <c r="J426" s="244">
        <f>H426+I426</f>
        <v>412599.99999999854</v>
      </c>
      <c r="K426" s="247"/>
      <c r="L426" s="735">
        <v>623333.17749999999</v>
      </c>
      <c r="M426" s="736">
        <f t="shared" si="34"/>
        <v>0.66192529917116205</v>
      </c>
      <c r="N426" s="386" t="s">
        <v>1808</v>
      </c>
      <c r="O426" s="386"/>
      <c r="P426" s="386">
        <v>528320.31000000006</v>
      </c>
    </row>
    <row r="427" spans="1:16" customFormat="1">
      <c r="A427" s="241">
        <v>62</v>
      </c>
      <c r="B427" s="734" t="s">
        <v>1809</v>
      </c>
      <c r="C427" s="238" t="s">
        <v>1810</v>
      </c>
      <c r="D427" s="247">
        <v>38015.1</v>
      </c>
      <c r="E427" s="247">
        <v>38523.599999999999</v>
      </c>
      <c r="F427" s="247">
        <f>E427-D427</f>
        <v>508.5</v>
      </c>
      <c r="G427" s="247">
        <v>1333.3330000000001</v>
      </c>
      <c r="H427" s="244">
        <f>(F427*G427)</f>
        <v>677999.83050000004</v>
      </c>
      <c r="I427" s="244"/>
      <c r="J427" s="244">
        <f>H427+I427</f>
        <v>677999.83050000004</v>
      </c>
      <c r="K427" s="247"/>
      <c r="L427" s="735">
        <v>363399.999999994</v>
      </c>
      <c r="M427" s="736">
        <f t="shared" si="34"/>
        <v>1.8657122468354739</v>
      </c>
      <c r="N427" s="386" t="s">
        <v>1811</v>
      </c>
      <c r="O427" s="386"/>
      <c r="P427" s="386">
        <v>349601.56</v>
      </c>
    </row>
    <row r="428" spans="1:16" customFormat="1">
      <c r="A428" s="241">
        <v>63</v>
      </c>
      <c r="B428" s="734" t="s">
        <v>1812</v>
      </c>
      <c r="C428" s="238" t="s">
        <v>1813</v>
      </c>
      <c r="D428" s="247">
        <v>30859.9</v>
      </c>
      <c r="E428" s="247">
        <v>31169.5</v>
      </c>
      <c r="F428" s="247">
        <f>E428-D428</f>
        <v>309.59999999999854</v>
      </c>
      <c r="G428" s="241">
        <v>2000</v>
      </c>
      <c r="H428" s="244">
        <f>(F428*G428)</f>
        <v>619199.99999999709</v>
      </c>
      <c r="I428" s="244"/>
      <c r="J428" s="244">
        <f>H428+I428</f>
        <v>619199.99999999709</v>
      </c>
      <c r="K428" s="241"/>
      <c r="L428" s="735">
        <v>1204133.1775</v>
      </c>
      <c r="M428" s="736">
        <f t="shared" si="34"/>
        <v>0.51422883412744191</v>
      </c>
      <c r="N428" s="386" t="s">
        <v>1814</v>
      </c>
      <c r="O428" s="386"/>
      <c r="P428" s="386">
        <v>190500</v>
      </c>
    </row>
    <row r="429" spans="1:16" customFormat="1">
      <c r="A429" s="241"/>
      <c r="B429" s="734"/>
      <c r="C429" s="238"/>
      <c r="D429" s="247"/>
      <c r="E429" s="247"/>
      <c r="F429" s="247"/>
      <c r="G429" s="241"/>
      <c r="H429" s="244"/>
      <c r="I429" s="244"/>
      <c r="J429" s="244">
        <f>SUM(J426:J428)</f>
        <v>1709799.8304999955</v>
      </c>
      <c r="K429" s="743">
        <f>(J423-J429)/J423</f>
        <v>1.9834997420315751E-2</v>
      </c>
      <c r="L429" s="735"/>
      <c r="M429" s="736" t="e">
        <f t="shared" si="34"/>
        <v>#DIV/0!</v>
      </c>
      <c r="N429" s="386">
        <f>20/30</f>
        <v>0.66666666666666663</v>
      </c>
      <c r="O429" s="386"/>
      <c r="P429" s="386"/>
    </row>
    <row r="430" spans="1:16" customFormat="1">
      <c r="A430" s="1239">
        <v>15</v>
      </c>
      <c r="B430" s="732" t="s">
        <v>1815</v>
      </c>
      <c r="C430" s="238"/>
      <c r="D430" s="247"/>
      <c r="E430" s="247"/>
      <c r="F430" s="247"/>
      <c r="G430" s="241"/>
      <c r="H430" s="244"/>
      <c r="I430" s="244"/>
      <c r="J430" s="244"/>
      <c r="K430" s="247"/>
      <c r="L430" s="785">
        <v>778150.00000000105</v>
      </c>
      <c r="M430" s="736">
        <f t="shared" si="34"/>
        <v>0</v>
      </c>
      <c r="N430" s="386">
        <f>N429*1000</f>
        <v>666.66666666666663</v>
      </c>
      <c r="O430" s="386"/>
      <c r="P430" s="386"/>
    </row>
    <row r="431" spans="1:16" customFormat="1">
      <c r="A431" s="241">
        <v>1</v>
      </c>
      <c r="B431" s="734" t="s">
        <v>1598</v>
      </c>
      <c r="C431" s="238" t="s">
        <v>1816</v>
      </c>
      <c r="D431" s="247">
        <v>83195.5</v>
      </c>
      <c r="E431" s="247">
        <v>85673.8</v>
      </c>
      <c r="F431" s="247">
        <f>E431-D431</f>
        <v>2478.3000000000029</v>
      </c>
      <c r="G431" s="241">
        <v>500</v>
      </c>
      <c r="H431" s="244">
        <f>(F431*G431)</f>
        <v>1239150.0000000014</v>
      </c>
      <c r="I431" s="244"/>
      <c r="J431" s="244">
        <f>H431+I431</f>
        <v>1239150.0000000014</v>
      </c>
      <c r="K431" s="247"/>
      <c r="L431" s="735">
        <v>1374050.0000000028</v>
      </c>
      <c r="M431" s="736">
        <f t="shared" si="34"/>
        <v>0.90182307776281712</v>
      </c>
      <c r="N431" s="386"/>
      <c r="O431" s="386"/>
      <c r="P431" s="386"/>
    </row>
    <row r="432" spans="1:16" customFormat="1" ht="15.75" customHeight="1">
      <c r="A432" s="241"/>
      <c r="B432" s="734" t="s">
        <v>1363</v>
      </c>
      <c r="C432" s="238"/>
      <c r="D432" s="247"/>
      <c r="E432" s="247"/>
      <c r="F432" s="247"/>
      <c r="G432" s="241"/>
      <c r="H432" s="244"/>
      <c r="I432" s="244"/>
      <c r="J432" s="244">
        <f>SUM(J431)</f>
        <v>1239150.0000000014</v>
      </c>
      <c r="K432" s="247"/>
      <c r="L432" s="735">
        <v>1374050.0000000028</v>
      </c>
      <c r="M432" s="736">
        <f t="shared" si="34"/>
        <v>0.90182307776281712</v>
      </c>
      <c r="N432" s="386"/>
      <c r="O432" s="386"/>
      <c r="P432" s="386"/>
    </row>
    <row r="433" spans="1:14" customFormat="1">
      <c r="A433" s="241"/>
      <c r="B433" s="733" t="s">
        <v>1364</v>
      </c>
      <c r="C433" s="238"/>
      <c r="D433" s="247"/>
      <c r="E433" s="247"/>
      <c r="F433" s="247"/>
      <c r="G433" s="241"/>
      <c r="H433" s="244"/>
      <c r="I433" s="244"/>
      <c r="J433" s="244"/>
      <c r="K433" s="247"/>
      <c r="L433" s="735"/>
      <c r="M433" s="736" t="e">
        <f t="shared" si="34"/>
        <v>#DIV/0!</v>
      </c>
      <c r="N433" s="386"/>
    </row>
    <row r="434" spans="1:14" customFormat="1">
      <c r="A434" s="241">
        <v>64</v>
      </c>
      <c r="B434" s="734" t="s">
        <v>1817</v>
      </c>
      <c r="C434" s="238" t="s">
        <v>1818</v>
      </c>
      <c r="D434" s="815">
        <v>40486.800000000003</v>
      </c>
      <c r="E434" s="815">
        <v>40745.599999999999</v>
      </c>
      <c r="F434" s="247">
        <f>E434-D434</f>
        <v>258.79999999999563</v>
      </c>
      <c r="G434" s="241">
        <v>2000</v>
      </c>
      <c r="H434" s="244">
        <f>(F434*G434)</f>
        <v>517599.99999999127</v>
      </c>
      <c r="I434" s="244">
        <v>280000</v>
      </c>
      <c r="J434" s="244">
        <f>H434+I434</f>
        <v>797599.99999999127</v>
      </c>
      <c r="K434" s="247"/>
      <c r="L434" s="735">
        <v>890600.00000000582</v>
      </c>
      <c r="M434" s="736">
        <f t="shared" si="34"/>
        <v>0.89557601616885929</v>
      </c>
      <c r="N434" s="386"/>
    </row>
    <row r="435" spans="1:14" customFormat="1">
      <c r="A435" s="241">
        <v>65</v>
      </c>
      <c r="B435" s="734" t="s">
        <v>1819</v>
      </c>
      <c r="C435" s="238" t="s">
        <v>1820</v>
      </c>
      <c r="D435" s="815">
        <v>16731.3</v>
      </c>
      <c r="E435" s="815">
        <v>16930.900000000001</v>
      </c>
      <c r="F435" s="247">
        <f>E435-D435</f>
        <v>199.60000000000218</v>
      </c>
      <c r="G435" s="241">
        <v>2000</v>
      </c>
      <c r="H435" s="244">
        <f>(F435*G435)</f>
        <v>399200.00000000437</v>
      </c>
      <c r="I435" s="244"/>
      <c r="J435" s="244">
        <f>H435+I435</f>
        <v>399200.00000000437</v>
      </c>
      <c r="K435" s="247"/>
      <c r="L435" s="735">
        <v>436400.00000000146</v>
      </c>
      <c r="M435" s="736">
        <f t="shared" si="34"/>
        <v>0.91475710357470907</v>
      </c>
      <c r="N435" s="386"/>
    </row>
    <row r="436" spans="1:14" customFormat="1">
      <c r="A436" s="241">
        <v>66</v>
      </c>
      <c r="B436" s="751" t="s">
        <v>1821</v>
      </c>
      <c r="C436" s="752" t="s">
        <v>1822</v>
      </c>
      <c r="D436" s="815">
        <v>1426.3</v>
      </c>
      <c r="E436" s="815">
        <v>1441.1</v>
      </c>
      <c r="F436" s="247">
        <f>E436-D436</f>
        <v>14.799999999999955</v>
      </c>
      <c r="G436" s="241">
        <v>1000</v>
      </c>
      <c r="H436" s="244">
        <f>(F436*G436)</f>
        <v>14799.999999999955</v>
      </c>
      <c r="I436" s="244">
        <f>30080-H436</f>
        <v>15280.000000000045</v>
      </c>
      <c r="J436" s="244">
        <f>H436+I436</f>
        <v>30080</v>
      </c>
      <c r="K436" s="247"/>
      <c r="L436" s="735">
        <v>36279.962800000052</v>
      </c>
      <c r="M436" s="736">
        <f t="shared" si="34"/>
        <v>0.82910779610832341</v>
      </c>
      <c r="N436" s="386"/>
    </row>
    <row r="437" spans="1:14" customFormat="1">
      <c r="A437" s="241"/>
      <c r="B437" s="755"/>
      <c r="C437" s="238"/>
      <c r="D437" s="247"/>
      <c r="E437" s="247"/>
      <c r="F437" s="247"/>
      <c r="G437" s="241"/>
      <c r="H437" s="244"/>
      <c r="I437" s="244"/>
      <c r="J437" s="244">
        <f>SUM(J434:J436)</f>
        <v>1226879.9999999956</v>
      </c>
      <c r="K437" s="743">
        <f>(J432-J437)/J432</f>
        <v>9.9019489166007404E-3</v>
      </c>
      <c r="L437" s="735">
        <v>1363279.9628000073</v>
      </c>
      <c r="M437" s="736">
        <f t="shared" si="34"/>
        <v>0.89994721075496242</v>
      </c>
      <c r="N437" s="386"/>
    </row>
    <row r="438" spans="1:14" customFormat="1">
      <c r="A438" s="241">
        <v>16</v>
      </c>
      <c r="B438" s="732" t="s">
        <v>1823</v>
      </c>
      <c r="C438" s="238"/>
      <c r="D438" s="247"/>
      <c r="E438" s="247"/>
      <c r="F438" s="247"/>
      <c r="G438" s="241"/>
      <c r="H438" s="244"/>
      <c r="I438" s="244"/>
      <c r="J438" s="244"/>
      <c r="K438" s="247"/>
      <c r="L438" s="735">
        <v>247449.99999999901</v>
      </c>
      <c r="M438" s="736">
        <f t="shared" si="34"/>
        <v>0</v>
      </c>
      <c r="N438" s="386"/>
    </row>
    <row r="439" spans="1:14" customFormat="1">
      <c r="A439" s="241">
        <v>1</v>
      </c>
      <c r="B439" s="734" t="s">
        <v>1824</v>
      </c>
      <c r="C439" s="238" t="s">
        <v>1825</v>
      </c>
      <c r="D439" s="247">
        <v>23158.7</v>
      </c>
      <c r="E439" s="247">
        <v>23653.5</v>
      </c>
      <c r="F439" s="247">
        <f>E439-D439</f>
        <v>494.79999999999927</v>
      </c>
      <c r="G439" s="241">
        <v>1500</v>
      </c>
      <c r="H439" s="244">
        <f>(F439*G439)</f>
        <v>742199.99999999895</v>
      </c>
      <c r="I439" s="244">
        <v>370000</v>
      </c>
      <c r="J439" s="244">
        <f>H439+I439</f>
        <v>1112199.9999999991</v>
      </c>
      <c r="K439" s="247"/>
      <c r="L439" s="735">
        <v>247449.99999999901</v>
      </c>
      <c r="M439" s="736">
        <f t="shared" si="34"/>
        <v>4.4946453829056514</v>
      </c>
      <c r="N439" s="386"/>
    </row>
    <row r="440" spans="1:14" customFormat="1">
      <c r="A440" s="241"/>
      <c r="B440" s="734" t="s">
        <v>1363</v>
      </c>
      <c r="C440" s="238"/>
      <c r="D440" s="247"/>
      <c r="E440" s="247"/>
      <c r="F440" s="247"/>
      <c r="G440" s="241"/>
      <c r="H440" s="244"/>
      <c r="I440" s="244"/>
      <c r="J440" s="244">
        <f>SUM(J439)</f>
        <v>1112199.9999999991</v>
      </c>
      <c r="K440" s="247"/>
      <c r="L440" s="735"/>
      <c r="M440" s="736" t="e">
        <f t="shared" si="34"/>
        <v>#DIV/0!</v>
      </c>
      <c r="N440" s="386"/>
    </row>
    <row r="441" spans="1:14" customFormat="1">
      <c r="A441" s="241"/>
      <c r="B441" s="733" t="s">
        <v>1767</v>
      </c>
      <c r="C441" s="238"/>
      <c r="D441" s="247"/>
      <c r="E441" s="247"/>
      <c r="F441" s="247"/>
      <c r="G441" s="241"/>
      <c r="H441" s="244"/>
      <c r="I441" s="244"/>
      <c r="J441" s="244"/>
      <c r="K441" s="247"/>
      <c r="L441" s="735">
        <v>37999.9905</v>
      </c>
      <c r="M441" s="736">
        <f t="shared" si="34"/>
        <v>0</v>
      </c>
      <c r="N441" s="386"/>
    </row>
    <row r="442" spans="1:14" customFormat="1">
      <c r="A442" s="161">
        <v>67</v>
      </c>
      <c r="B442" s="734" t="s">
        <v>1826</v>
      </c>
      <c r="C442" s="238" t="s">
        <v>1827</v>
      </c>
      <c r="D442" s="247">
        <v>4421</v>
      </c>
      <c r="E442" s="247">
        <v>4468.2</v>
      </c>
      <c r="F442" s="247">
        <f>E442-D442</f>
        <v>47.199999999999818</v>
      </c>
      <c r="G442" s="244">
        <v>1333.3330000000001</v>
      </c>
      <c r="H442" s="244">
        <f>(F442*G442)</f>
        <v>62933.317599999762</v>
      </c>
      <c r="I442" s="244"/>
      <c r="J442" s="244">
        <f>H442+I442</f>
        <v>62933.317599999762</v>
      </c>
      <c r="K442" s="247"/>
      <c r="L442" s="735">
        <v>58133.275200000498</v>
      </c>
      <c r="M442" s="736">
        <f t="shared" si="34"/>
        <v>1.0825696192668537</v>
      </c>
      <c r="N442" s="386">
        <v>8818931660</v>
      </c>
    </row>
    <row r="443" spans="1:14" customFormat="1">
      <c r="A443" s="241">
        <v>68</v>
      </c>
      <c r="B443" s="734" t="s">
        <v>1828</v>
      </c>
      <c r="C443" s="238" t="s">
        <v>1829</v>
      </c>
      <c r="D443" s="247">
        <v>12993.3</v>
      </c>
      <c r="E443" s="247">
        <v>13269.2</v>
      </c>
      <c r="F443" s="247">
        <f>E443-D443</f>
        <v>275.90000000000146</v>
      </c>
      <c r="G443" s="247">
        <v>666.66600000000005</v>
      </c>
      <c r="H443" s="244">
        <f>(F443*G443)</f>
        <v>183933.14940000098</v>
      </c>
      <c r="I443" s="244"/>
      <c r="J443" s="244">
        <f>H443+I443</f>
        <v>183933.14940000098</v>
      </c>
      <c r="K443" s="247"/>
      <c r="L443" s="735">
        <v>41733.228999999599</v>
      </c>
      <c r="M443" s="736">
        <f t="shared" si="34"/>
        <v>4.4073548538504594</v>
      </c>
      <c r="N443" s="386"/>
    </row>
    <row r="444" spans="1:14" customFormat="1">
      <c r="A444" s="241">
        <v>69</v>
      </c>
      <c r="B444" s="734" t="s">
        <v>1830</v>
      </c>
      <c r="C444" s="238" t="s">
        <v>1831</v>
      </c>
      <c r="D444" s="247">
        <v>5857</v>
      </c>
      <c r="E444" s="247">
        <v>6377.5</v>
      </c>
      <c r="F444" s="247">
        <f>E444-D444</f>
        <v>520.5</v>
      </c>
      <c r="G444" s="247">
        <v>1333.33</v>
      </c>
      <c r="H444" s="244">
        <f>(F444*G444)</f>
        <v>693998.26500000001</v>
      </c>
      <c r="I444" s="244"/>
      <c r="J444" s="244">
        <f>H444+I444</f>
        <v>693998.26500000001</v>
      </c>
      <c r="K444" s="247"/>
      <c r="L444" s="735">
        <v>105750.6640229</v>
      </c>
      <c r="M444" s="736">
        <f t="shared" si="34"/>
        <v>6.5625901398568685</v>
      </c>
      <c r="N444" s="386"/>
    </row>
    <row r="445" spans="1:14" customFormat="1">
      <c r="A445" s="161">
        <v>70</v>
      </c>
      <c r="B445" s="734" t="s">
        <v>1832</v>
      </c>
      <c r="C445" s="238">
        <v>3300077</v>
      </c>
      <c r="D445" s="247">
        <v>347904.1</v>
      </c>
      <c r="E445" s="247">
        <v>359982.1</v>
      </c>
      <c r="F445" s="247">
        <f>E445-D445</f>
        <v>12078</v>
      </c>
      <c r="G445" s="247">
        <v>13.333333</v>
      </c>
      <c r="H445" s="244">
        <f>(F445*G445)</f>
        <v>161039.99597399999</v>
      </c>
      <c r="I445" s="244"/>
      <c r="J445" s="244">
        <f>H445+I445</f>
        <v>161039.99597399999</v>
      </c>
      <c r="K445" s="247"/>
      <c r="L445" s="735">
        <v>243617.1587229</v>
      </c>
      <c r="M445" s="736">
        <f t="shared" si="34"/>
        <v>0.66103716510860955</v>
      </c>
      <c r="N445" s="386"/>
    </row>
    <row r="446" spans="1:14" customFormat="1">
      <c r="A446" s="241"/>
      <c r="B446" s="734"/>
      <c r="C446" s="238"/>
      <c r="D446" s="247"/>
      <c r="E446" s="247"/>
      <c r="F446" s="247"/>
      <c r="G446" s="241" t="s">
        <v>1546</v>
      </c>
      <c r="H446" s="244"/>
      <c r="I446" s="244"/>
      <c r="J446" s="244">
        <f>SUM(J442:J445)</f>
        <v>1101904.7279740009</v>
      </c>
      <c r="K446" s="743">
        <f>(J440-J446)/J440</f>
        <v>9.2566732835804941E-3</v>
      </c>
      <c r="L446" s="735"/>
      <c r="M446" s="736" t="e">
        <f t="shared" si="34"/>
        <v>#DIV/0!</v>
      </c>
      <c r="N446" s="386"/>
    </row>
    <row r="447" spans="1:14" customFormat="1">
      <c r="A447" s="1239">
        <v>17</v>
      </c>
      <c r="B447" s="732" t="s">
        <v>1833</v>
      </c>
      <c r="C447" s="238"/>
      <c r="D447" s="247"/>
      <c r="E447" s="247"/>
      <c r="F447" s="247"/>
      <c r="G447" s="241"/>
      <c r="H447" s="244"/>
      <c r="I447" s="244"/>
      <c r="J447" s="244"/>
      <c r="K447" s="247"/>
      <c r="L447" s="735">
        <v>2498599.99999998</v>
      </c>
      <c r="M447" s="736">
        <f t="shared" si="34"/>
        <v>0</v>
      </c>
      <c r="N447" s="386"/>
    </row>
    <row r="448" spans="1:14" customFormat="1">
      <c r="A448" s="241">
        <v>1</v>
      </c>
      <c r="B448" s="816" t="s">
        <v>1834</v>
      </c>
      <c r="C448" s="238" t="s">
        <v>1835</v>
      </c>
      <c r="D448" s="247">
        <v>148885.5</v>
      </c>
      <c r="E448" s="247">
        <v>150831.70000000001</v>
      </c>
      <c r="F448" s="247">
        <f>E448-D448</f>
        <v>1946.2000000000116</v>
      </c>
      <c r="G448" s="241">
        <v>2000</v>
      </c>
      <c r="H448" s="244">
        <f>(F448*G448)</f>
        <v>3892400.0000000233</v>
      </c>
      <c r="I448" s="244"/>
      <c r="J448" s="244">
        <f>H448+I448</f>
        <v>3892400.0000000233</v>
      </c>
      <c r="K448" s="247"/>
      <c r="L448" s="735">
        <v>1565424.00000001</v>
      </c>
      <c r="M448" s="736">
        <f t="shared" si="34"/>
        <v>2.4864828953689213</v>
      </c>
      <c r="N448" s="386"/>
    </row>
    <row r="449" spans="1:14" customFormat="1">
      <c r="A449" s="241"/>
      <c r="B449" s="816" t="s">
        <v>1834</v>
      </c>
      <c r="C449" s="238">
        <v>9916387</v>
      </c>
      <c r="D449" s="247">
        <v>477839.1</v>
      </c>
      <c r="E449" s="247">
        <v>488253.3</v>
      </c>
      <c r="F449" s="247">
        <f>E449-D449</f>
        <v>10414.200000000012</v>
      </c>
      <c r="G449" s="241">
        <v>240</v>
      </c>
      <c r="H449" s="244">
        <f>(F449*G449)</f>
        <v>2499408.0000000028</v>
      </c>
      <c r="I449" s="244"/>
      <c r="J449" s="244">
        <f>H449+I449</f>
        <v>2499408.0000000028</v>
      </c>
      <c r="K449" s="247"/>
      <c r="L449" s="735">
        <v>235000</v>
      </c>
      <c r="M449" s="736">
        <f t="shared" si="34"/>
        <v>10.635778723404266</v>
      </c>
      <c r="N449" s="386"/>
    </row>
    <row r="450" spans="1:14" customFormat="1">
      <c r="A450" s="241"/>
      <c r="B450" s="816"/>
      <c r="C450" s="238"/>
      <c r="D450" s="247"/>
      <c r="E450" s="247"/>
      <c r="F450" s="247"/>
      <c r="G450" s="241"/>
      <c r="H450" s="244"/>
      <c r="I450" s="244"/>
      <c r="J450" s="244"/>
      <c r="K450" s="247"/>
      <c r="L450" s="735">
        <v>2733599.99999998</v>
      </c>
      <c r="M450" s="736">
        <f t="shared" si="34"/>
        <v>0</v>
      </c>
      <c r="N450" s="386"/>
    </row>
    <row r="451" spans="1:14" customFormat="1">
      <c r="A451" s="241"/>
      <c r="B451" s="734" t="s">
        <v>1363</v>
      </c>
      <c r="C451" s="238"/>
      <c r="D451" s="247"/>
      <c r="E451" s="247"/>
      <c r="F451" s="247"/>
      <c r="G451" s="241"/>
      <c r="H451" s="244"/>
      <c r="I451" s="244"/>
      <c r="J451" s="244">
        <f>SUM(J448+J450)</f>
        <v>3892400.0000000233</v>
      </c>
      <c r="K451" s="247"/>
      <c r="L451" s="735"/>
      <c r="M451" s="736" t="e">
        <f t="shared" si="34"/>
        <v>#DIV/0!</v>
      </c>
      <c r="N451" s="386"/>
    </row>
    <row r="452" spans="1:14" customFormat="1">
      <c r="A452" s="241"/>
      <c r="B452" s="733" t="s">
        <v>1767</v>
      </c>
      <c r="C452" s="238"/>
      <c r="D452" s="247"/>
      <c r="E452" s="247"/>
      <c r="F452" s="247"/>
      <c r="G452" s="247"/>
      <c r="H452" s="244"/>
      <c r="I452" s="244"/>
      <c r="J452" s="244"/>
      <c r="K452" s="247"/>
      <c r="L452" s="735">
        <v>445812.00000000198</v>
      </c>
      <c r="M452" s="736">
        <f t="shared" si="34"/>
        <v>0</v>
      </c>
      <c r="N452" s="386"/>
    </row>
    <row r="453" spans="1:14" customFormat="1">
      <c r="A453" s="241">
        <v>71</v>
      </c>
      <c r="B453" s="734" t="s">
        <v>1836</v>
      </c>
      <c r="C453" s="238">
        <v>9916388</v>
      </c>
      <c r="D453" s="247">
        <v>1004209.5</v>
      </c>
      <c r="E453" s="247">
        <v>1022207.8</v>
      </c>
      <c r="F453" s="247">
        <f t="shared" ref="F453:F458" si="35">E453-D453</f>
        <v>17998.300000000047</v>
      </c>
      <c r="G453" s="244">
        <v>40</v>
      </c>
      <c r="H453" s="244">
        <f t="shared" ref="H453:H458" si="36">(F453*G453)</f>
        <v>719932.00000000186</v>
      </c>
      <c r="I453" s="244"/>
      <c r="J453" s="244">
        <f t="shared" ref="J453:J458" si="37">H453+I453</f>
        <v>719932.00000000186</v>
      </c>
      <c r="K453" s="247"/>
      <c r="L453" s="735">
        <v>798000</v>
      </c>
      <c r="M453" s="736">
        <f t="shared" si="34"/>
        <v>0.90217042606516529</v>
      </c>
      <c r="N453" s="386"/>
    </row>
    <row r="454" spans="1:14" customFormat="1">
      <c r="A454" s="241">
        <v>72</v>
      </c>
      <c r="B454" s="734" t="s">
        <v>1837</v>
      </c>
      <c r="C454" s="238" t="s">
        <v>1838</v>
      </c>
      <c r="D454" s="247">
        <v>5894.28</v>
      </c>
      <c r="E454" s="247">
        <v>6101.64</v>
      </c>
      <c r="F454" s="247">
        <f t="shared" si="35"/>
        <v>207.36000000000058</v>
      </c>
      <c r="G454" s="241">
        <v>6000</v>
      </c>
      <c r="H454" s="244">
        <f t="shared" si="36"/>
        <v>1244160.0000000035</v>
      </c>
      <c r="I454" s="244"/>
      <c r="J454" s="244">
        <f t="shared" si="37"/>
        <v>1244160.0000000035</v>
      </c>
      <c r="K454" s="247"/>
      <c r="L454" s="735">
        <v>441600</v>
      </c>
      <c r="M454" s="736">
        <f t="shared" si="34"/>
        <v>2.8173913043478338</v>
      </c>
      <c r="N454" s="386"/>
    </row>
    <row r="455" spans="1:14" customFormat="1">
      <c r="A455" s="241">
        <v>73</v>
      </c>
      <c r="B455" s="817" t="s">
        <v>1839</v>
      </c>
      <c r="C455" s="238">
        <v>9916393</v>
      </c>
      <c r="D455" s="247">
        <v>200988.2</v>
      </c>
      <c r="E455" s="247">
        <v>200988.2</v>
      </c>
      <c r="F455" s="247">
        <f t="shared" si="35"/>
        <v>0</v>
      </c>
      <c r="G455" s="241">
        <v>40</v>
      </c>
      <c r="H455" s="244">
        <f t="shared" si="36"/>
        <v>0</v>
      </c>
      <c r="I455" s="244">
        <f>H456</f>
        <v>574599.9999999986</v>
      </c>
      <c r="J455" s="244">
        <f t="shared" si="37"/>
        <v>574599.9999999986</v>
      </c>
      <c r="K455" s="247"/>
      <c r="L455" s="735">
        <v>441600</v>
      </c>
      <c r="M455" s="736">
        <f t="shared" si="34"/>
        <v>1.3011775362318809</v>
      </c>
      <c r="N455" s="386"/>
    </row>
    <row r="456" spans="1:14" customFormat="1">
      <c r="A456" s="241">
        <v>73</v>
      </c>
      <c r="B456" s="817" t="s">
        <v>1839</v>
      </c>
      <c r="C456" s="752" t="s">
        <v>1840</v>
      </c>
      <c r="D456" s="818">
        <v>9706.2000000000007</v>
      </c>
      <c r="E456" s="818">
        <v>9993.5</v>
      </c>
      <c r="F456" s="818">
        <f t="shared" si="35"/>
        <v>287.29999999999927</v>
      </c>
      <c r="G456" s="155">
        <v>2000</v>
      </c>
      <c r="H456" s="158">
        <f t="shared" si="36"/>
        <v>574599.9999999986</v>
      </c>
      <c r="I456" s="244"/>
      <c r="J456" s="244">
        <f t="shared" si="37"/>
        <v>574599.9999999986</v>
      </c>
      <c r="K456" s="247"/>
      <c r="L456" s="735">
        <v>315896.00000000099</v>
      </c>
      <c r="M456" s="736">
        <f t="shared" si="34"/>
        <v>1.8189530731633095</v>
      </c>
      <c r="N456" s="386"/>
    </row>
    <row r="457" spans="1:14" customFormat="1">
      <c r="A457" s="241">
        <v>74</v>
      </c>
      <c r="B457" s="817" t="s">
        <v>1841</v>
      </c>
      <c r="C457" s="238">
        <v>9916390</v>
      </c>
      <c r="D457" s="247">
        <v>699040.5</v>
      </c>
      <c r="E457" s="247">
        <v>712256.4</v>
      </c>
      <c r="F457" s="247">
        <f t="shared" si="35"/>
        <v>13215.900000000023</v>
      </c>
      <c r="G457" s="241">
        <v>40</v>
      </c>
      <c r="H457" s="244">
        <f t="shared" si="36"/>
        <v>528636.00000000093</v>
      </c>
      <c r="I457" s="244"/>
      <c r="J457" s="244">
        <f t="shared" si="37"/>
        <v>528636.00000000093</v>
      </c>
      <c r="K457" s="247"/>
      <c r="L457" s="735">
        <v>727600.00000000605</v>
      </c>
      <c r="M457" s="736">
        <f t="shared" si="34"/>
        <v>0.72654755360087486</v>
      </c>
      <c r="N457" s="386">
        <v>7828496724</v>
      </c>
    </row>
    <row r="458" spans="1:14" customFormat="1">
      <c r="A458" s="241">
        <v>75</v>
      </c>
      <c r="B458" s="819" t="s">
        <v>1842</v>
      </c>
      <c r="C458" s="790" t="s">
        <v>1843</v>
      </c>
      <c r="D458" s="791">
        <v>47404.1</v>
      </c>
      <c r="E458" s="791">
        <v>48008.800000000003</v>
      </c>
      <c r="F458" s="791">
        <f t="shared" si="35"/>
        <v>604.70000000000437</v>
      </c>
      <c r="G458" s="788">
        <v>1333.3330000000001</v>
      </c>
      <c r="H458" s="244">
        <f t="shared" si="36"/>
        <v>806266.46510000585</v>
      </c>
      <c r="I458" s="792"/>
      <c r="J458" s="792">
        <f t="shared" si="37"/>
        <v>806266.46510000585</v>
      </c>
      <c r="K458" s="791"/>
      <c r="L458" s="735">
        <v>2728908.0000000098</v>
      </c>
      <c r="M458" s="736">
        <f t="shared" si="34"/>
        <v>0.2954538830550546</v>
      </c>
      <c r="N458" s="386"/>
    </row>
    <row r="459" spans="1:14" customFormat="1">
      <c r="A459" s="241"/>
      <c r="B459" s="734"/>
      <c r="C459" s="238"/>
      <c r="D459" s="247"/>
      <c r="E459" s="247"/>
      <c r="F459" s="247"/>
      <c r="G459" s="241"/>
      <c r="H459" s="244"/>
      <c r="I459" s="244"/>
      <c r="J459" s="244">
        <f>SUM(J453+J454+J455+J457+J458)</f>
        <v>3873594.4651000104</v>
      </c>
      <c r="K459" s="743">
        <f>(J451-J459)/J451</f>
        <v>4.8313469581781881E-3</v>
      </c>
      <c r="L459" s="735"/>
      <c r="M459" s="736" t="e">
        <f t="shared" si="34"/>
        <v>#DIV/0!</v>
      </c>
      <c r="N459" s="386"/>
    </row>
    <row r="460" spans="1:14" customFormat="1">
      <c r="A460" s="241">
        <v>18</v>
      </c>
      <c r="B460" s="732" t="s">
        <v>1844</v>
      </c>
      <c r="C460" s="238"/>
      <c r="D460" s="247"/>
      <c r="E460" s="247"/>
      <c r="F460" s="247"/>
      <c r="G460" s="241"/>
      <c r="H460" s="244"/>
      <c r="I460" s="244"/>
      <c r="J460" s="244"/>
      <c r="K460" s="247"/>
      <c r="L460" s="735">
        <v>783800.00000000303</v>
      </c>
      <c r="M460" s="736">
        <f t="shared" si="34"/>
        <v>0</v>
      </c>
      <c r="N460" s="386"/>
    </row>
    <row r="461" spans="1:14" customFormat="1">
      <c r="A461" s="241">
        <v>1</v>
      </c>
      <c r="B461" s="734" t="s">
        <v>1776</v>
      </c>
      <c r="C461" s="238" t="s">
        <v>1845</v>
      </c>
      <c r="D461" s="247">
        <v>51129.45</v>
      </c>
      <c r="E461" s="247">
        <v>51727.45</v>
      </c>
      <c r="F461" s="247">
        <f>E461-D461</f>
        <v>598</v>
      </c>
      <c r="G461" s="241">
        <v>2000</v>
      </c>
      <c r="H461" s="244">
        <f>(F461*G461)</f>
        <v>1196000</v>
      </c>
      <c r="I461" s="244"/>
      <c r="J461" s="244">
        <f>H461+I461</f>
        <v>1196000</v>
      </c>
      <c r="K461" s="247"/>
      <c r="L461" s="735">
        <v>783800.00000000303</v>
      </c>
      <c r="M461" s="736">
        <f t="shared" si="34"/>
        <v>1.5258994641490118</v>
      </c>
      <c r="N461" s="386"/>
    </row>
    <row r="462" spans="1:14" customFormat="1">
      <c r="A462" s="241"/>
      <c r="B462" s="820"/>
      <c r="C462" s="238"/>
      <c r="D462" s="241"/>
      <c r="E462" s="241"/>
      <c r="F462" s="241"/>
      <c r="G462" s="241"/>
      <c r="H462" s="244"/>
      <c r="I462" s="20"/>
      <c r="J462" s="20">
        <f>SUM(J461)+I462</f>
        <v>1196000</v>
      </c>
      <c r="K462" s="247"/>
      <c r="L462" s="735"/>
      <c r="M462" s="736" t="e">
        <f t="shared" si="34"/>
        <v>#DIV/0!</v>
      </c>
      <c r="N462" s="386"/>
    </row>
    <row r="463" spans="1:14" customFormat="1">
      <c r="A463" s="241"/>
      <c r="B463" s="733" t="s">
        <v>1767</v>
      </c>
      <c r="C463" s="238"/>
      <c r="D463" s="247"/>
      <c r="E463" s="247"/>
      <c r="F463" s="247"/>
      <c r="G463" s="241"/>
      <c r="H463" s="244"/>
      <c r="I463" s="244"/>
      <c r="J463" s="244"/>
      <c r="K463" s="247"/>
      <c r="L463" s="735">
        <v>242132.72799999799</v>
      </c>
      <c r="M463" s="736">
        <f t="shared" si="34"/>
        <v>0</v>
      </c>
      <c r="N463" s="386"/>
    </row>
    <row r="464" spans="1:14" customFormat="1">
      <c r="A464" s="241">
        <v>76</v>
      </c>
      <c r="B464" s="734" t="s">
        <v>1071</v>
      </c>
      <c r="C464" s="238" t="s">
        <v>1846</v>
      </c>
      <c r="D464" s="247">
        <v>31863.3</v>
      </c>
      <c r="E464" s="247">
        <v>32192.799999999999</v>
      </c>
      <c r="F464" s="247">
        <f>E464-D464</f>
        <v>329.5</v>
      </c>
      <c r="G464" s="241">
        <v>1333.33</v>
      </c>
      <c r="H464" s="244">
        <f>(F464*G464)</f>
        <v>439332.23499999999</v>
      </c>
      <c r="I464" s="244"/>
      <c r="J464" s="244">
        <f>H464+I464</f>
        <v>439332.23499999999</v>
      </c>
      <c r="K464" s="786"/>
      <c r="L464" s="735">
        <v>526132.01799999794</v>
      </c>
      <c r="M464" s="736">
        <f t="shared" si="34"/>
        <v>0.83502280790674421</v>
      </c>
      <c r="N464" s="386"/>
    </row>
    <row r="465" spans="1:13" customFormat="1">
      <c r="A465" s="241">
        <v>77</v>
      </c>
      <c r="B465" s="734" t="s">
        <v>1070</v>
      </c>
      <c r="C465" s="238" t="s">
        <v>1847</v>
      </c>
      <c r="D465" s="247">
        <v>38949.4</v>
      </c>
      <c r="E465" s="247">
        <v>39510.199999999997</v>
      </c>
      <c r="F465" s="247">
        <f>E465-D465</f>
        <v>560.79999999999563</v>
      </c>
      <c r="G465" s="241">
        <v>1333.33</v>
      </c>
      <c r="H465" s="244">
        <f>(F465*G465)</f>
        <v>747731.4639999941</v>
      </c>
      <c r="I465" s="244"/>
      <c r="J465" s="244">
        <f>H465+I465</f>
        <v>747731.4639999941</v>
      </c>
      <c r="K465" s="247"/>
      <c r="L465" s="735">
        <v>768264.74599999597</v>
      </c>
      <c r="M465" s="736">
        <f t="shared" si="34"/>
        <v>0.97327316903852568</v>
      </c>
    </row>
    <row r="466" spans="1:13" customFormat="1">
      <c r="A466" s="241"/>
      <c r="B466" s="734"/>
      <c r="C466" s="238"/>
      <c r="D466" s="247"/>
      <c r="E466" s="247"/>
      <c r="F466" s="247"/>
      <c r="G466" s="241"/>
      <c r="H466" s="244"/>
      <c r="I466" s="244"/>
      <c r="J466" s="244">
        <f>SUM(J464:J465)</f>
        <v>1187063.698999994</v>
      </c>
      <c r="K466" s="743">
        <f>(J462-J466)/J462</f>
        <v>7.4718235786003602E-3</v>
      </c>
      <c r="L466" s="735"/>
      <c r="M466" s="736" t="e">
        <f t="shared" si="34"/>
        <v>#DIV/0!</v>
      </c>
    </row>
    <row r="467" spans="1:13" customFormat="1">
      <c r="A467" s="241">
        <v>19</v>
      </c>
      <c r="B467" s="732" t="s">
        <v>1848</v>
      </c>
      <c r="C467" s="238"/>
      <c r="D467" s="247"/>
      <c r="E467" s="247"/>
      <c r="F467" s="247"/>
      <c r="G467" s="241"/>
      <c r="H467" s="244"/>
      <c r="I467" s="244"/>
      <c r="J467" s="244"/>
      <c r="K467" s="247"/>
      <c r="L467" s="735">
        <v>1169760.00000001</v>
      </c>
      <c r="M467" s="736">
        <f t="shared" si="34"/>
        <v>0</v>
      </c>
    </row>
    <row r="468" spans="1:13" customFormat="1">
      <c r="A468" s="241"/>
      <c r="B468" s="238" t="s">
        <v>1375</v>
      </c>
      <c r="C468" s="238" t="s">
        <v>1849</v>
      </c>
      <c r="D468" s="247">
        <v>4410.91</v>
      </c>
      <c r="E468" s="247">
        <v>4480.38</v>
      </c>
      <c r="F468" s="247">
        <f>E468-D468</f>
        <v>69.470000000000255</v>
      </c>
      <c r="G468" s="241">
        <v>24000</v>
      </c>
      <c r="H468" s="244">
        <f>(F468*G468)</f>
        <v>1667280.0000000061</v>
      </c>
      <c r="I468" s="244">
        <v>35000</v>
      </c>
      <c r="J468" s="244">
        <f>H468+I468</f>
        <v>1702280.0000000061</v>
      </c>
      <c r="K468" s="247"/>
      <c r="L468" s="735">
        <v>1169760.00000001</v>
      </c>
      <c r="M468" s="736">
        <f t="shared" si="34"/>
        <v>1.4552386814389204</v>
      </c>
    </row>
    <row r="469" spans="1:13" customFormat="1" ht="26.25" customHeight="1">
      <c r="A469" s="241"/>
      <c r="B469" s="734"/>
      <c r="C469" s="238"/>
      <c r="D469" s="241"/>
      <c r="E469" s="241"/>
      <c r="F469" s="247"/>
      <c r="G469" s="241"/>
      <c r="H469" s="244"/>
      <c r="I469" s="244"/>
      <c r="J469" s="244">
        <f>SUM(J468)</f>
        <v>1702280.0000000061</v>
      </c>
      <c r="K469" s="247"/>
      <c r="L469" s="735"/>
      <c r="M469" s="736" t="e">
        <f t="shared" si="34"/>
        <v>#DIV/0!</v>
      </c>
    </row>
    <row r="470" spans="1:13" customFormat="1">
      <c r="A470" s="241"/>
      <c r="B470" s="734"/>
      <c r="C470" s="238"/>
      <c r="D470" s="241"/>
      <c r="E470" s="241"/>
      <c r="F470" s="247"/>
      <c r="G470" s="241"/>
      <c r="H470" s="244"/>
      <c r="I470" s="244"/>
      <c r="J470" s="244"/>
      <c r="K470" s="247"/>
      <c r="L470" s="735">
        <v>341760</v>
      </c>
      <c r="M470" s="736">
        <f t="shared" si="34"/>
        <v>0</v>
      </c>
    </row>
    <row r="471" spans="1:13" customFormat="1">
      <c r="A471" s="241">
        <v>78</v>
      </c>
      <c r="B471" s="734" t="s">
        <v>927</v>
      </c>
      <c r="C471" s="238" t="s">
        <v>1850</v>
      </c>
      <c r="D471" s="247">
        <v>5392.63</v>
      </c>
      <c r="E471" s="247">
        <v>5463.26</v>
      </c>
      <c r="F471" s="247">
        <f>E471-D471</f>
        <v>70.630000000000109</v>
      </c>
      <c r="G471" s="241">
        <v>6000</v>
      </c>
      <c r="H471" s="244">
        <f>(F471*G471)</f>
        <v>423780.00000000064</v>
      </c>
      <c r="I471" s="244"/>
      <c r="J471" s="244">
        <f>H471+I471</f>
        <v>423780.00000000064</v>
      </c>
      <c r="K471" s="247"/>
      <c r="L471" s="735">
        <v>541620.00000000303</v>
      </c>
      <c r="M471" s="736">
        <f t="shared" si="34"/>
        <v>0.78243048631881817</v>
      </c>
    </row>
    <row r="472" spans="1:13" customFormat="1" ht="15" customHeight="1">
      <c r="A472" s="241">
        <v>79</v>
      </c>
      <c r="B472" s="734" t="s">
        <v>1851</v>
      </c>
      <c r="C472" s="238" t="s">
        <v>1852</v>
      </c>
      <c r="D472" s="247">
        <v>8210.57</v>
      </c>
      <c r="E472" s="247">
        <v>8339.98</v>
      </c>
      <c r="F472" s="247">
        <f>E472-D472</f>
        <v>129.40999999999985</v>
      </c>
      <c r="G472" s="241">
        <v>6000</v>
      </c>
      <c r="H472" s="244">
        <f>(F472*G472)</f>
        <v>776459.99999999907</v>
      </c>
      <c r="I472" s="244">
        <v>37738.240600000951</v>
      </c>
      <c r="J472" s="244">
        <f>H472+I472</f>
        <v>814198.24060000002</v>
      </c>
      <c r="K472" s="247"/>
      <c r="L472" s="735">
        <v>0</v>
      </c>
      <c r="M472" s="736" t="e">
        <f t="shared" si="34"/>
        <v>#DIV/0!</v>
      </c>
    </row>
    <row r="473" spans="1:13" customFormat="1">
      <c r="A473" s="241">
        <v>80</v>
      </c>
      <c r="B473" s="734" t="s">
        <v>1853</v>
      </c>
      <c r="C473" s="238" t="s">
        <v>1854</v>
      </c>
      <c r="D473" s="247">
        <v>436.48</v>
      </c>
      <c r="E473" s="247">
        <v>436.48</v>
      </c>
      <c r="F473" s="247">
        <f>E473-D473</f>
        <v>0</v>
      </c>
      <c r="G473" s="241">
        <v>6000</v>
      </c>
      <c r="H473" s="244">
        <f>(F473*G473)</f>
        <v>0</v>
      </c>
      <c r="I473" s="244"/>
      <c r="J473" s="244">
        <f>H473+I473</f>
        <v>0</v>
      </c>
      <c r="K473" s="247"/>
      <c r="L473" s="735">
        <v>276000</v>
      </c>
      <c r="M473" s="736">
        <f t="shared" si="34"/>
        <v>0</v>
      </c>
    </row>
    <row r="474" spans="1:13" customFormat="1">
      <c r="A474" s="241">
        <v>80</v>
      </c>
      <c r="B474" s="734" t="s">
        <v>1855</v>
      </c>
      <c r="C474" s="238" t="s">
        <v>1854</v>
      </c>
      <c r="D474" s="247">
        <v>4109.6899999999996</v>
      </c>
      <c r="E474" s="247">
        <v>4184.8900000000003</v>
      </c>
      <c r="F474" s="247">
        <f>E474-D474</f>
        <v>75.200000000000728</v>
      </c>
      <c r="G474" s="241">
        <v>6000</v>
      </c>
      <c r="H474" s="244">
        <f>(F474*G474)</f>
        <v>451200.00000000437</v>
      </c>
      <c r="I474" s="244"/>
      <c r="J474" s="244">
        <f>H474+I474</f>
        <v>451200.00000000437</v>
      </c>
      <c r="K474" s="247"/>
      <c r="L474" s="735">
        <v>1159380</v>
      </c>
      <c r="M474" s="736">
        <f t="shared" si="34"/>
        <v>0.38917352377995512</v>
      </c>
    </row>
    <row r="475" spans="1:13" customFormat="1">
      <c r="A475" s="241"/>
      <c r="B475" s="755"/>
      <c r="C475" s="238"/>
      <c r="D475" s="247"/>
      <c r="E475" s="247"/>
      <c r="F475" s="247"/>
      <c r="G475" s="241"/>
      <c r="H475" s="244"/>
      <c r="I475" s="244"/>
      <c r="J475" s="244">
        <f>SUM(J471:J474)</f>
        <v>1689178.240600005</v>
      </c>
      <c r="K475" s="743">
        <f>(J469-J475)/J469</f>
        <v>7.696594802265774E-3</v>
      </c>
      <c r="L475" s="735"/>
      <c r="M475" s="736" t="e">
        <f t="shared" si="34"/>
        <v>#DIV/0!</v>
      </c>
    </row>
    <row r="476" spans="1:13" customFormat="1">
      <c r="A476" s="1239">
        <v>20</v>
      </c>
      <c r="B476" s="732" t="s">
        <v>1856</v>
      </c>
      <c r="C476" s="238"/>
      <c r="D476" s="247"/>
      <c r="E476" s="247"/>
      <c r="F476" s="247"/>
      <c r="G476" s="241"/>
      <c r="H476" s="244"/>
      <c r="I476" s="244"/>
      <c r="J476" s="244"/>
      <c r="K476" s="247"/>
      <c r="L476" s="735">
        <v>1721120</v>
      </c>
      <c r="M476" s="736">
        <f t="shared" si="34"/>
        <v>0</v>
      </c>
    </row>
    <row r="477" spans="1:13" customFormat="1">
      <c r="A477" s="241">
        <v>1</v>
      </c>
      <c r="B477" s="238" t="s">
        <v>242</v>
      </c>
      <c r="C477" s="238" t="s">
        <v>1857</v>
      </c>
      <c r="D477" s="247">
        <v>5689.39</v>
      </c>
      <c r="E477" s="247">
        <v>5776.06</v>
      </c>
      <c r="F477" s="247">
        <f>E477-D477</f>
        <v>86.670000000000073</v>
      </c>
      <c r="G477" s="241">
        <v>24000</v>
      </c>
      <c r="H477" s="244">
        <f>(F477*G477)</f>
        <v>2080080.0000000019</v>
      </c>
      <c r="I477" s="244">
        <v>750000</v>
      </c>
      <c r="J477" s="244">
        <f>H477+I477</f>
        <v>2830080.0000000019</v>
      </c>
      <c r="K477" s="247"/>
      <c r="L477" s="735">
        <v>1721120</v>
      </c>
      <c r="M477" s="736">
        <f t="shared" si="34"/>
        <v>1.6443246258250452</v>
      </c>
    </row>
    <row r="478" spans="1:13" customFormat="1">
      <c r="A478" s="241"/>
      <c r="B478" s="238" t="s">
        <v>1363</v>
      </c>
      <c r="C478" s="238"/>
      <c r="D478" s="247"/>
      <c r="E478" s="247"/>
      <c r="F478" s="247"/>
      <c r="G478" s="241"/>
      <c r="H478" s="244"/>
      <c r="I478" s="244"/>
      <c r="J478" s="244">
        <f>J477</f>
        <v>2830080.0000000019</v>
      </c>
      <c r="K478" s="247"/>
      <c r="L478" s="735"/>
      <c r="M478" s="736" t="e">
        <f t="shared" si="34"/>
        <v>#DIV/0!</v>
      </c>
    </row>
    <row r="479" spans="1:13" customFormat="1" ht="15" customHeight="1">
      <c r="A479" s="241"/>
      <c r="B479" s="238"/>
      <c r="C479" s="238"/>
      <c r="D479" s="247"/>
      <c r="E479" s="247"/>
      <c r="F479" s="247"/>
      <c r="G479" s="241"/>
      <c r="H479" s="244"/>
      <c r="I479" s="244"/>
      <c r="J479" s="244"/>
      <c r="K479" s="247"/>
      <c r="L479" s="735">
        <v>889920.00000000896</v>
      </c>
      <c r="M479" s="736">
        <f t="shared" si="34"/>
        <v>0</v>
      </c>
    </row>
    <row r="480" spans="1:13" customFormat="1">
      <c r="A480" s="241">
        <v>81</v>
      </c>
      <c r="B480" s="238" t="s">
        <v>1336</v>
      </c>
      <c r="C480" s="238" t="s">
        <v>1858</v>
      </c>
      <c r="D480" s="247">
        <v>11038.13</v>
      </c>
      <c r="E480" s="247">
        <v>11286.38</v>
      </c>
      <c r="F480" s="247">
        <f>E480-D480</f>
        <v>248.25</v>
      </c>
      <c r="G480" s="241">
        <v>6000</v>
      </c>
      <c r="H480" s="244">
        <f>(F480*G480)</f>
        <v>1489500</v>
      </c>
      <c r="I480" s="244"/>
      <c r="J480" s="244">
        <f>H480+I480</f>
        <v>1489500</v>
      </c>
      <c r="K480" s="247"/>
      <c r="L480" s="735">
        <v>378000</v>
      </c>
      <c r="M480" s="736">
        <f t="shared" si="34"/>
        <v>3.9404761904761907</v>
      </c>
    </row>
    <row r="481" spans="1:13" customFormat="1">
      <c r="A481" s="241">
        <v>82</v>
      </c>
      <c r="B481" s="238" t="s">
        <v>1859</v>
      </c>
      <c r="C481" s="238" t="s">
        <v>1860</v>
      </c>
      <c r="D481" s="247">
        <v>7270.82</v>
      </c>
      <c r="E481" s="247">
        <v>7360.88</v>
      </c>
      <c r="F481" s="247">
        <f>E481-D481</f>
        <v>90.0600000000004</v>
      </c>
      <c r="G481" s="241">
        <v>6000</v>
      </c>
      <c r="H481" s="244">
        <f>(F481*G481)</f>
        <v>540360.00000000244</v>
      </c>
      <c r="I481" s="244"/>
      <c r="J481" s="244">
        <f>H481+I481</f>
        <v>540360.00000000244</v>
      </c>
      <c r="K481" s="247"/>
      <c r="L481" s="735">
        <v>452520</v>
      </c>
      <c r="M481" s="736">
        <f t="shared" si="34"/>
        <v>1.1941129673826625</v>
      </c>
    </row>
    <row r="482" spans="1:13" customFormat="1">
      <c r="A482" s="241">
        <v>83</v>
      </c>
      <c r="B482" s="238" t="s">
        <v>1861</v>
      </c>
      <c r="C482" s="238" t="s">
        <v>1862</v>
      </c>
      <c r="D482" s="247">
        <v>5399.91</v>
      </c>
      <c r="E482" s="247">
        <v>5529.45</v>
      </c>
      <c r="F482" s="247">
        <f>E482-D482</f>
        <v>129.53999999999996</v>
      </c>
      <c r="G482" s="241">
        <v>6000</v>
      </c>
      <c r="H482" s="244">
        <f>(F482*G482)</f>
        <v>777239.99999999977</v>
      </c>
      <c r="I482" s="244"/>
      <c r="J482" s="244">
        <f>H482+I482</f>
        <v>777239.99999999977</v>
      </c>
      <c r="K482" s="247"/>
      <c r="L482" s="735">
        <v>1720440.00000001</v>
      </c>
      <c r="M482" s="736">
        <f t="shared" si="34"/>
        <v>0.45176815233312134</v>
      </c>
    </row>
    <row r="483" spans="1:13" customFormat="1">
      <c r="A483" s="241"/>
      <c r="B483" s="755"/>
      <c r="C483" s="238"/>
      <c r="D483" s="247"/>
      <c r="E483" s="247"/>
      <c r="F483" s="247"/>
      <c r="G483" s="241"/>
      <c r="H483" s="244"/>
      <c r="I483" s="244"/>
      <c r="J483" s="244">
        <f>SUM(J480:J482)</f>
        <v>2807100.0000000019</v>
      </c>
      <c r="K483" s="743">
        <f>(J478-J483)/J478</f>
        <v>8.1199118046132914E-3</v>
      </c>
      <c r="L483" s="735"/>
      <c r="M483" s="736" t="e">
        <f t="shared" ref="M483:M499" si="38">J483/L483</f>
        <v>#DIV/0!</v>
      </c>
    </row>
    <row r="484" spans="1:13" customFormat="1">
      <c r="A484" s="1239">
        <v>21</v>
      </c>
      <c r="B484" s="732" t="s">
        <v>1863</v>
      </c>
      <c r="C484" s="238"/>
      <c r="D484" s="247"/>
      <c r="E484" s="247"/>
      <c r="F484" s="247"/>
      <c r="G484" s="241"/>
      <c r="H484" s="244"/>
      <c r="I484" s="244"/>
      <c r="J484" s="244"/>
      <c r="K484" s="743"/>
      <c r="L484" s="735"/>
      <c r="M484" s="736" t="e">
        <f t="shared" si="38"/>
        <v>#DIV/0!</v>
      </c>
    </row>
    <row r="485" spans="1:13" customFormat="1">
      <c r="A485" s="241"/>
      <c r="B485" s="755"/>
      <c r="C485" s="238"/>
      <c r="D485" s="247"/>
      <c r="E485" s="247"/>
      <c r="F485" s="247"/>
      <c r="G485" s="241"/>
      <c r="H485" s="244"/>
      <c r="I485" s="244"/>
      <c r="J485" s="244"/>
      <c r="K485" s="743"/>
      <c r="L485" s="735">
        <v>68400.017399999997</v>
      </c>
      <c r="M485" s="736">
        <f t="shared" si="38"/>
        <v>0</v>
      </c>
    </row>
    <row r="486" spans="1:13" customFormat="1">
      <c r="A486" s="241">
        <v>1</v>
      </c>
      <c r="B486" s="238" t="s">
        <v>1631</v>
      </c>
      <c r="C486" s="238" t="s">
        <v>1864</v>
      </c>
      <c r="D486" s="247">
        <v>68234</v>
      </c>
      <c r="E486" s="247">
        <v>69530</v>
      </c>
      <c r="F486" s="247">
        <f>E486-D486</f>
        <v>1296</v>
      </c>
      <c r="G486" s="241">
        <v>30</v>
      </c>
      <c r="H486" s="244">
        <f>(F486*G486)</f>
        <v>38880</v>
      </c>
      <c r="I486" s="244">
        <v>10000</v>
      </c>
      <c r="J486" s="244">
        <f>H486+I486</f>
        <v>48880</v>
      </c>
      <c r="K486" s="247"/>
      <c r="L486" s="735">
        <v>68400.017399999997</v>
      </c>
      <c r="M486" s="736">
        <f t="shared" si="38"/>
        <v>0.71461970125171348</v>
      </c>
    </row>
    <row r="487" spans="1:13" customFormat="1" ht="15" customHeight="1">
      <c r="A487" s="241"/>
      <c r="B487" s="238" t="s">
        <v>1363</v>
      </c>
      <c r="C487" s="238"/>
      <c r="D487" s="247"/>
      <c r="E487" s="247"/>
      <c r="F487" s="247"/>
      <c r="G487" s="241"/>
      <c r="H487" s="244"/>
      <c r="I487" s="244"/>
      <c r="J487" s="244">
        <f>J486</f>
        <v>48880</v>
      </c>
      <c r="K487" s="247"/>
      <c r="L487" s="735"/>
      <c r="M487" s="736" t="e">
        <f t="shared" si="38"/>
        <v>#DIV/0!</v>
      </c>
    </row>
    <row r="488" spans="1:13" customFormat="1" ht="15" customHeight="1">
      <c r="A488" s="241"/>
      <c r="B488" s="238"/>
      <c r="C488" s="238"/>
      <c r="D488" s="247"/>
      <c r="E488" s="247"/>
      <c r="F488" s="247"/>
      <c r="G488" s="241"/>
      <c r="H488" s="244"/>
      <c r="I488" s="244"/>
      <c r="J488" s="244"/>
      <c r="K488" s="247"/>
      <c r="L488" s="785">
        <f>I489-H489</f>
        <v>-7700</v>
      </c>
      <c r="M488" s="736">
        <f t="shared" si="38"/>
        <v>0</v>
      </c>
    </row>
    <row r="489" spans="1:13" customFormat="1" ht="15" customHeight="1">
      <c r="A489" s="241">
        <v>84</v>
      </c>
      <c r="B489" s="238" t="s">
        <v>1865</v>
      </c>
      <c r="C489" s="238" t="s">
        <v>1866</v>
      </c>
      <c r="D489" s="247">
        <v>7184</v>
      </c>
      <c r="E489" s="247">
        <v>7376.5</v>
      </c>
      <c r="F489" s="247">
        <f>E489-D489</f>
        <v>192.5</v>
      </c>
      <c r="G489" s="241">
        <v>40</v>
      </c>
      <c r="H489" s="244">
        <f>(F489*G489)</f>
        <v>7700</v>
      </c>
      <c r="I489" s="244"/>
      <c r="J489" s="244">
        <f>H489+I489</f>
        <v>7700</v>
      </c>
      <c r="K489" s="247"/>
      <c r="L489" s="785">
        <f>I490-H490</f>
        <v>16280</v>
      </c>
      <c r="M489" s="736">
        <f t="shared" si="38"/>
        <v>0.47297297297297297</v>
      </c>
    </row>
    <row r="490" spans="1:13" customFormat="1">
      <c r="A490" s="241">
        <v>85</v>
      </c>
      <c r="B490" s="238" t="s">
        <v>1867</v>
      </c>
      <c r="C490" s="238" t="s">
        <v>1868</v>
      </c>
      <c r="D490" s="247">
        <v>15762</v>
      </c>
      <c r="E490" s="247">
        <v>15893.5</v>
      </c>
      <c r="F490" s="247">
        <f>E490-D490</f>
        <v>131.5</v>
      </c>
      <c r="G490" s="241">
        <v>40</v>
      </c>
      <c r="H490" s="244">
        <f>(F490*G490)</f>
        <v>5260</v>
      </c>
      <c r="I490" s="244">
        <v>21540</v>
      </c>
      <c r="J490" s="244">
        <f>H490+I490</f>
        <v>26800</v>
      </c>
      <c r="K490" s="247"/>
      <c r="L490" s="785">
        <f>I491-H491</f>
        <v>-4520</v>
      </c>
      <c r="M490" s="736">
        <f t="shared" si="38"/>
        <v>-5.9292035398230087</v>
      </c>
    </row>
    <row r="491" spans="1:13" customFormat="1">
      <c r="A491" s="241">
        <v>86</v>
      </c>
      <c r="B491" s="238" t="s">
        <v>1869</v>
      </c>
      <c r="C491" s="238" t="s">
        <v>1870</v>
      </c>
      <c r="D491" s="247">
        <v>19086</v>
      </c>
      <c r="E491" s="247">
        <v>19320</v>
      </c>
      <c r="F491" s="247">
        <f>E491-D491</f>
        <v>234</v>
      </c>
      <c r="G491" s="241">
        <v>40</v>
      </c>
      <c r="H491" s="244">
        <f>(F491*G491)</f>
        <v>9360</v>
      </c>
      <c r="I491" s="244">
        <v>4840</v>
      </c>
      <c r="J491" s="244">
        <f>H491+I491</f>
        <v>14200</v>
      </c>
      <c r="K491" s="247"/>
      <c r="L491" s="735">
        <v>67659.993000000002</v>
      </c>
      <c r="M491" s="736">
        <f t="shared" si="38"/>
        <v>0.20987291559430105</v>
      </c>
    </row>
    <row r="492" spans="1:13" customFormat="1">
      <c r="A492" s="241"/>
      <c r="B492" s="755"/>
      <c r="C492" s="238"/>
      <c r="D492" s="247"/>
      <c r="E492" s="247"/>
      <c r="F492" s="247"/>
      <c r="G492" s="241"/>
      <c r="H492" s="244"/>
      <c r="I492" s="244"/>
      <c r="J492" s="244">
        <f>SUM(J489:J491)</f>
        <v>48700</v>
      </c>
      <c r="K492" s="743">
        <f>(J487-J492)/J487</f>
        <v>3.6824877250409165E-3</v>
      </c>
      <c r="L492" s="735"/>
      <c r="M492" s="736" t="e">
        <f t="shared" si="38"/>
        <v>#DIV/0!</v>
      </c>
    </row>
    <row r="493" spans="1:13" customFormat="1" ht="26.25">
      <c r="A493" s="241">
        <v>22</v>
      </c>
      <c r="B493" s="821" t="s">
        <v>1871</v>
      </c>
      <c r="C493" s="238"/>
      <c r="D493" s="247"/>
      <c r="E493" s="247"/>
      <c r="F493" s="247"/>
      <c r="G493" s="241"/>
      <c r="H493" s="244"/>
      <c r="I493" s="244"/>
      <c r="J493" s="244"/>
      <c r="K493" s="247"/>
      <c r="L493" s="735">
        <v>433360</v>
      </c>
      <c r="M493" s="736">
        <f t="shared" si="38"/>
        <v>0</v>
      </c>
    </row>
    <row r="494" spans="1:13" customFormat="1">
      <c r="A494" s="241">
        <v>1</v>
      </c>
      <c r="B494" s="238" t="s">
        <v>1791</v>
      </c>
      <c r="C494" s="1238" t="s">
        <v>1792</v>
      </c>
      <c r="D494" s="247">
        <v>317985</v>
      </c>
      <c r="E494" s="247">
        <v>323421</v>
      </c>
      <c r="F494" s="247">
        <f>E494-D494</f>
        <v>5436</v>
      </c>
      <c r="G494" s="241">
        <v>80</v>
      </c>
      <c r="H494" s="244">
        <f>(F494*G494)</f>
        <v>434880</v>
      </c>
      <c r="I494" s="244"/>
      <c r="J494" s="244">
        <f>H494+I494</f>
        <v>434880</v>
      </c>
      <c r="K494" s="247"/>
      <c r="L494" s="735">
        <v>168080</v>
      </c>
      <c r="M494" s="736">
        <f t="shared" si="38"/>
        <v>2.5873393622084722</v>
      </c>
    </row>
    <row r="495" spans="1:13" customFormat="1">
      <c r="A495" s="241"/>
      <c r="B495" s="238" t="s">
        <v>1872</v>
      </c>
      <c r="C495" s="1238" t="s">
        <v>1792</v>
      </c>
      <c r="D495" s="247">
        <v>310860</v>
      </c>
      <c r="E495" s="247">
        <v>321260</v>
      </c>
      <c r="F495" s="247">
        <f>E495-D495</f>
        <v>10400</v>
      </c>
      <c r="G495" s="241">
        <v>80</v>
      </c>
      <c r="H495" s="244">
        <f>(F495*G495)</f>
        <v>832000</v>
      </c>
      <c r="I495" s="244"/>
      <c r="J495" s="244">
        <f>H495+I495</f>
        <v>832000</v>
      </c>
      <c r="K495" s="247"/>
      <c r="L495" s="735">
        <v>919440</v>
      </c>
      <c r="M495" s="736">
        <f t="shared" si="38"/>
        <v>0.90489863395110071</v>
      </c>
    </row>
    <row r="496" spans="1:13" customFormat="1">
      <c r="A496" s="241">
        <v>2</v>
      </c>
      <c r="B496" s="238" t="s">
        <v>1873</v>
      </c>
      <c r="C496" s="1238" t="s">
        <v>1874</v>
      </c>
      <c r="D496" s="247">
        <v>823934</v>
      </c>
      <c r="E496" s="247">
        <v>842876</v>
      </c>
      <c r="F496" s="247">
        <f>E496-D496</f>
        <v>18942</v>
      </c>
      <c r="G496" s="241">
        <v>80</v>
      </c>
      <c r="H496" s="244">
        <f>(F496*G496)</f>
        <v>1515360</v>
      </c>
      <c r="I496" s="244"/>
      <c r="J496" s="244">
        <f>H496+I496</f>
        <v>1515360</v>
      </c>
      <c r="K496" s="247"/>
      <c r="L496" s="735">
        <v>600000</v>
      </c>
      <c r="M496" s="736">
        <f t="shared" si="38"/>
        <v>2.5255999999999998</v>
      </c>
    </row>
    <row r="497" spans="1:14" customFormat="1">
      <c r="A497" s="241"/>
      <c r="B497" s="734" t="s">
        <v>1736</v>
      </c>
      <c r="C497" s="1238"/>
      <c r="D497" s="247"/>
      <c r="E497" s="247"/>
      <c r="F497" s="247"/>
      <c r="G497" s="241"/>
      <c r="H497" s="244"/>
      <c r="I497" s="244"/>
      <c r="J497" s="244"/>
      <c r="K497" s="247"/>
      <c r="L497" s="735">
        <v>1201440</v>
      </c>
      <c r="M497" s="736">
        <f t="shared" si="38"/>
        <v>0</v>
      </c>
      <c r="N497" s="386"/>
    </row>
    <row r="498" spans="1:14" customFormat="1">
      <c r="A498" s="241"/>
      <c r="B498" s="734" t="s">
        <v>1363</v>
      </c>
      <c r="C498" s="1238"/>
      <c r="D498" s="241"/>
      <c r="E498" s="241"/>
      <c r="F498" s="241"/>
      <c r="G498" s="247"/>
      <c r="H498" s="241"/>
      <c r="I498" s="244"/>
      <c r="J498" s="244">
        <f>(J494+J495+J497)</f>
        <v>1266880</v>
      </c>
      <c r="K498" s="241"/>
      <c r="L498" s="735"/>
      <c r="M498" s="736" t="e">
        <f t="shared" si="38"/>
        <v>#DIV/0!</v>
      </c>
      <c r="N498" s="386"/>
    </row>
    <row r="499" spans="1:14" customFormat="1">
      <c r="A499" s="241"/>
      <c r="B499" s="733" t="s">
        <v>1767</v>
      </c>
      <c r="C499" s="1238"/>
      <c r="D499" s="241"/>
      <c r="E499" s="241"/>
      <c r="F499" s="241"/>
      <c r="G499" s="247"/>
      <c r="H499" s="241"/>
      <c r="I499" s="244"/>
      <c r="J499" s="244"/>
      <c r="K499" s="244"/>
      <c r="L499" s="735">
        <v>408000</v>
      </c>
      <c r="M499" s="736">
        <f t="shared" si="38"/>
        <v>0</v>
      </c>
      <c r="N499" s="386"/>
    </row>
    <row r="500" spans="1:14" customFormat="1">
      <c r="A500" s="241">
        <v>88</v>
      </c>
      <c r="B500" s="734" t="s">
        <v>1875</v>
      </c>
      <c r="C500" s="1238" t="s">
        <v>1876</v>
      </c>
      <c r="D500" s="247">
        <v>175810.5</v>
      </c>
      <c r="E500" s="247">
        <v>179623</v>
      </c>
      <c r="F500" s="247">
        <f>E500-D500</f>
        <v>3812.5</v>
      </c>
      <c r="G500" s="241">
        <v>40</v>
      </c>
      <c r="H500" s="244">
        <f>(F500*G500)</f>
        <v>152500</v>
      </c>
      <c r="I500" s="244"/>
      <c r="J500" s="244">
        <f>H500+I500</f>
        <v>152500</v>
      </c>
      <c r="K500" s="247"/>
      <c r="L500" s="735">
        <v>87460</v>
      </c>
      <c r="M500" s="736" t="e">
        <f>#REF!/L500</f>
        <v>#REF!</v>
      </c>
      <c r="N500" s="386"/>
    </row>
    <row r="501" spans="1:14" customFormat="1">
      <c r="A501" s="241">
        <v>89</v>
      </c>
      <c r="B501" s="734" t="s">
        <v>1877</v>
      </c>
      <c r="C501" s="1238" t="s">
        <v>1878</v>
      </c>
      <c r="D501" s="247">
        <v>587805</v>
      </c>
      <c r="E501" s="247">
        <v>615037.5</v>
      </c>
      <c r="F501" s="247">
        <f>E501-D501</f>
        <v>27232.5</v>
      </c>
      <c r="G501" s="241">
        <v>40</v>
      </c>
      <c r="H501" s="244">
        <f>(F501*G501)</f>
        <v>1089300</v>
      </c>
      <c r="I501" s="244"/>
      <c r="J501" s="244">
        <f>H501+I501</f>
        <v>1089300</v>
      </c>
      <c r="K501" s="809"/>
      <c r="L501" s="735">
        <v>682500</v>
      </c>
      <c r="M501" s="736">
        <f t="shared" ref="M501:M546" si="39">J500/L501</f>
        <v>0.22344322344322345</v>
      </c>
      <c r="N501" s="386">
        <v>9935301354</v>
      </c>
    </row>
    <row r="502" spans="1:14" customFormat="1" ht="18" customHeight="1">
      <c r="A502" s="241"/>
      <c r="B502" s="734" t="s">
        <v>1879</v>
      </c>
      <c r="C502" s="1238" t="s">
        <v>1878</v>
      </c>
      <c r="D502" s="247">
        <v>1428.5</v>
      </c>
      <c r="E502" s="247">
        <v>1428.5</v>
      </c>
      <c r="F502" s="247">
        <f>E502-D502</f>
        <v>0</v>
      </c>
      <c r="G502" s="241">
        <v>40</v>
      </c>
      <c r="H502" s="244">
        <f>(F502*G502)</f>
        <v>0</v>
      </c>
      <c r="I502" s="244"/>
      <c r="J502" s="244">
        <f>H502+I502</f>
        <v>0</v>
      </c>
      <c r="K502" s="247"/>
      <c r="L502" s="735">
        <v>0</v>
      </c>
      <c r="M502" s="736" t="e">
        <f t="shared" si="39"/>
        <v>#DIV/0!</v>
      </c>
      <c r="N502" s="386"/>
    </row>
    <row r="503" spans="1:14" customFormat="1">
      <c r="A503" s="241"/>
      <c r="B503" s="734"/>
      <c r="C503" s="238"/>
      <c r="D503" s="247"/>
      <c r="E503" s="247"/>
      <c r="F503" s="247"/>
      <c r="G503" s="241"/>
      <c r="H503" s="244"/>
      <c r="I503" s="244"/>
      <c r="J503" s="244">
        <f>SUM(J500:J502)</f>
        <v>1241800</v>
      </c>
      <c r="K503" s="247"/>
      <c r="L503" s="735">
        <v>1177960</v>
      </c>
      <c r="M503" s="736">
        <f t="shared" si="39"/>
        <v>0</v>
      </c>
      <c r="N503" s="386"/>
    </row>
    <row r="504" spans="1:14" customFormat="1">
      <c r="A504" s="241"/>
      <c r="B504" s="734"/>
      <c r="C504" s="238"/>
      <c r="D504" s="247"/>
      <c r="E504" s="247"/>
      <c r="F504" s="247"/>
      <c r="G504" s="241"/>
      <c r="H504" s="244"/>
      <c r="I504" s="244"/>
      <c r="J504" s="244"/>
      <c r="K504" s="743">
        <f>(J498-J503)/J498</f>
        <v>1.9796665824703207E-2</v>
      </c>
      <c r="L504" s="735"/>
      <c r="M504" s="736" t="e">
        <f t="shared" si="39"/>
        <v>#DIV/0!</v>
      </c>
      <c r="N504" s="386"/>
    </row>
    <row r="505" spans="1:14" customFormat="1" ht="18" customHeight="1">
      <c r="A505" s="241">
        <v>23</v>
      </c>
      <c r="B505" s="821" t="s">
        <v>1880</v>
      </c>
      <c r="C505" s="238"/>
      <c r="D505" s="247"/>
      <c r="E505" s="247"/>
      <c r="F505" s="247"/>
      <c r="G505" s="241"/>
      <c r="H505" s="244"/>
      <c r="I505" s="244"/>
      <c r="J505" s="244"/>
      <c r="K505" s="743"/>
      <c r="L505" s="735"/>
      <c r="M505" s="736" t="e">
        <f t="shared" si="39"/>
        <v>#DIV/0!</v>
      </c>
      <c r="N505" s="386"/>
    </row>
    <row r="506" spans="1:14" customFormat="1">
      <c r="A506" s="241">
        <v>1</v>
      </c>
      <c r="B506" s="238" t="s">
        <v>1881</v>
      </c>
      <c r="C506" s="1238">
        <v>9916389</v>
      </c>
      <c r="D506" s="247">
        <v>314.86599999999999</v>
      </c>
      <c r="E506" s="247">
        <v>314.86599999999999</v>
      </c>
      <c r="F506" s="247">
        <v>0</v>
      </c>
      <c r="G506" s="241">
        <v>120</v>
      </c>
      <c r="H506" s="244">
        <f>(F506*G506)</f>
        <v>0</v>
      </c>
      <c r="I506" s="244">
        <f>H507+I507</f>
        <v>662880.00000000023</v>
      </c>
      <c r="J506" s="244">
        <f>H506+I506</f>
        <v>662880.00000000023</v>
      </c>
      <c r="K506" s="247"/>
      <c r="L506" s="735">
        <v>389800</v>
      </c>
      <c r="M506" s="736">
        <f t="shared" si="39"/>
        <v>0</v>
      </c>
      <c r="N506" s="386"/>
    </row>
    <row r="507" spans="1:14" customFormat="1" ht="25.5" customHeight="1">
      <c r="A507" s="241"/>
      <c r="B507" s="238"/>
      <c r="C507" s="1238" t="s">
        <v>1882</v>
      </c>
      <c r="D507" s="247">
        <v>27845.7</v>
      </c>
      <c r="E507" s="247">
        <v>29502.9</v>
      </c>
      <c r="F507" s="247">
        <f>E507-D507</f>
        <v>1657.2000000000007</v>
      </c>
      <c r="G507" s="241">
        <v>400</v>
      </c>
      <c r="H507" s="244">
        <f>(F507*G507)</f>
        <v>662880.00000000023</v>
      </c>
      <c r="I507" s="244"/>
      <c r="J507" s="244"/>
      <c r="K507" s="247"/>
      <c r="L507" s="735"/>
      <c r="M507" s="736" t="e">
        <f t="shared" si="39"/>
        <v>#DIV/0!</v>
      </c>
      <c r="N507" s="386"/>
    </row>
    <row r="508" spans="1:14" customFormat="1">
      <c r="A508" s="241"/>
      <c r="B508" s="734" t="s">
        <v>1363</v>
      </c>
      <c r="C508" s="1238"/>
      <c r="D508" s="247"/>
      <c r="E508" s="247"/>
      <c r="F508" s="241"/>
      <c r="G508" s="247"/>
      <c r="H508" s="241"/>
      <c r="I508" s="244"/>
      <c r="J508" s="244">
        <f>SUM(J506)</f>
        <v>662880.00000000023</v>
      </c>
      <c r="K508" s="247"/>
      <c r="L508" s="735">
        <v>389800</v>
      </c>
      <c r="M508" s="736">
        <f t="shared" si="39"/>
        <v>0</v>
      </c>
      <c r="N508" s="386"/>
    </row>
    <row r="509" spans="1:14" customFormat="1">
      <c r="A509" s="241"/>
      <c r="B509" s="733" t="s">
        <v>1767</v>
      </c>
      <c r="C509" s="1238"/>
      <c r="D509" s="247"/>
      <c r="E509" s="247"/>
      <c r="F509" s="241"/>
      <c r="G509" s="247"/>
      <c r="H509" s="241"/>
      <c r="I509" s="244"/>
      <c r="J509" s="244"/>
      <c r="K509" s="241"/>
      <c r="L509" s="735"/>
      <c r="M509" s="736" t="e">
        <f t="shared" si="39"/>
        <v>#DIV/0!</v>
      </c>
      <c r="N509" s="386"/>
    </row>
    <row r="510" spans="1:14" customFormat="1">
      <c r="A510" s="241">
        <v>90</v>
      </c>
      <c r="B510" s="734" t="s">
        <v>1883</v>
      </c>
      <c r="C510" s="1238">
        <v>9916392</v>
      </c>
      <c r="D510" s="241">
        <v>9438.6659999999993</v>
      </c>
      <c r="E510" s="241">
        <v>9438.6659999999993</v>
      </c>
      <c r="F510" s="247">
        <f>E510-D510</f>
        <v>0</v>
      </c>
      <c r="G510" s="241">
        <v>40</v>
      </c>
      <c r="H510" s="244">
        <f>(F510*G510)</f>
        <v>0</v>
      </c>
      <c r="I510" s="244">
        <f>H511+I511</f>
        <v>611959.96149999998</v>
      </c>
      <c r="J510" s="244">
        <f>H510+I510</f>
        <v>611959.96149999998</v>
      </c>
      <c r="K510" s="241"/>
      <c r="L510" s="735">
        <v>349185.79369999899</v>
      </c>
      <c r="M510" s="736">
        <f t="shared" si="39"/>
        <v>0</v>
      </c>
      <c r="N510" s="386"/>
    </row>
    <row r="511" spans="1:14" customFormat="1">
      <c r="A511" s="241"/>
      <c r="B511" s="734" t="s">
        <v>1883</v>
      </c>
      <c r="C511" s="1238" t="s">
        <v>1884</v>
      </c>
      <c r="D511" s="241">
        <v>89473</v>
      </c>
      <c r="E511" s="241">
        <v>93955</v>
      </c>
      <c r="F511" s="247">
        <f>E511-D511</f>
        <v>4482</v>
      </c>
      <c r="G511" s="241">
        <v>133.333</v>
      </c>
      <c r="H511" s="244">
        <f>(F511*G511)</f>
        <v>597598.50599999994</v>
      </c>
      <c r="I511" s="244">
        <v>14361.45550000004</v>
      </c>
      <c r="J511" s="244"/>
      <c r="K511" s="247"/>
      <c r="L511" s="735"/>
      <c r="M511" s="736" t="e">
        <f t="shared" si="39"/>
        <v>#DIV/0!</v>
      </c>
      <c r="N511" s="386"/>
    </row>
    <row r="512" spans="1:14" customFormat="1" ht="18" customHeight="1">
      <c r="A512" s="241">
        <v>91</v>
      </c>
      <c r="B512" s="734" t="s">
        <v>1885</v>
      </c>
      <c r="C512" s="1238">
        <v>9916391</v>
      </c>
      <c r="D512" s="241">
        <v>1051.7</v>
      </c>
      <c r="E512" s="241">
        <v>1051.7</v>
      </c>
      <c r="F512" s="247">
        <f>E512-D512</f>
        <v>0</v>
      </c>
      <c r="G512" s="241">
        <v>40</v>
      </c>
      <c r="H512" s="244">
        <f>(F512*G512)</f>
        <v>0</v>
      </c>
      <c r="I512" s="244">
        <f>H513</f>
        <v>47333.214999999997</v>
      </c>
      <c r="J512" s="244">
        <f>H512+I512</f>
        <v>47333.214999999997</v>
      </c>
      <c r="K512" s="247"/>
      <c r="L512" s="735">
        <v>34533.247000000003</v>
      </c>
      <c r="M512" s="736">
        <f t="shared" si="39"/>
        <v>0</v>
      </c>
      <c r="N512" s="386"/>
    </row>
    <row r="513" spans="1:17" customFormat="1">
      <c r="A513" s="241"/>
      <c r="B513" s="734" t="s">
        <v>1885</v>
      </c>
      <c r="C513" s="1238" t="s">
        <v>1886</v>
      </c>
      <c r="D513" s="241">
        <v>8581.4</v>
      </c>
      <c r="E513" s="241">
        <v>8936.4</v>
      </c>
      <c r="F513" s="247">
        <f>E513-D513</f>
        <v>355</v>
      </c>
      <c r="G513" s="241">
        <v>133.333</v>
      </c>
      <c r="H513" s="244">
        <f>(F513*G513)</f>
        <v>47333.214999999997</v>
      </c>
      <c r="I513" s="244"/>
      <c r="J513" s="244"/>
      <c r="K513" s="809"/>
      <c r="L513" s="735"/>
      <c r="M513" s="736" t="e">
        <f t="shared" si="39"/>
        <v>#DIV/0!</v>
      </c>
      <c r="N513" s="386"/>
      <c r="O513" s="386"/>
      <c r="P513" s="386"/>
      <c r="Q513" s="386"/>
    </row>
    <row r="514" spans="1:17" customFormat="1" ht="25.5" customHeight="1">
      <c r="A514" s="241"/>
      <c r="B514" s="734"/>
      <c r="C514" s="238"/>
      <c r="D514" s="247"/>
      <c r="E514" s="247"/>
      <c r="F514" s="247"/>
      <c r="G514" s="241"/>
      <c r="H514" s="244"/>
      <c r="I514" s="244"/>
      <c r="J514" s="244">
        <f>SUM(J510+J512)</f>
        <v>659293.17649999994</v>
      </c>
      <c r="K514" s="809"/>
      <c r="L514" s="735">
        <v>383719.04069999902</v>
      </c>
      <c r="M514" s="736">
        <f t="shared" si="39"/>
        <v>0</v>
      </c>
      <c r="N514" s="386"/>
      <c r="O514" s="386"/>
      <c r="P514" s="386"/>
      <c r="Q514" s="386"/>
    </row>
    <row r="515" spans="1:17" customFormat="1">
      <c r="A515" s="1239">
        <v>11</v>
      </c>
      <c r="B515" s="732" t="s">
        <v>1887</v>
      </c>
      <c r="C515" s="822"/>
      <c r="D515" s="261"/>
      <c r="E515" s="261"/>
      <c r="F515" s="241"/>
      <c r="G515" s="241"/>
      <c r="H515" s="241"/>
      <c r="I515" s="1238"/>
      <c r="J515" s="244"/>
      <c r="K515" s="743">
        <f>(J508-J514)/J508</f>
        <v>5.4109695570846734E-3</v>
      </c>
      <c r="L515" s="735"/>
      <c r="M515" s="736" t="e">
        <f t="shared" si="39"/>
        <v>#DIV/0!</v>
      </c>
      <c r="N515" s="386"/>
      <c r="O515" s="386"/>
      <c r="P515" s="386"/>
      <c r="Q515" s="386"/>
    </row>
    <row r="516" spans="1:17" customFormat="1">
      <c r="A516" s="241">
        <v>1</v>
      </c>
      <c r="B516" s="734" t="s">
        <v>1888</v>
      </c>
      <c r="C516" s="1238" t="s">
        <v>1889</v>
      </c>
      <c r="D516" s="247">
        <v>163321</v>
      </c>
      <c r="E516" s="247">
        <v>167295</v>
      </c>
      <c r="F516" s="261">
        <f>E516-D516</f>
        <v>3974</v>
      </c>
      <c r="G516" s="241">
        <v>80</v>
      </c>
      <c r="H516" s="241">
        <f>F516*G516</f>
        <v>317920</v>
      </c>
      <c r="I516" s="1238"/>
      <c r="J516" s="244">
        <f>SUM(H516:I516)</f>
        <v>317920</v>
      </c>
      <c r="K516" s="244"/>
      <c r="L516" s="735">
        <v>243040</v>
      </c>
      <c r="M516" s="736">
        <f t="shared" si="39"/>
        <v>0</v>
      </c>
      <c r="N516" s="386"/>
      <c r="O516" s="386"/>
      <c r="P516" s="386"/>
      <c r="Q516" s="386"/>
    </row>
    <row r="517" spans="1:17" customFormat="1">
      <c r="A517" s="241"/>
      <c r="B517" s="734"/>
      <c r="C517" s="1238"/>
      <c r="D517" s="241"/>
      <c r="E517" s="241"/>
      <c r="F517" s="261"/>
      <c r="G517" s="241"/>
      <c r="H517" s="241"/>
      <c r="I517" s="1238"/>
      <c r="J517" s="244">
        <f>SUM(J516:J516)</f>
        <v>317920</v>
      </c>
      <c r="K517" s="241"/>
      <c r="L517" s="735">
        <v>243040</v>
      </c>
      <c r="M517" s="736">
        <f t="shared" si="39"/>
        <v>1.3080974325213957</v>
      </c>
      <c r="N517" s="386"/>
      <c r="O517" s="386"/>
      <c r="P517" s="386"/>
      <c r="Q517" s="386"/>
    </row>
    <row r="518" spans="1:17" customFormat="1">
      <c r="A518" s="241"/>
      <c r="B518" s="733" t="s">
        <v>1767</v>
      </c>
      <c r="C518" s="1238"/>
      <c r="D518" s="331"/>
      <c r="E518" s="331"/>
      <c r="F518" s="241"/>
      <c r="G518" s="241"/>
      <c r="H518" s="241"/>
      <c r="I518" s="1238"/>
      <c r="J518" s="244"/>
      <c r="K518" s="241"/>
      <c r="L518" s="735"/>
      <c r="M518" s="736" t="e">
        <f t="shared" si="39"/>
        <v>#DIV/0!</v>
      </c>
      <c r="N518" s="386"/>
      <c r="O518" s="386"/>
      <c r="P518" s="386"/>
      <c r="Q518" s="386"/>
    </row>
    <row r="519" spans="1:17" customFormat="1">
      <c r="A519" s="241">
        <v>92</v>
      </c>
      <c r="B519" s="734" t="s">
        <v>23</v>
      </c>
      <c r="C519" s="1238" t="s">
        <v>1890</v>
      </c>
      <c r="D519" s="247">
        <v>96008</v>
      </c>
      <c r="E519" s="247">
        <v>101130.5</v>
      </c>
      <c r="F519" s="261">
        <f>E519-D519</f>
        <v>5122.5</v>
      </c>
      <c r="G519" s="241">
        <v>40</v>
      </c>
      <c r="H519" s="241">
        <f>F519*G519</f>
        <v>204900</v>
      </c>
      <c r="I519" s="1238"/>
      <c r="J519" s="244">
        <f>SUM(H519:I519)</f>
        <v>204900</v>
      </c>
      <c r="K519" s="244"/>
      <c r="L519" s="735">
        <v>153180</v>
      </c>
      <c r="M519" s="736">
        <f t="shared" si="39"/>
        <v>0</v>
      </c>
      <c r="N519" s="386"/>
      <c r="O519" s="386"/>
      <c r="P519" s="386"/>
      <c r="Q519" s="386"/>
    </row>
    <row r="520" spans="1:17" customFormat="1">
      <c r="A520" s="241">
        <v>93</v>
      </c>
      <c r="B520" s="734" t="s">
        <v>1891</v>
      </c>
      <c r="C520" s="1238" t="s">
        <v>1892</v>
      </c>
      <c r="D520" s="247">
        <v>31730.5</v>
      </c>
      <c r="E520" s="247">
        <v>32673</v>
      </c>
      <c r="F520" s="261">
        <f>E520-D520</f>
        <v>942.5</v>
      </c>
      <c r="G520" s="241">
        <v>40</v>
      </c>
      <c r="H520" s="241">
        <f>F520*G520</f>
        <v>37700</v>
      </c>
      <c r="I520" s="1238"/>
      <c r="J520" s="244">
        <f>SUM(H520:I520)</f>
        <v>37700</v>
      </c>
      <c r="K520" s="244"/>
      <c r="L520" s="735">
        <v>27520</v>
      </c>
      <c r="M520" s="736">
        <f t="shared" si="39"/>
        <v>7.4454941860465116</v>
      </c>
      <c r="N520" s="386"/>
      <c r="O520" s="386"/>
      <c r="P520" s="386"/>
      <c r="Q520" s="386"/>
    </row>
    <row r="521" spans="1:17" customFormat="1">
      <c r="A521" s="241">
        <v>94</v>
      </c>
      <c r="B521" s="734" t="s">
        <v>1893</v>
      </c>
      <c r="C521" s="1238" t="s">
        <v>1894</v>
      </c>
      <c r="D521" s="247">
        <v>194205</v>
      </c>
      <c r="E521" s="247">
        <v>196020</v>
      </c>
      <c r="F521" s="261">
        <f>E521-D521</f>
        <v>1815</v>
      </c>
      <c r="G521" s="241">
        <v>40</v>
      </c>
      <c r="H521" s="241">
        <f>F521*G521</f>
        <v>72600</v>
      </c>
      <c r="I521" s="1238"/>
      <c r="J521" s="244">
        <f>SUM(H521:I521)</f>
        <v>72600</v>
      </c>
      <c r="K521" s="244"/>
      <c r="L521" s="735">
        <v>62000</v>
      </c>
      <c r="M521" s="736">
        <f t="shared" si="39"/>
        <v>0.60806451612903223</v>
      </c>
      <c r="N521" s="386"/>
      <c r="O521" s="386"/>
      <c r="P521" s="386"/>
      <c r="Q521" s="386">
        <v>286</v>
      </c>
    </row>
    <row r="522" spans="1:17" customFormat="1">
      <c r="A522" s="241"/>
      <c r="B522" s="734"/>
      <c r="C522" s="734"/>
      <c r="D522" s="331"/>
      <c r="E522" s="331"/>
      <c r="F522" s="261"/>
      <c r="G522" s="241"/>
      <c r="H522" s="241"/>
      <c r="I522" s="1238"/>
      <c r="J522" s="244">
        <f>J519+J520+J521</f>
        <v>315200</v>
      </c>
      <c r="K522" s="241"/>
      <c r="L522" s="735">
        <v>242700</v>
      </c>
      <c r="M522" s="736">
        <f t="shared" si="39"/>
        <v>0.29913473423980225</v>
      </c>
      <c r="N522" s="386"/>
      <c r="O522" s="386"/>
      <c r="P522" s="386"/>
      <c r="Q522" s="386">
        <v>241.3</v>
      </c>
    </row>
    <row r="523" spans="1:17" customFormat="1" ht="18" customHeight="1">
      <c r="A523" s="241" t="s">
        <v>1795</v>
      </c>
      <c r="B523" s="238" t="s">
        <v>1895</v>
      </c>
      <c r="C523" s="238" t="str">
        <f>C439</f>
        <v>MPC52681</v>
      </c>
      <c r="D523" s="247">
        <f t="shared" ref="D523:J523" si="40">D417</f>
        <v>1489.1</v>
      </c>
      <c r="E523" s="247">
        <f t="shared" si="40"/>
        <v>1489.1</v>
      </c>
      <c r="F523" s="247">
        <f t="shared" si="40"/>
        <v>0</v>
      </c>
      <c r="G523" s="247">
        <f t="shared" si="40"/>
        <v>13333</v>
      </c>
      <c r="H523" s="247">
        <f t="shared" si="40"/>
        <v>0</v>
      </c>
      <c r="I523" s="247">
        <f t="shared" si="40"/>
        <v>40933</v>
      </c>
      <c r="J523" s="20">
        <f t="shared" si="40"/>
        <v>40933</v>
      </c>
      <c r="K523" s="743">
        <f>(J517-J522)/J517</f>
        <v>8.5556114745848014E-3</v>
      </c>
      <c r="L523" s="735">
        <v>32799.180000000502</v>
      </c>
      <c r="M523" s="736">
        <f t="shared" si="39"/>
        <v>9.6099963474695151</v>
      </c>
      <c r="N523" s="386"/>
      <c r="O523" s="386"/>
      <c r="P523" s="386"/>
      <c r="Q523" s="386">
        <v>147.26</v>
      </c>
    </row>
    <row r="524" spans="1:17" customFormat="1">
      <c r="A524" s="241"/>
      <c r="B524" s="734"/>
      <c r="C524" s="238"/>
      <c r="D524" s="247"/>
      <c r="E524" s="247"/>
      <c r="F524" s="247"/>
      <c r="G524" s="241"/>
      <c r="H524" s="244"/>
      <c r="I524" s="244"/>
      <c r="J524" s="244"/>
      <c r="K524" s="247"/>
      <c r="L524" s="735"/>
      <c r="M524" s="736" t="e">
        <f t="shared" si="39"/>
        <v>#DIV/0!</v>
      </c>
      <c r="N524" s="386"/>
      <c r="O524" s="386"/>
      <c r="P524" s="386"/>
      <c r="Q524" s="386">
        <v>105.1</v>
      </c>
    </row>
    <row r="525" spans="1:17" customFormat="1">
      <c r="A525" s="241"/>
      <c r="B525" s="239" t="s">
        <v>1492</v>
      </c>
      <c r="C525" s="238"/>
      <c r="D525" s="778"/>
      <c r="E525" s="778"/>
      <c r="F525" s="247"/>
      <c r="G525" s="241"/>
      <c r="H525" s="241"/>
      <c r="I525" s="241"/>
      <c r="J525" s="349">
        <f>'SS INPUT'!J262+'SS INPUT'!J273+'SS INPUT'!J285+'SS INPUT'!J296+'SS INPUT'!J305+'SS INPUT'!J322+'SS INPUT'!J332+'SS INPUT'!J350+'SS INPUT'!J365+'SS INPUT'!J379+'SS INPUT'!J391+'SS INPUT'!J401+'SS INPUT'!J415+'SS INPUT'!J424+'SS INPUT'!J432+'SS INPUT'!J440+'SS INPUT'!J451+'SS INPUT'!J462+'SS INPUT'!J469+'SS INPUT'!J478+'SS INPUT'!J487+'SS INPUT'!J498+'SS INPUT'!J508+'SS INPUT'!J517</f>
        <v>52374211.00000006</v>
      </c>
      <c r="K525" s="743"/>
      <c r="L525" s="735">
        <v>37201672.0173999</v>
      </c>
      <c r="M525" s="736">
        <f t="shared" si="39"/>
        <v>0</v>
      </c>
      <c r="N525" s="386"/>
      <c r="O525" s="386"/>
      <c r="P525" s="386"/>
      <c r="Q525" s="386"/>
    </row>
    <row r="526" spans="1:17" customFormat="1">
      <c r="A526" s="241"/>
      <c r="B526" s="239" t="s">
        <v>1493</v>
      </c>
      <c r="C526" s="239"/>
      <c r="D526" s="690"/>
      <c r="E526" s="690"/>
      <c r="F526" s="779"/>
      <c r="G526" s="1239"/>
      <c r="H526" s="1239"/>
      <c r="I526" s="349"/>
      <c r="J526" s="349">
        <f>J268+J279+J293+J302+J313+J329+J338+J360+J373+J387+J397+J407+J421+J429+J437+J446+J459+J466+J475+J483+J492+J503+J514+J522-J417</f>
        <v>55824659.18106623</v>
      </c>
      <c r="K526" s="738"/>
      <c r="L526" s="735">
        <v>36687902.500623003</v>
      </c>
      <c r="M526" s="736">
        <f t="shared" si="39"/>
        <v>1.4275607878948839</v>
      </c>
      <c r="N526" s="386"/>
      <c r="O526" s="386"/>
      <c r="P526" s="386"/>
      <c r="Q526" s="386"/>
    </row>
    <row r="527" spans="1:17" customFormat="1" ht="25.5" customHeight="1">
      <c r="A527" s="241"/>
      <c r="B527" s="239"/>
      <c r="C527" s="239"/>
      <c r="D527" s="690"/>
      <c r="E527" s="690"/>
      <c r="F527" s="779"/>
      <c r="G527" s="1239"/>
      <c r="H527" s="1239"/>
      <c r="I527" s="349"/>
      <c r="J527" s="349"/>
      <c r="K527" s="780">
        <f>(J525-J526)/J525</f>
        <v>-6.5880671330135476E-2</v>
      </c>
      <c r="L527" s="735"/>
      <c r="M527" s="736" t="e">
        <f t="shared" si="39"/>
        <v>#DIV/0!</v>
      </c>
      <c r="N527" s="386"/>
      <c r="O527" s="386"/>
      <c r="P527" s="386"/>
      <c r="Q527" s="386"/>
    </row>
    <row r="528" spans="1:17" customFormat="1" ht="18">
      <c r="A528" s="823" t="s">
        <v>1896</v>
      </c>
      <c r="B528" s="824"/>
      <c r="C528" s="824"/>
      <c r="D528" s="824"/>
      <c r="E528" s="824"/>
      <c r="F528" s="824"/>
      <c r="G528" s="824"/>
      <c r="H528" s="824"/>
      <c r="I528" s="824"/>
      <c r="J528" s="824"/>
      <c r="K528" s="780"/>
      <c r="L528" s="735"/>
      <c r="M528" s="736" t="e">
        <f t="shared" si="39"/>
        <v>#DIV/0!</v>
      </c>
      <c r="N528" s="386"/>
      <c r="O528" s="386"/>
      <c r="P528" s="386"/>
      <c r="Q528" s="386"/>
    </row>
    <row r="529" spans="1:13" customFormat="1" ht="18">
      <c r="A529" s="161"/>
      <c r="B529" s="1056" t="s">
        <v>1350</v>
      </c>
      <c r="C529" s="1057"/>
      <c r="D529" s="1058"/>
      <c r="E529" s="1054" t="str">
        <f>D2</f>
        <v>OCT.2024</v>
      </c>
      <c r="F529" s="1184"/>
      <c r="G529" s="1183"/>
      <c r="H529" s="241"/>
      <c r="I529" s="241"/>
      <c r="J529" s="241" t="s">
        <v>1546</v>
      </c>
      <c r="K529" s="825"/>
      <c r="L529" s="735" t="s">
        <v>1546</v>
      </c>
      <c r="M529" s="736" t="e">
        <f t="shared" si="39"/>
        <v>#VALUE!</v>
      </c>
    </row>
    <row r="530" spans="1:13" customFormat="1" ht="25.5">
      <c r="A530" s="1238" t="s">
        <v>345</v>
      </c>
      <c r="B530" s="1240" t="s">
        <v>898</v>
      </c>
      <c r="C530" s="782" t="s">
        <v>1351</v>
      </c>
      <c r="D530" s="1237"/>
      <c r="E530" s="1237"/>
      <c r="F530" s="1237" t="s">
        <v>1353</v>
      </c>
      <c r="G530" s="1238" t="s">
        <v>135</v>
      </c>
      <c r="H530" s="1238" t="s">
        <v>13</v>
      </c>
      <c r="I530" s="826" t="s">
        <v>1897</v>
      </c>
      <c r="J530" s="1237" t="s">
        <v>1495</v>
      </c>
      <c r="K530" s="241"/>
      <c r="L530" s="735" t="s">
        <v>1495</v>
      </c>
      <c r="M530" s="736" t="e">
        <f t="shared" si="39"/>
        <v>#VALUE!</v>
      </c>
    </row>
    <row r="531" spans="1:13" customFormat="1">
      <c r="A531" s="241"/>
      <c r="B531" s="238"/>
      <c r="C531" s="238"/>
      <c r="D531" s="331">
        <f>D255</f>
        <v>45535</v>
      </c>
      <c r="E531" s="331">
        <f>E255</f>
        <v>45565</v>
      </c>
      <c r="F531" s="241"/>
      <c r="G531" s="241"/>
      <c r="H531" s="241"/>
      <c r="I531" s="1238"/>
      <c r="J531" s="731"/>
      <c r="K531" s="241" t="s">
        <v>1592</v>
      </c>
      <c r="L531" s="386"/>
      <c r="M531" s="736" t="e">
        <f t="shared" si="39"/>
        <v>#VALUE!</v>
      </c>
    </row>
    <row r="532" spans="1:13" customFormat="1">
      <c r="A532" s="1239">
        <v>1</v>
      </c>
      <c r="B532" s="741" t="s">
        <v>1898</v>
      </c>
      <c r="C532" s="238"/>
      <c r="D532" s="241"/>
      <c r="E532" s="241"/>
      <c r="F532" s="241"/>
      <c r="G532" s="241"/>
      <c r="H532" s="241"/>
      <c r="I532" s="1238"/>
      <c r="J532" s="241"/>
      <c r="K532" s="241"/>
      <c r="L532" s="386"/>
      <c r="M532" s="736" t="e">
        <f t="shared" si="39"/>
        <v>#DIV/0!</v>
      </c>
    </row>
    <row r="533" spans="1:13" customFormat="1">
      <c r="A533" s="241">
        <v>1</v>
      </c>
      <c r="B533" s="238" t="s">
        <v>1899</v>
      </c>
      <c r="C533" s="238" t="s">
        <v>1900</v>
      </c>
      <c r="D533" s="247">
        <v>2774.14</v>
      </c>
      <c r="E533" s="247">
        <v>2774.14</v>
      </c>
      <c r="F533" s="241">
        <f>E533-D533</f>
        <v>0</v>
      </c>
      <c r="G533" s="241">
        <v>80000</v>
      </c>
      <c r="H533" s="241">
        <f>F533*G533</f>
        <v>0</v>
      </c>
      <c r="I533" s="1238"/>
      <c r="J533" s="244">
        <f>SUM(H533:I533)</f>
        <v>0</v>
      </c>
      <c r="K533" s="241"/>
      <c r="L533" s="386">
        <v>44000.000000014603</v>
      </c>
      <c r="M533" s="736">
        <f t="shared" si="39"/>
        <v>0</v>
      </c>
    </row>
    <row r="534" spans="1:13" customFormat="1">
      <c r="A534" s="241">
        <v>2</v>
      </c>
      <c r="B534" s="748" t="s">
        <v>1407</v>
      </c>
      <c r="C534" s="238" t="s">
        <v>1901</v>
      </c>
      <c r="D534" s="261">
        <v>72375.100000000006</v>
      </c>
      <c r="E534" s="261">
        <v>72414.100000000006</v>
      </c>
      <c r="F534" s="241">
        <f>E534-D534</f>
        <v>39</v>
      </c>
      <c r="G534" s="241">
        <v>4000</v>
      </c>
      <c r="H534" s="241">
        <f>F534*G534</f>
        <v>156000</v>
      </c>
      <c r="I534" s="1238"/>
      <c r="J534" s="244">
        <f>SUM(H534:I534)</f>
        <v>156000</v>
      </c>
      <c r="K534" s="241"/>
      <c r="L534" s="386">
        <v>280799.99999998801</v>
      </c>
      <c r="M534" s="736">
        <f t="shared" si="39"/>
        <v>0</v>
      </c>
    </row>
    <row r="535" spans="1:13" customFormat="1">
      <c r="A535" s="241">
        <v>3</v>
      </c>
      <c r="B535" s="827" t="s">
        <v>1902</v>
      </c>
      <c r="C535" s="238"/>
      <c r="D535" s="247"/>
      <c r="E535" s="247"/>
      <c r="F535" s="241">
        <f>E535-D535</f>
        <v>0</v>
      </c>
      <c r="G535" s="241"/>
      <c r="H535" s="241"/>
      <c r="I535" s="1238">
        <v>680000</v>
      </c>
      <c r="J535" s="244">
        <f>SUM(H535:I535)</f>
        <v>680000</v>
      </c>
      <c r="K535" s="244"/>
      <c r="L535" s="386">
        <v>1120000</v>
      </c>
      <c r="M535" s="736">
        <f t="shared" si="39"/>
        <v>0.13928571428571429</v>
      </c>
    </row>
    <row r="536" spans="1:13" customFormat="1">
      <c r="A536" s="241"/>
      <c r="B536" s="827" t="s">
        <v>1903</v>
      </c>
      <c r="C536" s="238" t="s">
        <v>1900</v>
      </c>
      <c r="D536" s="247">
        <v>549.55999999999995</v>
      </c>
      <c r="E536" s="247">
        <v>586.24</v>
      </c>
      <c r="F536" s="241">
        <f>E536-D536</f>
        <v>36.680000000000064</v>
      </c>
      <c r="G536" s="241">
        <v>80000</v>
      </c>
      <c r="H536" s="241">
        <f>F536*G536</f>
        <v>2934400.0000000051</v>
      </c>
      <c r="I536" s="1238"/>
      <c r="J536" s="244">
        <f>SUM(H536:I536)</f>
        <v>2934400.0000000051</v>
      </c>
      <c r="K536" s="241"/>
      <c r="L536" s="386">
        <v>839199.99999999604</v>
      </c>
      <c r="M536" s="736">
        <f t="shared" si="39"/>
        <v>0.81029551954242518</v>
      </c>
    </row>
    <row r="537" spans="1:13" customFormat="1">
      <c r="A537" s="241"/>
      <c r="B537" s="748" t="s">
        <v>1407</v>
      </c>
      <c r="C537" s="238" t="s">
        <v>1901</v>
      </c>
      <c r="D537" s="261">
        <v>4849.6000000000004</v>
      </c>
      <c r="E537" s="261">
        <v>5309.9</v>
      </c>
      <c r="F537" s="241">
        <f>E537-D537</f>
        <v>460.29999999999927</v>
      </c>
      <c r="G537" s="241">
        <v>4000</v>
      </c>
      <c r="H537" s="241">
        <f>F537*G537</f>
        <v>1841199.9999999972</v>
      </c>
      <c r="I537" s="1238"/>
      <c r="J537" s="244">
        <f>SUM(H537:I537)</f>
        <v>1841199.9999999972</v>
      </c>
      <c r="K537" s="241"/>
      <c r="L537" s="735">
        <v>480799.99999999901</v>
      </c>
      <c r="M537" s="736">
        <f t="shared" si="39"/>
        <v>6.1031613976705721</v>
      </c>
    </row>
    <row r="538" spans="1:13" customFormat="1">
      <c r="A538" s="241"/>
      <c r="B538" s="238" t="s">
        <v>1363</v>
      </c>
      <c r="C538" s="238"/>
      <c r="D538" s="261"/>
      <c r="E538" s="261"/>
      <c r="F538" s="241"/>
      <c r="G538" s="241"/>
      <c r="H538" s="241"/>
      <c r="I538" s="1238"/>
      <c r="J538" s="244">
        <f>(J536+J534+J535)</f>
        <v>3770400.0000000051</v>
      </c>
      <c r="K538" s="241"/>
      <c r="L538" s="735">
        <v>2440000</v>
      </c>
      <c r="M538" s="736">
        <f t="shared" si="39"/>
        <v>0.75459016393442513</v>
      </c>
    </row>
    <row r="539" spans="1:13" customFormat="1">
      <c r="A539" s="241"/>
      <c r="B539" s="733" t="s">
        <v>1767</v>
      </c>
      <c r="C539" s="238"/>
      <c r="D539" s="261"/>
      <c r="E539" s="261"/>
      <c r="F539" s="261"/>
      <c r="G539" s="241"/>
      <c r="H539" s="241"/>
      <c r="I539" s="1238"/>
      <c r="J539" s="244"/>
      <c r="K539" s="241"/>
      <c r="L539" s="735"/>
      <c r="M539" s="736" t="e">
        <f t="shared" si="39"/>
        <v>#DIV/0!</v>
      </c>
    </row>
    <row r="540" spans="1:13" customFormat="1">
      <c r="A540" s="241">
        <v>1</v>
      </c>
      <c r="B540" s="238" t="s">
        <v>1221</v>
      </c>
      <c r="C540" s="238" t="s">
        <v>1904</v>
      </c>
      <c r="D540" s="247">
        <v>10389.219999999999</v>
      </c>
      <c r="E540" s="247">
        <v>10572.93</v>
      </c>
      <c r="F540" s="241">
        <f>E540-D540</f>
        <v>183.71000000000095</v>
      </c>
      <c r="G540" s="241">
        <v>6000</v>
      </c>
      <c r="H540" s="244">
        <f>F540*G540</f>
        <v>1102260.0000000056</v>
      </c>
      <c r="I540" s="1238"/>
      <c r="J540" s="244">
        <f>SUM(H540:I540)</f>
        <v>1102260.0000000056</v>
      </c>
      <c r="K540" s="241"/>
      <c r="L540" s="735">
        <v>748980</v>
      </c>
      <c r="M540" s="736">
        <f t="shared" si="39"/>
        <v>0</v>
      </c>
    </row>
    <row r="541" spans="1:13" customFormat="1">
      <c r="A541" s="241">
        <v>2</v>
      </c>
      <c r="B541" s="748" t="s">
        <v>1215</v>
      </c>
      <c r="C541" s="238" t="s">
        <v>1905</v>
      </c>
      <c r="D541" s="261">
        <v>1238849</v>
      </c>
      <c r="E541" s="261">
        <v>1260909.5</v>
      </c>
      <c r="F541" s="241">
        <f>E541-D541</f>
        <v>22060.5</v>
      </c>
      <c r="G541" s="241">
        <v>60</v>
      </c>
      <c r="H541" s="241">
        <f>F541*G541</f>
        <v>1323630</v>
      </c>
      <c r="I541" s="1238"/>
      <c r="J541" s="244">
        <f>SUM(H541:I541)</f>
        <v>1323630</v>
      </c>
      <c r="K541" s="244"/>
      <c r="L541" s="735">
        <v>836010</v>
      </c>
      <c r="M541" s="736">
        <f t="shared" si="39"/>
        <v>1.3184770517099145</v>
      </c>
    </row>
    <row r="542" spans="1:13" customFormat="1">
      <c r="A542" s="241">
        <v>3</v>
      </c>
      <c r="B542" s="748" t="s">
        <v>1906</v>
      </c>
      <c r="C542" s="238" t="s">
        <v>1907</v>
      </c>
      <c r="D542" s="261">
        <v>73229.600000000006</v>
      </c>
      <c r="E542" s="261">
        <v>73409</v>
      </c>
      <c r="F542" s="241">
        <f>E542-D542</f>
        <v>179.39999999999418</v>
      </c>
      <c r="G542" s="241">
        <v>2000</v>
      </c>
      <c r="H542" s="241">
        <f>F542*G542</f>
        <v>358799.99999998836</v>
      </c>
      <c r="I542" s="1238"/>
      <c r="J542" s="244">
        <f>SUM(H542:I542)</f>
        <v>358799.99999998836</v>
      </c>
      <c r="K542" s="244"/>
      <c r="L542" s="386">
        <v>476399.999999994</v>
      </c>
      <c r="M542" s="736">
        <f t="shared" si="39"/>
        <v>2.7784005037783723</v>
      </c>
    </row>
    <row r="543" spans="1:13" customFormat="1">
      <c r="A543" s="241">
        <v>5</v>
      </c>
      <c r="B543" s="238" t="s">
        <v>1908</v>
      </c>
      <c r="C543" s="238" t="s">
        <v>1909</v>
      </c>
      <c r="D543" s="247">
        <v>1257.93</v>
      </c>
      <c r="E543" s="247">
        <v>1280.23</v>
      </c>
      <c r="F543" s="261">
        <f>E543-D543</f>
        <v>22.299999999999955</v>
      </c>
      <c r="G543" s="241">
        <v>6000</v>
      </c>
      <c r="H543" s="241">
        <f>F543*G543</f>
        <v>133799.99999999974</v>
      </c>
      <c r="I543" s="1238"/>
      <c r="J543" s="244">
        <f>SUM(H543:I543)</f>
        <v>133799.99999999974</v>
      </c>
      <c r="K543" s="743"/>
      <c r="L543" s="735">
        <v>103680</v>
      </c>
      <c r="M543" s="736">
        <f t="shared" si="39"/>
        <v>3.460648148148036</v>
      </c>
    </row>
    <row r="544" spans="1:13" customFormat="1">
      <c r="A544" s="241">
        <v>6</v>
      </c>
      <c r="B544" s="238" t="s">
        <v>1225</v>
      </c>
      <c r="C544" s="238" t="s">
        <v>1910</v>
      </c>
      <c r="D544" s="261">
        <v>506826</v>
      </c>
      <c r="E544" s="261">
        <v>519877</v>
      </c>
      <c r="F544" s="261">
        <f>E544-D544</f>
        <v>13051</v>
      </c>
      <c r="G544" s="241">
        <v>60</v>
      </c>
      <c r="H544" s="241">
        <f>F544*G544</f>
        <v>783060</v>
      </c>
      <c r="I544" s="20"/>
      <c r="J544" s="244">
        <f>SUM(H544:I544)</f>
        <v>783060</v>
      </c>
      <c r="K544" s="743"/>
      <c r="L544" s="735">
        <v>230279.29730000001</v>
      </c>
      <c r="M544" s="736">
        <f t="shared" si="39"/>
        <v>0.58103356041463716</v>
      </c>
    </row>
    <row r="545" spans="1:14" customFormat="1">
      <c r="A545" s="241"/>
      <c r="B545" s="755"/>
      <c r="C545" s="238"/>
      <c r="D545" s="261"/>
      <c r="E545" s="261"/>
      <c r="F545" s="261"/>
      <c r="G545" s="241"/>
      <c r="H545" s="241"/>
      <c r="I545" s="244"/>
      <c r="J545" s="244">
        <f>SUM(J540:J544)</f>
        <v>3701549.9999999935</v>
      </c>
      <c r="K545" s="244"/>
      <c r="L545" s="735">
        <v>2395349.29729999</v>
      </c>
      <c r="M545" s="736">
        <f t="shared" si="39"/>
        <v>0.32690848089781988</v>
      </c>
      <c r="N545" s="386"/>
    </row>
    <row r="546" spans="1:14" customFormat="1">
      <c r="A546" s="1239">
        <v>2</v>
      </c>
      <c r="B546" s="828" t="s">
        <v>1911</v>
      </c>
      <c r="C546" s="829"/>
      <c r="D546" s="261"/>
      <c r="E546" s="261"/>
      <c r="F546" s="261"/>
      <c r="G546" s="241"/>
      <c r="H546" s="241"/>
      <c r="I546" s="1238"/>
      <c r="J546" s="244"/>
      <c r="K546" s="743">
        <f>(J538-J545)/J538</f>
        <v>1.8260661998729989E-2</v>
      </c>
      <c r="L546" s="735"/>
      <c r="M546" s="736" t="e">
        <f t="shared" si="39"/>
        <v>#DIV/0!</v>
      </c>
      <c r="N546" s="386"/>
    </row>
    <row r="547" spans="1:14" customFormat="1">
      <c r="A547" s="241">
        <v>1</v>
      </c>
      <c r="B547" s="748" t="s">
        <v>1912</v>
      </c>
      <c r="C547" s="238" t="s">
        <v>1913</v>
      </c>
      <c r="D547" s="261">
        <v>456256.8</v>
      </c>
      <c r="E547" s="261">
        <v>456256.8</v>
      </c>
      <c r="F547" s="261">
        <f>(E547-D547)</f>
        <v>0</v>
      </c>
      <c r="G547" s="241">
        <v>2000</v>
      </c>
      <c r="H547" s="241">
        <f>F547*G547</f>
        <v>0</v>
      </c>
      <c r="I547" s="1238">
        <v>1706000</v>
      </c>
      <c r="J547" s="244">
        <f>SUM(H547:I547)</f>
        <v>1706000</v>
      </c>
      <c r="K547" s="241"/>
      <c r="L547" s="735">
        <v>1306000</v>
      </c>
      <c r="M547" s="736">
        <f>J547/L547</f>
        <v>1.3062787136294027</v>
      </c>
      <c r="N547" s="386"/>
    </row>
    <row r="548" spans="1:14" customFormat="1">
      <c r="A548" s="241">
        <v>2</v>
      </c>
      <c r="B548" s="734" t="s">
        <v>1914</v>
      </c>
      <c r="C548" s="238" t="s">
        <v>1915</v>
      </c>
      <c r="D548" s="261">
        <v>303041.5</v>
      </c>
      <c r="E548" s="261">
        <v>305694.40000000002</v>
      </c>
      <c r="F548" s="261">
        <f>(E548-D548)</f>
        <v>2652.9000000000233</v>
      </c>
      <c r="G548" s="241">
        <v>2000</v>
      </c>
      <c r="H548" s="241">
        <f>F548*G548</f>
        <v>5305800.0000000466</v>
      </c>
      <c r="I548" s="1238"/>
      <c r="J548" s="244">
        <f>SUM(H548:I548)</f>
        <v>5305800.0000000466</v>
      </c>
      <c r="K548" s="241"/>
      <c r="L548" s="735">
        <v>6096800.0000000466</v>
      </c>
      <c r="M548" s="736">
        <f t="shared" ref="M548:M611" si="41">J548/L548</f>
        <v>0.87025980842409234</v>
      </c>
      <c r="N548" s="386"/>
    </row>
    <row r="549" spans="1:14" customFormat="1">
      <c r="A549" s="241">
        <v>2</v>
      </c>
      <c r="B549" s="734" t="s">
        <v>1914</v>
      </c>
      <c r="C549" s="238" t="s">
        <v>1915</v>
      </c>
      <c r="D549" s="261">
        <v>129</v>
      </c>
      <c r="E549" s="261">
        <v>129</v>
      </c>
      <c r="F549" s="261">
        <f>(E549-D549)</f>
        <v>0</v>
      </c>
      <c r="G549" s="241">
        <v>2000</v>
      </c>
      <c r="H549" s="241">
        <f>F549*G549</f>
        <v>0</v>
      </c>
      <c r="I549" s="1238"/>
      <c r="J549" s="244">
        <f>SUM(H549:I549)</f>
        <v>0</v>
      </c>
      <c r="K549" s="244"/>
      <c r="L549" s="735">
        <v>0</v>
      </c>
      <c r="M549" s="736" t="e">
        <f t="shared" si="41"/>
        <v>#DIV/0!</v>
      </c>
      <c r="N549" s="386"/>
    </row>
    <row r="550" spans="1:14" customFormat="1">
      <c r="A550" s="241">
        <v>3</v>
      </c>
      <c r="B550" s="734" t="s">
        <v>1916</v>
      </c>
      <c r="C550" s="238">
        <v>3300084</v>
      </c>
      <c r="D550" s="261">
        <v>139538.4</v>
      </c>
      <c r="E550" s="261">
        <v>139538.4</v>
      </c>
      <c r="F550" s="261">
        <f>(E550-D550)</f>
        <v>0</v>
      </c>
      <c r="G550" s="241">
        <v>80</v>
      </c>
      <c r="H550" s="241">
        <f>F550*G550</f>
        <v>0</v>
      </c>
      <c r="I550" s="1238"/>
      <c r="J550" s="244">
        <f>SUM(H550:I550)</f>
        <v>0</v>
      </c>
      <c r="K550" s="244"/>
      <c r="L550" s="735">
        <v>0</v>
      </c>
      <c r="M550" s="736" t="e">
        <f t="shared" si="41"/>
        <v>#DIV/0!</v>
      </c>
      <c r="N550" s="386"/>
    </row>
    <row r="551" spans="1:14" customFormat="1">
      <c r="A551" s="241">
        <v>4</v>
      </c>
      <c r="B551" s="734" t="s">
        <v>1917</v>
      </c>
      <c r="C551" s="238">
        <v>3300084</v>
      </c>
      <c r="D551" s="261"/>
      <c r="E551" s="261"/>
      <c r="F551" s="261"/>
      <c r="G551" s="241"/>
      <c r="H551" s="241"/>
      <c r="I551" s="1238"/>
      <c r="J551" s="244">
        <f>J550</f>
        <v>0</v>
      </c>
      <c r="K551" s="244" t="s">
        <v>15</v>
      </c>
      <c r="L551" s="735">
        <v>0</v>
      </c>
      <c r="M551" s="736" t="e">
        <f t="shared" si="41"/>
        <v>#DIV/0!</v>
      </c>
      <c r="N551" s="386"/>
    </row>
    <row r="552" spans="1:14" customFormat="1">
      <c r="A552" s="241"/>
      <c r="B552" s="238"/>
      <c r="C552" s="238"/>
      <c r="D552" s="261"/>
      <c r="E552" s="261"/>
      <c r="F552" s="241"/>
      <c r="G552" s="241"/>
      <c r="H552" s="241"/>
      <c r="I552" s="1238"/>
      <c r="J552" s="244">
        <f>SUM(J547+J548+J550-J551)</f>
        <v>7011800.0000000466</v>
      </c>
      <c r="K552" s="244"/>
      <c r="L552" s="735">
        <v>7402800.0000000466</v>
      </c>
      <c r="M552" s="736">
        <f t="shared" si="41"/>
        <v>0.94718214729561823</v>
      </c>
      <c r="N552" s="386"/>
    </row>
    <row r="553" spans="1:14" customFormat="1">
      <c r="A553" s="241"/>
      <c r="B553" s="238" t="s">
        <v>1522</v>
      </c>
      <c r="C553" s="238"/>
      <c r="D553" s="261"/>
      <c r="E553" s="261"/>
      <c r="F553" s="241"/>
      <c r="G553" s="241"/>
      <c r="H553" s="241"/>
      <c r="I553" s="1238"/>
      <c r="J553" s="244"/>
      <c r="K553" s="241"/>
      <c r="L553" s="735"/>
      <c r="M553" s="736" t="e">
        <f t="shared" si="41"/>
        <v>#DIV/0!</v>
      </c>
      <c r="N553" s="386"/>
    </row>
    <row r="554" spans="1:14" customFormat="1">
      <c r="A554" s="241">
        <v>7</v>
      </c>
      <c r="B554" s="748" t="s">
        <v>1918</v>
      </c>
      <c r="C554" s="238" t="s">
        <v>1919</v>
      </c>
      <c r="D554" s="261">
        <v>126033.8</v>
      </c>
      <c r="E554" s="261">
        <v>126398.7</v>
      </c>
      <c r="F554" s="261">
        <f t="shared" ref="F554:F560" si="42">(E554-D554)</f>
        <v>364.89999999999418</v>
      </c>
      <c r="G554" s="241">
        <v>2000</v>
      </c>
      <c r="H554" s="241">
        <f t="shared" ref="H554:H560" si="43">F554*G554</f>
        <v>729799.99999998836</v>
      </c>
      <c r="I554" s="1238"/>
      <c r="J554" s="244">
        <f t="shared" ref="J554:J561" si="44">SUM(H554:I554)</f>
        <v>729799.99999998836</v>
      </c>
      <c r="K554" s="241"/>
      <c r="L554" s="735">
        <v>810200.00000001164</v>
      </c>
      <c r="M554" s="736">
        <f t="shared" si="41"/>
        <v>0.90076524314981221</v>
      </c>
      <c r="N554" s="386"/>
    </row>
    <row r="555" spans="1:14" customFormat="1">
      <c r="A555" s="241">
        <v>8</v>
      </c>
      <c r="B555" s="748" t="s">
        <v>1920</v>
      </c>
      <c r="C555" s="238" t="s">
        <v>1921</v>
      </c>
      <c r="D555" s="261">
        <v>138098.20000000001</v>
      </c>
      <c r="E555" s="261">
        <v>138847.6</v>
      </c>
      <c r="F555" s="241">
        <f t="shared" si="42"/>
        <v>749.39999999999418</v>
      </c>
      <c r="G555" s="241">
        <v>2000</v>
      </c>
      <c r="H555" s="241">
        <f t="shared" si="43"/>
        <v>1498799.9999999884</v>
      </c>
      <c r="I555" s="1238"/>
      <c r="J555" s="244">
        <f t="shared" si="44"/>
        <v>1498799.9999999884</v>
      </c>
      <c r="K555" s="244"/>
      <c r="L555" s="735">
        <v>1670400.0000000233</v>
      </c>
      <c r="M555" s="736">
        <f t="shared" si="41"/>
        <v>0.8972701149425093</v>
      </c>
      <c r="N555" s="386"/>
    </row>
    <row r="556" spans="1:14" customFormat="1">
      <c r="A556" s="241">
        <v>9</v>
      </c>
      <c r="B556" s="748" t="s">
        <v>1922</v>
      </c>
      <c r="C556" s="238" t="s">
        <v>1923</v>
      </c>
      <c r="D556" s="261">
        <v>3121.8</v>
      </c>
      <c r="E556" s="261">
        <v>3121.8</v>
      </c>
      <c r="F556" s="241">
        <f t="shared" si="42"/>
        <v>0</v>
      </c>
      <c r="G556" s="241">
        <v>2000</v>
      </c>
      <c r="H556" s="241">
        <f t="shared" si="43"/>
        <v>0</v>
      </c>
      <c r="I556" s="1238"/>
      <c r="J556" s="244">
        <f t="shared" si="44"/>
        <v>0</v>
      </c>
      <c r="K556" s="244"/>
      <c r="L556" s="735">
        <v>0</v>
      </c>
      <c r="M556" s="736" t="e">
        <f t="shared" si="41"/>
        <v>#DIV/0!</v>
      </c>
      <c r="N556" s="386"/>
    </row>
    <row r="557" spans="1:14" customFormat="1">
      <c r="A557" s="241">
        <v>9</v>
      </c>
      <c r="B557" s="748" t="s">
        <v>1924</v>
      </c>
      <c r="C557" s="238" t="s">
        <v>1923</v>
      </c>
      <c r="D557" s="261">
        <v>30849.4</v>
      </c>
      <c r="E557" s="261">
        <v>31524.9</v>
      </c>
      <c r="F557" s="241">
        <f t="shared" si="42"/>
        <v>675.5</v>
      </c>
      <c r="G557" s="241">
        <v>2000</v>
      </c>
      <c r="H557" s="241">
        <f t="shared" si="43"/>
        <v>1351000</v>
      </c>
      <c r="I557" s="1238"/>
      <c r="J557" s="244">
        <f t="shared" si="44"/>
        <v>1351000</v>
      </c>
      <c r="K557" s="743"/>
      <c r="L557" s="735">
        <v>1459600.0000000058</v>
      </c>
      <c r="M557" s="736">
        <f t="shared" si="41"/>
        <v>0.92559605371334241</v>
      </c>
      <c r="N557" s="386">
        <f>L564*0.98</f>
        <v>1052128.0000000391</v>
      </c>
    </row>
    <row r="558" spans="1:14" customFormat="1">
      <c r="A558" s="241">
        <v>10</v>
      </c>
      <c r="B558" s="238" t="s">
        <v>1925</v>
      </c>
      <c r="C558" s="238" t="s">
        <v>1926</v>
      </c>
      <c r="D558" s="247">
        <v>2944.74</v>
      </c>
      <c r="E558" s="247">
        <v>3037.48</v>
      </c>
      <c r="F558" s="241">
        <f t="shared" si="42"/>
        <v>92.740000000000236</v>
      </c>
      <c r="G558" s="241">
        <v>6000</v>
      </c>
      <c r="H558" s="241">
        <f t="shared" si="43"/>
        <v>556440.0000000014</v>
      </c>
      <c r="I558" s="20"/>
      <c r="J558" s="244">
        <f t="shared" si="44"/>
        <v>556440.0000000014</v>
      </c>
      <c r="K558" s="743"/>
      <c r="L558" s="735">
        <v>614639.99999999756</v>
      </c>
      <c r="M558" s="736">
        <f t="shared" si="41"/>
        <v>0.90531042561499997</v>
      </c>
      <c r="N558" s="386"/>
    </row>
    <row r="559" spans="1:14" customFormat="1">
      <c r="A559" s="241">
        <v>11</v>
      </c>
      <c r="B559" s="830" t="s">
        <v>1927</v>
      </c>
      <c r="C559" s="238" t="s">
        <v>1928</v>
      </c>
      <c r="D559" s="261">
        <v>389579</v>
      </c>
      <c r="E559" s="261">
        <v>407558.5</v>
      </c>
      <c r="F559" s="241">
        <f t="shared" si="42"/>
        <v>17979.5</v>
      </c>
      <c r="G559" s="241">
        <v>60</v>
      </c>
      <c r="H559" s="244">
        <f t="shared" si="43"/>
        <v>1078770</v>
      </c>
      <c r="I559" s="20">
        <v>80000</v>
      </c>
      <c r="J559" s="244">
        <f t="shared" si="44"/>
        <v>1158770</v>
      </c>
      <c r="K559" s="241"/>
      <c r="L559" s="735">
        <v>1208550</v>
      </c>
      <c r="M559" s="736">
        <f t="shared" si="41"/>
        <v>0.95881014438790291</v>
      </c>
      <c r="N559" s="386">
        <f>L565*0.98</f>
        <v>0</v>
      </c>
    </row>
    <row r="560" spans="1:14" customFormat="1">
      <c r="A560" s="241">
        <v>12</v>
      </c>
      <c r="B560" s="238" t="s">
        <v>1929</v>
      </c>
      <c r="C560" s="238" t="s">
        <v>1930</v>
      </c>
      <c r="D560" s="261">
        <v>131605.70000000001</v>
      </c>
      <c r="E560" s="261">
        <v>132457.70000000001</v>
      </c>
      <c r="F560" s="261">
        <f t="shared" si="42"/>
        <v>852</v>
      </c>
      <c r="G560" s="241">
        <v>200</v>
      </c>
      <c r="H560" s="241">
        <f t="shared" si="43"/>
        <v>170400</v>
      </c>
      <c r="I560" s="20">
        <v>750000</v>
      </c>
      <c r="J560" s="244">
        <f t="shared" si="44"/>
        <v>920400</v>
      </c>
      <c r="K560" s="750"/>
      <c r="L560" s="735">
        <v>951420.00000000116</v>
      </c>
      <c r="M560" s="736">
        <f t="shared" si="41"/>
        <v>0.96739610266759046</v>
      </c>
      <c r="N560" s="386">
        <f>L566*0.98</f>
        <v>1052128.0000000391</v>
      </c>
    </row>
    <row r="561" spans="1:13" customFormat="1">
      <c r="A561" s="241">
        <v>13</v>
      </c>
      <c r="B561" s="238" t="s">
        <v>1931</v>
      </c>
      <c r="C561" s="238"/>
      <c r="D561" s="261"/>
      <c r="E561" s="261"/>
      <c r="F561" s="261"/>
      <c r="G561" s="241"/>
      <c r="H561" s="244">
        <v>678880.00560000003</v>
      </c>
      <c r="I561" s="20"/>
      <c r="J561" s="244">
        <f t="shared" si="44"/>
        <v>678880.00560000003</v>
      </c>
      <c r="K561" s="831"/>
      <c r="L561" s="735">
        <v>678880.00560000003</v>
      </c>
      <c r="M561" s="736">
        <f t="shared" si="41"/>
        <v>1</v>
      </c>
    </row>
    <row r="562" spans="1:13" customFormat="1">
      <c r="A562" s="241"/>
      <c r="B562" s="238"/>
      <c r="C562" s="238"/>
      <c r="D562" s="261"/>
      <c r="E562" s="261"/>
      <c r="F562" s="241"/>
      <c r="G562" s="241"/>
      <c r="H562" s="244"/>
      <c r="I562" s="1238"/>
      <c r="J562" s="244">
        <f>SUM(J554:J561)</f>
        <v>6894090.0055999774</v>
      </c>
      <c r="K562" s="831"/>
      <c r="L562" s="735">
        <v>7393690.0056000389</v>
      </c>
      <c r="M562" s="736">
        <f t="shared" si="41"/>
        <v>0.93242886845111705</v>
      </c>
    </row>
    <row r="563" spans="1:13" customFormat="1">
      <c r="A563" s="1239">
        <v>3</v>
      </c>
      <c r="B563" s="741" t="s">
        <v>1932</v>
      </c>
      <c r="C563" s="238"/>
      <c r="D563" s="261"/>
      <c r="E563" s="261"/>
      <c r="F563" s="241"/>
      <c r="G563" s="241"/>
      <c r="H563" s="241"/>
      <c r="I563" s="1238"/>
      <c r="J563" s="244"/>
      <c r="K563" s="743">
        <f>(J552-J562)/J552</f>
        <v>1.6787414700942461E-2</v>
      </c>
      <c r="L563" s="735"/>
      <c r="M563" s="736" t="e">
        <f t="shared" si="41"/>
        <v>#DIV/0!</v>
      </c>
    </row>
    <row r="564" spans="1:13" customFormat="1">
      <c r="A564" s="241">
        <v>1</v>
      </c>
      <c r="B564" s="238" t="s">
        <v>1914</v>
      </c>
      <c r="C564" s="238" t="s">
        <v>1933</v>
      </c>
      <c r="D564" s="261">
        <v>158520.9</v>
      </c>
      <c r="E564" s="261">
        <v>159215</v>
      </c>
      <c r="F564" s="261">
        <f>E564-D564</f>
        <v>694.10000000000582</v>
      </c>
      <c r="G564" s="241">
        <v>2000</v>
      </c>
      <c r="H564" s="241">
        <f>F564*G564</f>
        <v>1388200.0000000116</v>
      </c>
      <c r="I564" s="1238">
        <v>20000</v>
      </c>
      <c r="J564" s="244">
        <f>SUM(H564:I564)</f>
        <v>1408200.0000000116</v>
      </c>
      <c r="K564" s="241"/>
      <c r="L564" s="735">
        <v>1073600.00000004</v>
      </c>
      <c r="M564" s="736">
        <f t="shared" si="41"/>
        <v>1.3116616989567429</v>
      </c>
    </row>
    <row r="565" spans="1:13" customFormat="1">
      <c r="A565" s="241">
        <v>2</v>
      </c>
      <c r="B565" s="238" t="s">
        <v>1912</v>
      </c>
      <c r="C565" s="238" t="s">
        <v>1934</v>
      </c>
      <c r="D565" s="261"/>
      <c r="E565" s="261"/>
      <c r="F565" s="261"/>
      <c r="G565" s="241">
        <v>2000</v>
      </c>
      <c r="H565" s="241">
        <f>F565*G565</f>
        <v>0</v>
      </c>
      <c r="I565" s="1238"/>
      <c r="J565" s="244">
        <f>SUM(H565:I565)</f>
        <v>0</v>
      </c>
      <c r="K565" s="241"/>
      <c r="L565" s="735">
        <v>0</v>
      </c>
      <c r="M565" s="736" t="e">
        <f t="shared" si="41"/>
        <v>#DIV/0!</v>
      </c>
    </row>
    <row r="566" spans="1:13" customFormat="1">
      <c r="A566" s="241"/>
      <c r="B566" s="238"/>
      <c r="C566" s="238"/>
      <c r="D566" s="261"/>
      <c r="E566" s="261"/>
      <c r="F566" s="241"/>
      <c r="G566" s="241"/>
      <c r="H566" s="241"/>
      <c r="I566" s="1238"/>
      <c r="J566" s="244">
        <f>SUM(J564:J565)</f>
        <v>1408200.0000000116</v>
      </c>
      <c r="K566" s="241"/>
      <c r="L566" s="735">
        <v>1073600.00000004</v>
      </c>
      <c r="M566" s="736">
        <f t="shared" si="41"/>
        <v>1.3116616989567429</v>
      </c>
    </row>
    <row r="567" spans="1:13" customFormat="1">
      <c r="A567" s="241"/>
      <c r="B567" s="733" t="s">
        <v>1767</v>
      </c>
      <c r="C567" s="238"/>
      <c r="D567" s="261"/>
      <c r="E567" s="261"/>
      <c r="F567" s="241"/>
      <c r="G567" s="241"/>
      <c r="H567" s="241"/>
      <c r="I567" s="1238"/>
      <c r="J567" s="244"/>
      <c r="K567" s="241"/>
      <c r="L567" s="735"/>
      <c r="M567" s="736" t="e">
        <f t="shared" si="41"/>
        <v>#DIV/0!</v>
      </c>
    </row>
    <row r="568" spans="1:13" customFormat="1">
      <c r="A568" s="241">
        <v>13</v>
      </c>
      <c r="B568" s="734" t="s">
        <v>1935</v>
      </c>
      <c r="C568" s="238" t="s">
        <v>1936</v>
      </c>
      <c r="D568" s="261">
        <v>48075.1</v>
      </c>
      <c r="E568" s="261">
        <v>48260.800000000003</v>
      </c>
      <c r="F568" s="261">
        <f>E568-D568</f>
        <v>185.70000000000437</v>
      </c>
      <c r="G568" s="241">
        <v>2000</v>
      </c>
      <c r="H568" s="241">
        <f>F568*G568</f>
        <v>371400.00000000873</v>
      </c>
      <c r="I568" s="1238"/>
      <c r="J568" s="244">
        <f>SUM(H568:I568)</f>
        <v>371400.00000000873</v>
      </c>
      <c r="K568" s="241"/>
      <c r="L568" s="735">
        <v>314199.99999999697</v>
      </c>
      <c r="M568" s="736">
        <f t="shared" si="41"/>
        <v>1.1820496499045585</v>
      </c>
    </row>
    <row r="569" spans="1:13" customFormat="1">
      <c r="A569" s="241">
        <v>14</v>
      </c>
      <c r="B569" s="734" t="s">
        <v>1937</v>
      </c>
      <c r="C569" s="238" t="s">
        <v>1938</v>
      </c>
      <c r="D569" s="261">
        <v>60914.3</v>
      </c>
      <c r="E569" s="261">
        <v>61177</v>
      </c>
      <c r="F569" s="261">
        <f>E569-D569</f>
        <v>262.69999999999709</v>
      </c>
      <c r="G569" s="241">
        <v>2000</v>
      </c>
      <c r="H569" s="241">
        <f>F569*G569</f>
        <v>525399.99999999418</v>
      </c>
      <c r="I569" s="1238"/>
      <c r="J569" s="244">
        <f>SUM(H569:I569)</f>
        <v>525399.99999999418</v>
      </c>
      <c r="K569" s="241"/>
      <c r="L569" s="735">
        <v>390600.000000006</v>
      </c>
      <c r="M569" s="736">
        <f t="shared" si="41"/>
        <v>1.3451100870455355</v>
      </c>
    </row>
    <row r="570" spans="1:13" customFormat="1">
      <c r="A570" s="241">
        <v>15</v>
      </c>
      <c r="B570" s="734" t="s">
        <v>1939</v>
      </c>
      <c r="C570" s="238" t="s">
        <v>1940</v>
      </c>
      <c r="D570" s="261">
        <v>83496.7</v>
      </c>
      <c r="E570" s="261">
        <v>83749.2</v>
      </c>
      <c r="F570" s="261">
        <f>E570-D570</f>
        <v>252.5</v>
      </c>
      <c r="G570" s="241">
        <v>2000</v>
      </c>
      <c r="H570" s="241">
        <f>F570*G570</f>
        <v>505000</v>
      </c>
      <c r="I570" s="1238"/>
      <c r="J570" s="244">
        <f>SUM(H570:I570)</f>
        <v>505000</v>
      </c>
      <c r="K570" s="241"/>
      <c r="L570" s="735">
        <v>355200.00000001199</v>
      </c>
      <c r="M570" s="736">
        <f t="shared" si="41"/>
        <v>1.4217342342341863</v>
      </c>
    </row>
    <row r="571" spans="1:13" customFormat="1">
      <c r="A571" s="241"/>
      <c r="B571" s="238"/>
      <c r="C571" s="238"/>
      <c r="D571" s="261"/>
      <c r="E571" s="261"/>
      <c r="F571" s="261"/>
      <c r="G571" s="241"/>
      <c r="H571" s="241"/>
      <c r="I571" s="1238"/>
      <c r="J571" s="244">
        <f>J568+J569+J570</f>
        <v>1401800.0000000028</v>
      </c>
      <c r="K571" s="241"/>
      <c r="L571" s="735">
        <v>1060000.00000001</v>
      </c>
      <c r="M571" s="736">
        <f t="shared" si="41"/>
        <v>1.3224528301886693</v>
      </c>
    </row>
    <row r="572" spans="1:13" customFormat="1">
      <c r="A572" s="1239">
        <v>4</v>
      </c>
      <c r="B572" s="741" t="s">
        <v>1941</v>
      </c>
      <c r="C572" s="238"/>
      <c r="D572" s="261"/>
      <c r="E572" s="261"/>
      <c r="F572" s="261"/>
      <c r="G572" s="241"/>
      <c r="H572" s="241"/>
      <c r="I572" s="1238"/>
      <c r="J572" s="244"/>
      <c r="K572" s="743">
        <f>(J566-J571)/J566</f>
        <v>4.544808976003973E-3</v>
      </c>
      <c r="L572" s="735"/>
      <c r="M572" s="736" t="e">
        <f t="shared" si="41"/>
        <v>#DIV/0!</v>
      </c>
    </row>
    <row r="573" spans="1:13" customFormat="1">
      <c r="A573" s="241">
        <v>1</v>
      </c>
      <c r="B573" s="832" t="s">
        <v>1942</v>
      </c>
      <c r="C573" s="238" t="s">
        <v>1943</v>
      </c>
      <c r="D573" s="261">
        <v>461298.3</v>
      </c>
      <c r="E573" s="261">
        <v>461298.3</v>
      </c>
      <c r="F573" s="261">
        <f>E573-D573</f>
        <v>0</v>
      </c>
      <c r="G573" s="241">
        <v>2000</v>
      </c>
      <c r="H573" s="241">
        <f>F573*G573</f>
        <v>0</v>
      </c>
      <c r="I573" s="20">
        <v>1808200</v>
      </c>
      <c r="J573" s="769">
        <f>SUM(H573:I573)</f>
        <v>1808200</v>
      </c>
      <c r="K573" s="241"/>
      <c r="L573" s="735">
        <v>2308200</v>
      </c>
      <c r="M573" s="736">
        <f t="shared" si="41"/>
        <v>0.78338098951563995</v>
      </c>
    </row>
    <row r="574" spans="1:13" customFormat="1">
      <c r="A574" s="241">
        <v>2</v>
      </c>
      <c r="B574" s="238" t="s">
        <v>1944</v>
      </c>
      <c r="C574" s="238">
        <v>3743640</v>
      </c>
      <c r="D574" s="261">
        <v>824597.6</v>
      </c>
      <c r="E574" s="261">
        <v>889950.3</v>
      </c>
      <c r="F574" s="261">
        <f>E574-D574</f>
        <v>65352.70000000007</v>
      </c>
      <c r="G574" s="241">
        <v>80</v>
      </c>
      <c r="H574" s="241">
        <f>F574*G574</f>
        <v>5228216.0000000056</v>
      </c>
      <c r="I574" s="1238"/>
      <c r="J574" s="244">
        <f>SUM(H574:I574)</f>
        <v>5228216.0000000056</v>
      </c>
      <c r="K574" s="241"/>
      <c r="L574" s="735">
        <v>5391392.0000000019</v>
      </c>
      <c r="M574" s="736">
        <f t="shared" si="41"/>
        <v>0.96973397593794031</v>
      </c>
    </row>
    <row r="575" spans="1:13" customFormat="1">
      <c r="A575" s="241">
        <v>1</v>
      </c>
      <c r="B575" s="814" t="s">
        <v>1942</v>
      </c>
      <c r="C575" s="238" t="s">
        <v>1943</v>
      </c>
      <c r="D575" s="261">
        <v>196</v>
      </c>
      <c r="E575" s="261">
        <v>196</v>
      </c>
      <c r="F575" s="261">
        <f>E575-D575</f>
        <v>0</v>
      </c>
      <c r="G575" s="241">
        <v>2000</v>
      </c>
      <c r="H575" s="241">
        <f>F575*G575</f>
        <v>0</v>
      </c>
      <c r="I575" s="20"/>
      <c r="J575" s="244">
        <f>SUM(H575:I575)</f>
        <v>0</v>
      </c>
      <c r="K575" s="241"/>
      <c r="L575" s="735">
        <v>0</v>
      </c>
      <c r="M575" s="736" t="e">
        <f t="shared" si="41"/>
        <v>#DIV/0!</v>
      </c>
    </row>
    <row r="576" spans="1:13" customFormat="1">
      <c r="A576" s="241"/>
      <c r="B576" s="238"/>
      <c r="C576" s="238"/>
      <c r="D576" s="261"/>
      <c r="E576" s="261"/>
      <c r="F576" s="261"/>
      <c r="G576" s="241"/>
      <c r="H576" s="241"/>
      <c r="I576" s="1238"/>
      <c r="J576" s="244">
        <f>SUM(J573+J574)-J575</f>
        <v>7036416.0000000056</v>
      </c>
      <c r="K576" s="241"/>
      <c r="L576" s="735">
        <v>7699592.0000000019</v>
      </c>
      <c r="M576" s="736">
        <f t="shared" si="41"/>
        <v>0.91386868291203016</v>
      </c>
    </row>
    <row r="577" spans="1:16" customFormat="1">
      <c r="A577" s="241"/>
      <c r="B577" s="733" t="s">
        <v>1767</v>
      </c>
      <c r="C577" s="238"/>
      <c r="D577" s="261"/>
      <c r="E577" s="261"/>
      <c r="F577" s="241"/>
      <c r="G577" s="241"/>
      <c r="H577" s="241"/>
      <c r="I577" s="1238"/>
      <c r="J577" s="244"/>
      <c r="K577" s="241"/>
      <c r="L577" s="735"/>
      <c r="M577" s="736" t="e">
        <f t="shared" si="41"/>
        <v>#DIV/0!</v>
      </c>
      <c r="N577" s="386"/>
      <c r="O577" s="386"/>
      <c r="P577" s="386"/>
    </row>
    <row r="578" spans="1:16" customFormat="1">
      <c r="A578" s="241">
        <v>16</v>
      </c>
      <c r="B578" s="748" t="s">
        <v>1945</v>
      </c>
      <c r="C578" s="238" t="s">
        <v>1946</v>
      </c>
      <c r="D578" s="261">
        <v>195233.6</v>
      </c>
      <c r="E578" s="261">
        <v>195590.8</v>
      </c>
      <c r="F578" s="261">
        <f t="shared" ref="F578:F587" si="45">E578-D578</f>
        <v>357.19999999998254</v>
      </c>
      <c r="G578" s="241">
        <v>2000</v>
      </c>
      <c r="H578" s="241">
        <f t="shared" ref="H578:H587" si="46">F578*G578</f>
        <v>714399.99999996508</v>
      </c>
      <c r="I578" s="1238"/>
      <c r="J578" s="769">
        <f t="shared" ref="J578:J587" si="47">SUM(H578:I578)</f>
        <v>714399.99999996508</v>
      </c>
      <c r="K578" s="241"/>
      <c r="L578" s="735">
        <v>799400.00000002328</v>
      </c>
      <c r="M578" s="736">
        <f t="shared" si="41"/>
        <v>0.89367025268944744</v>
      </c>
      <c r="N578" s="386"/>
      <c r="O578" s="386"/>
      <c r="P578" s="386"/>
    </row>
    <row r="579" spans="1:16" customFormat="1">
      <c r="A579" s="241">
        <v>17</v>
      </c>
      <c r="B579" s="752" t="s">
        <v>1947</v>
      </c>
      <c r="C579" s="238" t="s">
        <v>1948</v>
      </c>
      <c r="D579" s="261">
        <v>30521.98</v>
      </c>
      <c r="E579" s="261">
        <v>30525.360000000001</v>
      </c>
      <c r="F579" s="261">
        <f t="shared" si="45"/>
        <v>3.3800000000010186</v>
      </c>
      <c r="G579" s="241">
        <v>6000</v>
      </c>
      <c r="H579" s="244">
        <f t="shared" si="46"/>
        <v>20280.000000006112</v>
      </c>
      <c r="I579" s="20">
        <f>1479420-H579</f>
        <v>1459139.9999999939</v>
      </c>
      <c r="J579" s="244">
        <f t="shared" si="47"/>
        <v>1479420</v>
      </c>
      <c r="K579" s="241"/>
      <c r="L579" s="785">
        <v>1522799.5623999999</v>
      </c>
      <c r="M579" s="736">
        <f t="shared" si="41"/>
        <v>0.97151328154334915</v>
      </c>
      <c r="N579" s="386">
        <f>J578/33</f>
        <v>21648.484848483789</v>
      </c>
      <c r="O579" s="386">
        <f>N579*5</f>
        <v>108242.42424241894</v>
      </c>
      <c r="P579" s="386"/>
    </row>
    <row r="580" spans="1:16" customFormat="1">
      <c r="A580" s="241">
        <v>18</v>
      </c>
      <c r="B580" s="238" t="s">
        <v>220</v>
      </c>
      <c r="C580" s="238" t="s">
        <v>1949</v>
      </c>
      <c r="D580" s="247">
        <v>3667.47</v>
      </c>
      <c r="E580" s="247">
        <v>3702.96</v>
      </c>
      <c r="F580" s="261">
        <f t="shared" si="45"/>
        <v>35.490000000000236</v>
      </c>
      <c r="G580" s="241">
        <v>20000</v>
      </c>
      <c r="H580" s="244">
        <f t="shared" si="46"/>
        <v>709800.00000000477</v>
      </c>
      <c r="I580" s="20"/>
      <c r="J580" s="244">
        <f t="shared" si="47"/>
        <v>709800.00000000477</v>
      </c>
      <c r="K580" s="241"/>
      <c r="L580" s="735">
        <v>787799.99999999744</v>
      </c>
      <c r="M580" s="736">
        <f t="shared" si="41"/>
        <v>0.90099009900991001</v>
      </c>
      <c r="N580" s="386">
        <v>1530500</v>
      </c>
      <c r="O580" s="386"/>
      <c r="P580" s="386"/>
    </row>
    <row r="581" spans="1:16" customFormat="1">
      <c r="A581" s="241">
        <v>19</v>
      </c>
      <c r="B581" s="238" t="s">
        <v>1950</v>
      </c>
      <c r="C581" s="238" t="s">
        <v>1951</v>
      </c>
      <c r="D581" s="261">
        <v>83436.2</v>
      </c>
      <c r="E581" s="261">
        <v>83748</v>
      </c>
      <c r="F581" s="261">
        <f t="shared" si="45"/>
        <v>311.80000000000291</v>
      </c>
      <c r="G581" s="241">
        <v>2000</v>
      </c>
      <c r="H581" s="241">
        <f t="shared" si="46"/>
        <v>623600.00000000582</v>
      </c>
      <c r="I581" s="1238"/>
      <c r="J581" s="244">
        <f t="shared" si="47"/>
        <v>623600.00000000582</v>
      </c>
      <c r="K581" s="241"/>
      <c r="L581" s="785">
        <v>684799.99999998836</v>
      </c>
      <c r="M581" s="736">
        <f t="shared" si="41"/>
        <v>0.91063084112151926</v>
      </c>
      <c r="N581" s="386">
        <f>I579-H579</f>
        <v>1438859.9999999879</v>
      </c>
      <c r="O581" s="386"/>
      <c r="P581" s="386"/>
    </row>
    <row r="582" spans="1:16" customFormat="1">
      <c r="A582" s="241">
        <v>20</v>
      </c>
      <c r="B582" s="238" t="s">
        <v>1230</v>
      </c>
      <c r="C582" s="238" t="s">
        <v>1952</v>
      </c>
      <c r="D582" s="261">
        <v>29772.400000000001</v>
      </c>
      <c r="E582" s="261">
        <v>29904.3</v>
      </c>
      <c r="F582" s="261">
        <f t="shared" si="45"/>
        <v>131.89999999999782</v>
      </c>
      <c r="G582" s="241">
        <v>2000</v>
      </c>
      <c r="H582" s="241">
        <f t="shared" si="46"/>
        <v>263799.99999999563</v>
      </c>
      <c r="I582" s="1238"/>
      <c r="J582" s="244">
        <f t="shared" si="47"/>
        <v>263799.99999999563</v>
      </c>
      <c r="K582" s="241"/>
      <c r="L582" s="785">
        <v>280600.00000000582</v>
      </c>
      <c r="M582" s="736">
        <f t="shared" si="41"/>
        <v>0.94012829650744889</v>
      </c>
      <c r="N582" s="386"/>
      <c r="O582" s="386"/>
      <c r="P582" s="386"/>
    </row>
    <row r="583" spans="1:16" customFormat="1">
      <c r="A583" s="241">
        <v>21</v>
      </c>
      <c r="B583" s="238" t="s">
        <v>1953</v>
      </c>
      <c r="C583" s="238" t="s">
        <v>1954</v>
      </c>
      <c r="D583" s="247">
        <v>3351.57</v>
      </c>
      <c r="E583" s="247">
        <v>3351.57</v>
      </c>
      <c r="F583" s="261">
        <f t="shared" si="45"/>
        <v>0</v>
      </c>
      <c r="G583" s="241">
        <v>4000</v>
      </c>
      <c r="H583" s="241">
        <f t="shared" si="46"/>
        <v>0</v>
      </c>
      <c r="I583" s="20"/>
      <c r="J583" s="244">
        <f t="shared" si="47"/>
        <v>0</v>
      </c>
      <c r="K583" s="244"/>
      <c r="L583" s="785">
        <v>0</v>
      </c>
      <c r="M583" s="736" t="e">
        <f t="shared" si="41"/>
        <v>#DIV/0!</v>
      </c>
      <c r="N583" s="386"/>
      <c r="O583" s="386"/>
      <c r="P583" s="386"/>
    </row>
    <row r="584" spans="1:16" customFormat="1">
      <c r="A584" s="241">
        <v>22</v>
      </c>
      <c r="B584" s="238" t="s">
        <v>1955</v>
      </c>
      <c r="C584" s="238" t="s">
        <v>1956</v>
      </c>
      <c r="D584" s="247">
        <v>1510.5</v>
      </c>
      <c r="E584" s="247">
        <v>1640.07</v>
      </c>
      <c r="F584" s="261">
        <f t="shared" si="45"/>
        <v>129.56999999999994</v>
      </c>
      <c r="G584" s="241">
        <v>4000</v>
      </c>
      <c r="H584" s="241">
        <f t="shared" si="46"/>
        <v>518279.99999999977</v>
      </c>
      <c r="I584" s="20">
        <v>450139.92060000001</v>
      </c>
      <c r="J584" s="244">
        <f t="shared" si="47"/>
        <v>968419.92059999984</v>
      </c>
      <c r="K584" s="241"/>
      <c r="L584" s="785">
        <v>1047299.9205999998</v>
      </c>
      <c r="M584" s="736">
        <f t="shared" si="41"/>
        <v>0.92468251123822343</v>
      </c>
      <c r="N584" s="386">
        <v>366199.21879999997</v>
      </c>
      <c r="O584" s="386"/>
      <c r="P584" s="386"/>
    </row>
    <row r="585" spans="1:16" customFormat="1">
      <c r="A585" s="241">
        <v>23</v>
      </c>
      <c r="B585" s="238" t="s">
        <v>1957</v>
      </c>
      <c r="C585" s="238" t="s">
        <v>1958</v>
      </c>
      <c r="D585" s="833">
        <v>1926.317</v>
      </c>
      <c r="E585" s="833">
        <v>1939.865</v>
      </c>
      <c r="F585" s="833">
        <f t="shared" si="45"/>
        <v>13.548000000000002</v>
      </c>
      <c r="G585" s="241">
        <v>60000</v>
      </c>
      <c r="H585" s="241">
        <f t="shared" si="46"/>
        <v>812880.00000000012</v>
      </c>
      <c r="I585" s="20"/>
      <c r="J585" s="244">
        <f t="shared" si="47"/>
        <v>812880.00000000012</v>
      </c>
      <c r="K585" s="241"/>
      <c r="L585" s="735">
        <v>886799.99999999837</v>
      </c>
      <c r="M585" s="736">
        <f t="shared" si="41"/>
        <v>0.91664411366711951</v>
      </c>
      <c r="N585" s="386"/>
      <c r="O585" s="386"/>
      <c r="P585" s="386"/>
    </row>
    <row r="586" spans="1:16" customFormat="1">
      <c r="A586" s="241">
        <v>24</v>
      </c>
      <c r="B586" s="734" t="s">
        <v>1959</v>
      </c>
      <c r="C586" s="238" t="s">
        <v>1960</v>
      </c>
      <c r="D586" s="247">
        <v>611.6</v>
      </c>
      <c r="E586" s="247">
        <v>660.82</v>
      </c>
      <c r="F586" s="261">
        <f t="shared" si="45"/>
        <v>49.220000000000027</v>
      </c>
      <c r="G586" s="241">
        <v>4000</v>
      </c>
      <c r="H586" s="241">
        <f t="shared" si="46"/>
        <v>196880.00000000012</v>
      </c>
      <c r="I586" s="20">
        <v>337820.11910000001</v>
      </c>
      <c r="J586" s="244">
        <f t="shared" si="47"/>
        <v>534700.11910000013</v>
      </c>
      <c r="K586" s="241"/>
      <c r="L586" s="785">
        <v>601620.11910000024</v>
      </c>
      <c r="M586" s="736">
        <f t="shared" si="41"/>
        <v>0.88876701779835787</v>
      </c>
      <c r="N586" s="386">
        <f>J585/10</f>
        <v>81288.000000000015</v>
      </c>
      <c r="O586" s="386">
        <v>1094820</v>
      </c>
      <c r="P586" s="765">
        <f>O586-J585</f>
        <v>281939.99999999988</v>
      </c>
    </row>
    <row r="587" spans="1:16" customFormat="1">
      <c r="A587" s="241"/>
      <c r="B587" s="734" t="s">
        <v>1961</v>
      </c>
      <c r="C587" s="238" t="s">
        <v>1962</v>
      </c>
      <c r="D587" s="247">
        <v>150459.20000000001</v>
      </c>
      <c r="E587" s="247">
        <v>150911.9</v>
      </c>
      <c r="F587" s="261">
        <f t="shared" si="45"/>
        <v>452.69999999998254</v>
      </c>
      <c r="G587" s="241">
        <v>2000</v>
      </c>
      <c r="H587" s="241">
        <f t="shared" si="46"/>
        <v>905399.99999996508</v>
      </c>
      <c r="I587" s="1238"/>
      <c r="J587" s="244">
        <f t="shared" si="47"/>
        <v>905399.99999996508</v>
      </c>
      <c r="K587" s="241"/>
      <c r="L587" s="785">
        <v>1006800.0000000466</v>
      </c>
      <c r="M587" s="736">
        <f t="shared" si="41"/>
        <v>0.89928486293198573</v>
      </c>
      <c r="N587" s="386">
        <f>N586*4</f>
        <v>325152.00000000006</v>
      </c>
      <c r="O587" s="386"/>
      <c r="P587" s="386"/>
    </row>
    <row r="588" spans="1:16" customFormat="1">
      <c r="A588" s="241"/>
      <c r="B588" s="733"/>
      <c r="C588" s="238"/>
      <c r="D588" s="261"/>
      <c r="E588" s="261"/>
      <c r="F588" s="241"/>
      <c r="G588" s="247"/>
      <c r="H588" s="244"/>
      <c r="I588" s="20"/>
      <c r="J588" s="244">
        <f>SUM(J578:J587)</f>
        <v>7012420.0396999363</v>
      </c>
      <c r="K588" s="241"/>
      <c r="L588" s="735">
        <v>7617919.6021000594</v>
      </c>
      <c r="M588" s="736">
        <f t="shared" si="41"/>
        <v>0.92051641471338153</v>
      </c>
      <c r="N588" s="386"/>
      <c r="O588" s="386"/>
      <c r="P588" s="386"/>
    </row>
    <row r="589" spans="1:16" customFormat="1">
      <c r="A589" s="1239">
        <v>5</v>
      </c>
      <c r="B589" s="741" t="s">
        <v>1963</v>
      </c>
      <c r="C589" s="238"/>
      <c r="D589" s="261"/>
      <c r="E589" s="261"/>
      <c r="F589" s="241"/>
      <c r="G589" s="241"/>
      <c r="H589" s="241"/>
      <c r="I589" s="20"/>
      <c r="J589" s="241"/>
      <c r="K589" s="743">
        <f>(J576-J588)/J576</f>
        <v>3.4102532169884899E-3</v>
      </c>
      <c r="L589" s="735"/>
      <c r="M589" s="736" t="e">
        <f t="shared" si="41"/>
        <v>#DIV/0!</v>
      </c>
      <c r="N589" s="386"/>
      <c r="O589" s="386"/>
      <c r="P589" s="386"/>
    </row>
    <row r="590" spans="1:16" customFormat="1">
      <c r="A590" s="241">
        <v>1</v>
      </c>
      <c r="B590" s="734" t="s">
        <v>1964</v>
      </c>
      <c r="C590" s="238" t="s">
        <v>1965</v>
      </c>
      <c r="D590" s="261">
        <v>146068.20000000001</v>
      </c>
      <c r="E590" s="261">
        <v>148220.70000000001</v>
      </c>
      <c r="F590" s="261">
        <f>E590-D590</f>
        <v>2152.5</v>
      </c>
      <c r="G590" s="241">
        <v>2000</v>
      </c>
      <c r="H590" s="244">
        <f>F590*G590</f>
        <v>4305000</v>
      </c>
      <c r="I590" s="1238"/>
      <c r="J590" s="244">
        <f>SUM(H590:I590)</f>
        <v>4305000</v>
      </c>
      <c r="K590" s="247"/>
      <c r="L590" s="735">
        <v>4750200.0000000112</v>
      </c>
      <c r="M590" s="736">
        <f t="shared" si="41"/>
        <v>0.90627763041555931</v>
      </c>
      <c r="N590" s="386"/>
      <c r="O590" s="386"/>
      <c r="P590" s="386"/>
    </row>
    <row r="591" spans="1:16" customFormat="1">
      <c r="A591" s="241">
        <v>2</v>
      </c>
      <c r="B591" s="734" t="s">
        <v>1776</v>
      </c>
      <c r="C591" s="238" t="s">
        <v>1966</v>
      </c>
      <c r="D591" s="261">
        <v>151871.9</v>
      </c>
      <c r="E591" s="261">
        <v>151873.5</v>
      </c>
      <c r="F591" s="261">
        <f>E591-D591</f>
        <v>1.6000000000058208</v>
      </c>
      <c r="G591" s="241">
        <v>1500</v>
      </c>
      <c r="H591" s="241">
        <f>F591*G591</f>
        <v>2400.0000000087311</v>
      </c>
      <c r="I591" s="20"/>
      <c r="J591" s="244">
        <f>SUM(H591:I591)</f>
        <v>2400.0000000087311</v>
      </c>
      <c r="K591" s="247"/>
      <c r="L591" s="735">
        <v>0</v>
      </c>
      <c r="M591" s="736" t="e">
        <f t="shared" si="41"/>
        <v>#DIV/0!</v>
      </c>
      <c r="N591" s="386"/>
      <c r="O591" s="386"/>
      <c r="P591" s="386"/>
    </row>
    <row r="592" spans="1:16" customFormat="1">
      <c r="A592" s="241">
        <v>2</v>
      </c>
      <c r="B592" s="734" t="s">
        <v>1776</v>
      </c>
      <c r="C592" s="238" t="s">
        <v>1966</v>
      </c>
      <c r="D592" s="261">
        <v>51</v>
      </c>
      <c r="E592" s="261">
        <v>51</v>
      </c>
      <c r="F592" s="261">
        <f>E592-D592</f>
        <v>0</v>
      </c>
      <c r="G592" s="241">
        <v>2000</v>
      </c>
      <c r="H592" s="241">
        <f>F592*G592</f>
        <v>0</v>
      </c>
      <c r="I592" s="1238"/>
      <c r="J592" s="244">
        <f>SUM(H592:I592)</f>
        <v>0</v>
      </c>
      <c r="K592" s="247"/>
      <c r="L592" s="735">
        <v>0</v>
      </c>
      <c r="M592" s="736" t="e">
        <f t="shared" si="41"/>
        <v>#DIV/0!</v>
      </c>
      <c r="N592" s="386"/>
      <c r="O592" s="386"/>
      <c r="P592" s="386"/>
    </row>
    <row r="593" spans="1:15" customFormat="1">
      <c r="A593" s="241"/>
      <c r="B593" s="734" t="s">
        <v>1363</v>
      </c>
      <c r="C593" s="238"/>
      <c r="D593" s="261"/>
      <c r="E593" s="261"/>
      <c r="F593" s="261"/>
      <c r="G593" s="241"/>
      <c r="H593" s="241"/>
      <c r="I593" s="1238"/>
      <c r="J593" s="244">
        <f>J590+J591-J592</f>
        <v>4307400.0000000084</v>
      </c>
      <c r="K593" s="247"/>
      <c r="L593" s="735">
        <v>4750200.0000000112</v>
      </c>
      <c r="M593" s="736">
        <f t="shared" si="41"/>
        <v>0.90678287230011334</v>
      </c>
      <c r="N593" s="386"/>
    </row>
    <row r="594" spans="1:15" customFormat="1">
      <c r="A594" s="241"/>
      <c r="B594" s="733" t="s">
        <v>1767</v>
      </c>
      <c r="C594" s="238"/>
      <c r="D594" s="261"/>
      <c r="E594" s="261"/>
      <c r="F594" s="261"/>
      <c r="G594" s="241"/>
      <c r="H594" s="261"/>
      <c r="I594" s="20"/>
      <c r="J594" s="244"/>
      <c r="K594" s="247"/>
      <c r="L594" s="735"/>
      <c r="M594" s="736" t="e">
        <f t="shared" si="41"/>
        <v>#DIV/0!</v>
      </c>
      <c r="N594" s="386"/>
    </row>
    <row r="595" spans="1:15" customFormat="1">
      <c r="A595" s="241">
        <v>25</v>
      </c>
      <c r="B595" s="238" t="s">
        <v>1967</v>
      </c>
      <c r="C595" s="241" t="s">
        <v>1968</v>
      </c>
      <c r="D595" s="247">
        <v>5414.61</v>
      </c>
      <c r="E595" s="247">
        <v>5418.87</v>
      </c>
      <c r="F595" s="261">
        <f>E595-D595</f>
        <v>4.2600000000002183</v>
      </c>
      <c r="G595" s="241">
        <v>6000</v>
      </c>
      <c r="H595" s="241">
        <f>F595*G595</f>
        <v>25560.00000000131</v>
      </c>
      <c r="I595" s="20">
        <v>42020.4739999987</v>
      </c>
      <c r="J595" s="244">
        <f>SUM(H595:I595)</f>
        <v>67580.474000000017</v>
      </c>
      <c r="K595" s="241"/>
      <c r="L595" s="735">
        <v>73019.538300000044</v>
      </c>
      <c r="M595" s="736">
        <f t="shared" si="41"/>
        <v>0.92551220636792186</v>
      </c>
      <c r="N595" s="386">
        <v>51480.474000000002</v>
      </c>
      <c r="O595">
        <f>N595-H595</f>
        <v>25920.473999998692</v>
      </c>
    </row>
    <row r="596" spans="1:15" customFormat="1">
      <c r="A596" s="241">
        <v>26</v>
      </c>
      <c r="B596" s="238" t="s">
        <v>1969</v>
      </c>
      <c r="C596" s="1238" t="s">
        <v>1970</v>
      </c>
      <c r="D596" s="261">
        <v>735327.5</v>
      </c>
      <c r="E596" s="261">
        <v>746884</v>
      </c>
      <c r="F596" s="261">
        <f>E596-D596</f>
        <v>11556.5</v>
      </c>
      <c r="G596" s="241">
        <v>60</v>
      </c>
      <c r="H596" s="241">
        <f>F596*G596</f>
        <v>693390</v>
      </c>
      <c r="I596" s="20">
        <v>295844.37540000002</v>
      </c>
      <c r="J596" s="244">
        <f>SUM(H596:I596)</f>
        <v>989234.37540000002</v>
      </c>
      <c r="K596" s="247"/>
      <c r="L596" s="735">
        <v>1084083.9841</v>
      </c>
      <c r="M596" s="736">
        <f t="shared" si="41"/>
        <v>0.91250713958407603</v>
      </c>
      <c r="N596" s="386">
        <v>969234.37540000002</v>
      </c>
      <c r="O596">
        <f t="shared" ref="O596:O598" si="48">N596-H596</f>
        <v>275844.37540000002</v>
      </c>
    </row>
    <row r="597" spans="1:15" customFormat="1">
      <c r="A597" s="241">
        <v>27</v>
      </c>
      <c r="B597" s="238" t="s">
        <v>1971</v>
      </c>
      <c r="C597" s="241" t="s">
        <v>1972</v>
      </c>
      <c r="D597" s="261">
        <v>102483.1</v>
      </c>
      <c r="E597" s="261">
        <v>103387.2</v>
      </c>
      <c r="F597" s="261">
        <f>E597-D597</f>
        <v>904.09999999999127</v>
      </c>
      <c r="G597" s="241">
        <v>2000</v>
      </c>
      <c r="H597" s="241">
        <f>F597*G597</f>
        <v>1808199.9999999825</v>
      </c>
      <c r="I597" s="20"/>
      <c r="J597" s="244">
        <f>SUM(H597:I597)</f>
        <v>1808199.9999999825</v>
      </c>
      <c r="K597" s="241"/>
      <c r="L597" s="735">
        <v>1948200.0000000116</v>
      </c>
      <c r="M597" s="736">
        <f t="shared" si="41"/>
        <v>0.92813879478491512</v>
      </c>
      <c r="N597" s="386">
        <v>1788843.7504</v>
      </c>
      <c r="O597">
        <f t="shared" si="48"/>
        <v>-19356.249599982519</v>
      </c>
    </row>
    <row r="598" spans="1:15" customFormat="1">
      <c r="A598" s="241"/>
      <c r="B598" s="238" t="s">
        <v>1973</v>
      </c>
      <c r="C598" s="241" t="s">
        <v>1974</v>
      </c>
      <c r="D598" s="247">
        <v>1711294.5</v>
      </c>
      <c r="E598" s="247">
        <v>1732085.5</v>
      </c>
      <c r="F598" s="261">
        <f>E598-D598</f>
        <v>20791</v>
      </c>
      <c r="G598" s="241">
        <v>40</v>
      </c>
      <c r="H598" s="244">
        <f>F598*G598</f>
        <v>831640</v>
      </c>
      <c r="I598" s="20">
        <v>609719.98620000004</v>
      </c>
      <c r="J598" s="244">
        <f>SUM(H598:I598)</f>
        <v>1441359.9862000002</v>
      </c>
      <c r="K598" s="241"/>
      <c r="L598" s="735">
        <v>1550340.0861</v>
      </c>
      <c r="M598" s="736">
        <f t="shared" si="41"/>
        <v>0.92970568143267995</v>
      </c>
      <c r="N598" s="386">
        <v>1251359.9861999999</v>
      </c>
      <c r="O598">
        <f t="shared" si="48"/>
        <v>419719.98619999993</v>
      </c>
    </row>
    <row r="599" spans="1:15" customFormat="1">
      <c r="A599" s="241"/>
      <c r="B599" s="238"/>
      <c r="C599" s="238"/>
      <c r="D599" s="247"/>
      <c r="E599" s="247"/>
      <c r="F599" s="261"/>
      <c r="G599" s="241"/>
      <c r="H599" s="241"/>
      <c r="I599" s="20"/>
      <c r="J599" s="244">
        <f>SUM(J595:J598)</f>
        <v>4306374.8355999831</v>
      </c>
      <c r="K599" s="241"/>
      <c r="L599" s="735">
        <v>4655643.6085000113</v>
      </c>
      <c r="M599" s="736">
        <f t="shared" si="41"/>
        <v>0.92497948677550124</v>
      </c>
      <c r="N599" s="386"/>
    </row>
    <row r="600" spans="1:15" customFormat="1">
      <c r="A600" s="1239">
        <v>6</v>
      </c>
      <c r="B600" s="239" t="s">
        <v>1975</v>
      </c>
      <c r="C600" s="238"/>
      <c r="D600" s="241"/>
      <c r="E600" s="241"/>
      <c r="F600" s="241"/>
      <c r="G600" s="241"/>
      <c r="H600" s="241"/>
      <c r="I600" s="20"/>
      <c r="J600" s="244"/>
      <c r="K600" s="743">
        <f>(J593-J599)/J593</f>
        <v>2.3800074291342084E-4</v>
      </c>
      <c r="L600" s="735"/>
      <c r="M600" s="736" t="e">
        <f t="shared" si="41"/>
        <v>#DIV/0!</v>
      </c>
      <c r="N600" s="386"/>
    </row>
    <row r="601" spans="1:15" customFormat="1">
      <c r="A601" s="241">
        <v>1</v>
      </c>
      <c r="B601" s="734" t="s">
        <v>1776</v>
      </c>
      <c r="C601" s="238" t="s">
        <v>1976</v>
      </c>
      <c r="D601" s="241">
        <v>238665.7</v>
      </c>
      <c r="E601" s="241">
        <v>239815.2</v>
      </c>
      <c r="F601" s="261">
        <f>E601-D601</f>
        <v>1149.5</v>
      </c>
      <c r="G601" s="241">
        <v>2000</v>
      </c>
      <c r="H601" s="241">
        <f>F601*G601</f>
        <v>2299000</v>
      </c>
      <c r="I601" s="1238"/>
      <c r="J601" s="244">
        <f>H601+I601</f>
        <v>2299000</v>
      </c>
      <c r="K601" s="247"/>
      <c r="L601" s="735">
        <v>1711799.99999999</v>
      </c>
      <c r="M601" s="736">
        <f t="shared" si="41"/>
        <v>1.3430307278887799</v>
      </c>
      <c r="N601" s="386"/>
    </row>
    <row r="602" spans="1:15" customFormat="1">
      <c r="A602" s="241"/>
      <c r="B602" s="734" t="s">
        <v>1977</v>
      </c>
      <c r="C602" s="238" t="s">
        <v>1976</v>
      </c>
      <c r="D602" s="241">
        <v>767.9</v>
      </c>
      <c r="E602" s="241">
        <v>767.9</v>
      </c>
      <c r="F602" s="261">
        <f>E602-D602</f>
        <v>0</v>
      </c>
      <c r="G602" s="241">
        <v>2000</v>
      </c>
      <c r="H602" s="241">
        <f>F602*G602</f>
        <v>0</v>
      </c>
      <c r="I602" s="1238"/>
      <c r="J602" s="244">
        <f>H602+I602</f>
        <v>0</v>
      </c>
      <c r="K602" s="247"/>
      <c r="L602" s="735">
        <v>0</v>
      </c>
      <c r="M602" s="736" t="e">
        <f t="shared" si="41"/>
        <v>#DIV/0!</v>
      </c>
      <c r="N602" s="386"/>
    </row>
    <row r="603" spans="1:15" customFormat="1">
      <c r="A603" s="241"/>
      <c r="B603" s="238" t="s">
        <v>1363</v>
      </c>
      <c r="C603" s="238"/>
      <c r="D603" s="241"/>
      <c r="E603" s="241"/>
      <c r="F603" s="261"/>
      <c r="G603" s="241"/>
      <c r="H603" s="241"/>
      <c r="I603" s="20"/>
      <c r="J603" s="244">
        <f>SUM(J601+J602)</f>
        <v>2299000</v>
      </c>
      <c r="K603" s="247"/>
      <c r="L603" s="735">
        <v>1711799.99999999</v>
      </c>
      <c r="M603" s="736">
        <f t="shared" si="41"/>
        <v>1.3430307278887799</v>
      </c>
      <c r="N603" s="386"/>
    </row>
    <row r="604" spans="1:15" customFormat="1">
      <c r="A604" s="241"/>
      <c r="B604" s="733" t="s">
        <v>1767</v>
      </c>
      <c r="C604" s="238"/>
      <c r="D604" s="241"/>
      <c r="E604" s="241"/>
      <c r="F604" s="261"/>
      <c r="G604" s="241"/>
      <c r="H604" s="241"/>
      <c r="I604" s="1238"/>
      <c r="J604" s="244"/>
      <c r="K604" s="247"/>
      <c r="L604" s="735"/>
      <c r="M604" s="736" t="e">
        <f t="shared" si="41"/>
        <v>#DIV/0!</v>
      </c>
      <c r="N604" s="386"/>
    </row>
    <row r="605" spans="1:15" customFormat="1">
      <c r="A605" s="241">
        <v>29</v>
      </c>
      <c r="B605" s="238" t="s">
        <v>1978</v>
      </c>
      <c r="C605" s="238" t="s">
        <v>1979</v>
      </c>
      <c r="D605" s="241">
        <v>40815.5</v>
      </c>
      <c r="E605" s="241">
        <v>41104.300000000003</v>
      </c>
      <c r="F605" s="261">
        <f>E605-D605</f>
        <v>288.80000000000291</v>
      </c>
      <c r="G605" s="241">
        <v>2000</v>
      </c>
      <c r="H605" s="241">
        <f>F605*G605</f>
        <v>577600.00000000582</v>
      </c>
      <c r="I605" s="1238"/>
      <c r="J605" s="244">
        <f>SUM(H605:I605)</f>
        <v>577600.00000000582</v>
      </c>
      <c r="K605" s="247"/>
      <c r="L605" s="735">
        <v>359799.99999998801</v>
      </c>
      <c r="M605" s="736">
        <f t="shared" si="41"/>
        <v>1.6053362979433714</v>
      </c>
      <c r="N605" s="386"/>
    </row>
    <row r="606" spans="1:15" customFormat="1">
      <c r="A606" s="241">
        <v>30</v>
      </c>
      <c r="B606" s="238" t="s">
        <v>1980</v>
      </c>
      <c r="C606" s="238" t="s">
        <v>1981</v>
      </c>
      <c r="D606" s="241">
        <v>5456.5</v>
      </c>
      <c r="E606" s="241">
        <v>5568.05</v>
      </c>
      <c r="F606" s="261">
        <f>E606-D606</f>
        <v>111.55000000000018</v>
      </c>
      <c r="G606" s="241">
        <v>6000</v>
      </c>
      <c r="H606" s="241">
        <f>F606*G606</f>
        <v>669300.00000000105</v>
      </c>
      <c r="I606" s="20"/>
      <c r="J606" s="244">
        <f>SUM(H606:I606)</f>
        <v>669300.00000000105</v>
      </c>
      <c r="K606" s="247"/>
      <c r="L606" s="735">
        <v>605340.00000000198</v>
      </c>
      <c r="M606" s="736">
        <f t="shared" si="41"/>
        <v>1.1056596292992349</v>
      </c>
      <c r="N606" s="386"/>
    </row>
    <row r="607" spans="1:15" customFormat="1">
      <c r="A607" s="241">
        <v>31</v>
      </c>
      <c r="B607" s="238" t="s">
        <v>1982</v>
      </c>
      <c r="C607" s="238" t="s">
        <v>1983</v>
      </c>
      <c r="D607" s="241">
        <v>69526.100000000006</v>
      </c>
      <c r="E607" s="241">
        <v>69551.3</v>
      </c>
      <c r="F607" s="261">
        <f>E607-D607</f>
        <v>25.19999999999709</v>
      </c>
      <c r="G607" s="241">
        <v>2000</v>
      </c>
      <c r="H607" s="241">
        <f>F607*G607</f>
        <v>50399.999999994179</v>
      </c>
      <c r="I607" s="20">
        <v>984605.86020000605</v>
      </c>
      <c r="J607" s="244">
        <f>SUM(H607:I607)</f>
        <v>1035005.8602000002</v>
      </c>
      <c r="K607" s="247"/>
      <c r="L607" s="735">
        <v>731399.99999999395</v>
      </c>
      <c r="M607" s="736">
        <f t="shared" si="41"/>
        <v>1.4151023519278216</v>
      </c>
      <c r="N607" s="386"/>
    </row>
    <row r="608" spans="1:15" customFormat="1">
      <c r="A608" s="241"/>
      <c r="B608" s="238"/>
      <c r="C608" s="238"/>
      <c r="D608" s="241"/>
      <c r="E608" s="241"/>
      <c r="F608" s="241"/>
      <c r="G608" s="241"/>
      <c r="H608" s="241"/>
      <c r="I608" s="1238"/>
      <c r="J608" s="244">
        <f>SUM(J605+J606+J607)</f>
        <v>2281905.8602000074</v>
      </c>
      <c r="K608" s="241"/>
      <c r="L608" s="735">
        <v>1696539.99999998</v>
      </c>
      <c r="M608" s="736">
        <f t="shared" si="41"/>
        <v>1.3450351068645798</v>
      </c>
      <c r="N608" s="386"/>
    </row>
    <row r="609" spans="1:18" customFormat="1">
      <c r="A609" s="1239">
        <v>7</v>
      </c>
      <c r="B609" s="741" t="s">
        <v>1984</v>
      </c>
      <c r="C609" s="238"/>
      <c r="D609" s="241"/>
      <c r="E609" s="241"/>
      <c r="F609" s="241"/>
      <c r="G609" s="241"/>
      <c r="H609" s="241"/>
      <c r="I609" s="1238"/>
      <c r="J609" s="244"/>
      <c r="K609" s="743">
        <f>(J603-J608)/J603</f>
        <v>7.4354675076087661E-3</v>
      </c>
      <c r="L609" s="735"/>
      <c r="M609" s="736" t="e">
        <f t="shared" si="41"/>
        <v>#DIV/0!</v>
      </c>
      <c r="N609" s="386"/>
      <c r="O609" s="386"/>
      <c r="P609" s="386"/>
      <c r="Q609" s="386"/>
      <c r="R609" s="386"/>
    </row>
    <row r="610" spans="1:18" customFormat="1">
      <c r="A610" s="241">
        <v>1</v>
      </c>
      <c r="B610" s="238" t="s">
        <v>1985</v>
      </c>
      <c r="C610" s="238" t="s">
        <v>1986</v>
      </c>
      <c r="D610" s="241">
        <v>1463.85</v>
      </c>
      <c r="E610" s="241">
        <v>1463.85</v>
      </c>
      <c r="F610" s="247">
        <f>E610-D610</f>
        <v>0</v>
      </c>
      <c r="G610" s="241">
        <v>80000</v>
      </c>
      <c r="H610" s="241">
        <f>F610*G610</f>
        <v>0</v>
      </c>
      <c r="I610" s="1238"/>
      <c r="J610" s="244">
        <f>SUM(H610:I610)</f>
        <v>0</v>
      </c>
      <c r="K610" s="247"/>
      <c r="L610" s="735">
        <v>0</v>
      </c>
      <c r="M610" s="736" t="e">
        <f t="shared" si="41"/>
        <v>#DIV/0!</v>
      </c>
      <c r="N610" s="386"/>
      <c r="O610" s="386"/>
      <c r="P610" s="386"/>
      <c r="Q610" s="386"/>
      <c r="R610" s="386"/>
    </row>
    <row r="611" spans="1:18" customFormat="1">
      <c r="A611" s="241">
        <v>2</v>
      </c>
      <c r="B611" s="238" t="s">
        <v>1987</v>
      </c>
      <c r="C611" s="238" t="s">
        <v>1988</v>
      </c>
      <c r="D611" s="241">
        <v>139940.79999999999</v>
      </c>
      <c r="E611" s="241">
        <v>139940.79999999999</v>
      </c>
      <c r="F611" s="261">
        <f>E611-D611</f>
        <v>0</v>
      </c>
      <c r="G611" s="241">
        <v>2000</v>
      </c>
      <c r="H611" s="241">
        <f>F611*G611</f>
        <v>0</v>
      </c>
      <c r="I611" s="1238">
        <v>2759000</v>
      </c>
      <c r="J611" s="244">
        <f>SUM(H611:I611)</f>
        <v>2759000</v>
      </c>
      <c r="K611" s="247"/>
      <c r="L611" s="735">
        <v>2759000</v>
      </c>
      <c r="M611" s="736">
        <f t="shared" si="41"/>
        <v>1</v>
      </c>
      <c r="N611" s="386">
        <v>0</v>
      </c>
      <c r="O611" s="386" t="e">
        <f t="shared" ref="O611:O622" si="49">J610/N611</f>
        <v>#DIV/0!</v>
      </c>
      <c r="P611" s="386"/>
      <c r="Q611" s="386"/>
      <c r="R611" s="386"/>
    </row>
    <row r="612" spans="1:18" customFormat="1">
      <c r="A612" s="241"/>
      <c r="B612" s="238" t="s">
        <v>1363</v>
      </c>
      <c r="C612" s="238"/>
      <c r="D612" s="241"/>
      <c r="E612" s="241"/>
      <c r="F612" s="261"/>
      <c r="G612" s="241"/>
      <c r="H612" s="241"/>
      <c r="I612" s="1238"/>
      <c r="J612" s="244">
        <f>SUM(J610+J611)</f>
        <v>2759000</v>
      </c>
      <c r="K612" s="247"/>
      <c r="L612" s="735">
        <v>2759000</v>
      </c>
      <c r="M612" s="736">
        <f t="shared" ref="M612:M675" si="50">J612/L612</f>
        <v>1</v>
      </c>
      <c r="N612" s="386">
        <v>2391600.0000000098</v>
      </c>
      <c r="O612" s="736">
        <f t="shared" si="49"/>
        <v>1.1536210068573294</v>
      </c>
      <c r="P612" s="386"/>
      <c r="Q612" s="386"/>
      <c r="R612" s="386"/>
    </row>
    <row r="613" spans="1:18" customFormat="1">
      <c r="A613" s="241"/>
      <c r="B613" s="733" t="s">
        <v>1767</v>
      </c>
      <c r="C613" s="238"/>
      <c r="D613" s="241"/>
      <c r="E613" s="241"/>
      <c r="F613" s="241"/>
      <c r="G613" s="241"/>
      <c r="H613" s="241"/>
      <c r="I613" s="1238"/>
      <c r="J613" s="244"/>
      <c r="K613" s="247"/>
      <c r="L613" s="735"/>
      <c r="M613" s="736" t="e">
        <f t="shared" si="50"/>
        <v>#DIV/0!</v>
      </c>
      <c r="N613" s="386">
        <v>2391600.0000000098</v>
      </c>
      <c r="O613" s="736">
        <f t="shared" si="49"/>
        <v>1.1536210068573294</v>
      </c>
      <c r="P613" s="386"/>
      <c r="Q613" s="386"/>
      <c r="R613" s="386"/>
    </row>
    <row r="614" spans="1:18" customFormat="1">
      <c r="A614" s="241">
        <v>32</v>
      </c>
      <c r="B614" s="238" t="s">
        <v>1989</v>
      </c>
      <c r="C614" s="241" t="s">
        <v>1990</v>
      </c>
      <c r="D614" s="241">
        <v>12645.2</v>
      </c>
      <c r="E614" s="241">
        <v>12960.7</v>
      </c>
      <c r="F614" s="261">
        <f t="shared" ref="F614:F619" si="51">E614-D614</f>
        <v>315.5</v>
      </c>
      <c r="G614" s="155">
        <v>1600</v>
      </c>
      <c r="H614" s="241">
        <f t="shared" ref="H614:H619" si="52">F614*G614</f>
        <v>504800</v>
      </c>
      <c r="I614" s="834">
        <v>-44479.6875</v>
      </c>
      <c r="J614" s="244">
        <f t="shared" ref="J614:J619" si="53">SUM(H614:I614)</f>
        <v>460320.3125</v>
      </c>
      <c r="K614" s="247" t="s">
        <v>15</v>
      </c>
      <c r="L614" s="735">
        <v>155000</v>
      </c>
      <c r="M614" s="736">
        <f t="shared" si="50"/>
        <v>2.9698084677419354</v>
      </c>
      <c r="N614" s="386"/>
      <c r="O614" s="386" t="e">
        <f t="shared" si="49"/>
        <v>#DIV/0!</v>
      </c>
      <c r="P614" s="386"/>
      <c r="Q614" s="386"/>
      <c r="R614" s="386"/>
    </row>
    <row r="615" spans="1:18" customFormat="1" ht="15.75" customHeight="1">
      <c r="A615" s="241">
        <v>33</v>
      </c>
      <c r="B615" s="238" t="s">
        <v>1991</v>
      </c>
      <c r="C615" s="241" t="s">
        <v>1992</v>
      </c>
      <c r="D615" s="241">
        <v>23403.5</v>
      </c>
      <c r="E615" s="241">
        <v>23653.7</v>
      </c>
      <c r="F615" s="261">
        <f t="shared" si="51"/>
        <v>250.20000000000073</v>
      </c>
      <c r="G615" s="241">
        <v>2000</v>
      </c>
      <c r="H615" s="241">
        <f t="shared" si="52"/>
        <v>500400.00000000146</v>
      </c>
      <c r="I615" s="1238"/>
      <c r="J615" s="244">
        <f t="shared" si="53"/>
        <v>500400.00000000146</v>
      </c>
      <c r="K615" s="247"/>
      <c r="L615" s="735">
        <v>537400.0000000014</v>
      </c>
      <c r="M615" s="736">
        <f t="shared" si="50"/>
        <v>0.9311499813918872</v>
      </c>
      <c r="N615" s="386">
        <v>707000</v>
      </c>
      <c r="O615" s="736">
        <f t="shared" si="49"/>
        <v>0.6510895509193777</v>
      </c>
      <c r="P615" s="386"/>
      <c r="Q615" s="386">
        <v>1271562.5</v>
      </c>
      <c r="R615" s="386">
        <v>270762.5</v>
      </c>
    </row>
    <row r="616" spans="1:18" customFormat="1">
      <c r="A616" s="241">
        <v>34</v>
      </c>
      <c r="B616" s="238" t="s">
        <v>1993</v>
      </c>
      <c r="C616" s="241" t="s">
        <v>1994</v>
      </c>
      <c r="D616" s="241">
        <v>26559.4</v>
      </c>
      <c r="E616" s="241">
        <v>26559.4</v>
      </c>
      <c r="F616" s="261">
        <f t="shared" si="51"/>
        <v>0</v>
      </c>
      <c r="G616" s="241">
        <v>2000</v>
      </c>
      <c r="H616" s="241">
        <f t="shared" si="52"/>
        <v>0</v>
      </c>
      <c r="I616" s="20">
        <v>637640.62390000001</v>
      </c>
      <c r="J616" s="244">
        <f t="shared" si="53"/>
        <v>637640.62390000001</v>
      </c>
      <c r="K616" s="247"/>
      <c r="L616" s="735">
        <v>947597.65699999989</v>
      </c>
      <c r="M616" s="736">
        <f t="shared" si="50"/>
        <v>0.67290227998104901</v>
      </c>
      <c r="N616" s="386">
        <v>511799.99999999901</v>
      </c>
      <c r="O616" s="736">
        <f t="shared" si="49"/>
        <v>0.97772567409144673</v>
      </c>
      <c r="P616" s="386"/>
      <c r="Q616" s="386"/>
      <c r="R616" s="386"/>
    </row>
    <row r="617" spans="1:18" customFormat="1">
      <c r="A617" s="241"/>
      <c r="B617" s="734" t="s">
        <v>1995</v>
      </c>
      <c r="C617" s="241" t="s">
        <v>1996</v>
      </c>
      <c r="D617" s="241">
        <v>43835.7</v>
      </c>
      <c r="E617" s="241">
        <v>44075.6</v>
      </c>
      <c r="F617" s="261">
        <f t="shared" si="51"/>
        <v>239.90000000000146</v>
      </c>
      <c r="G617" s="241">
        <v>2000</v>
      </c>
      <c r="H617" s="241">
        <f t="shared" si="52"/>
        <v>479800.00000000291</v>
      </c>
      <c r="I617" s="1238"/>
      <c r="J617" s="244">
        <f t="shared" si="53"/>
        <v>479800.00000000291</v>
      </c>
      <c r="K617" s="247"/>
      <c r="L617" s="735">
        <v>567399.99999999418</v>
      </c>
      <c r="M617" s="736">
        <f t="shared" si="50"/>
        <v>0.84561156150864969</v>
      </c>
      <c r="N617" s="386">
        <v>460800.00000000303</v>
      </c>
      <c r="O617" s="736">
        <f t="shared" si="49"/>
        <v>1.3837687150607547</v>
      </c>
      <c r="P617" s="386"/>
      <c r="Q617" s="386"/>
      <c r="R617" s="386"/>
    </row>
    <row r="618" spans="1:18" customFormat="1" ht="15" customHeight="1">
      <c r="A618" s="241">
        <v>36</v>
      </c>
      <c r="B618" s="734" t="s">
        <v>1997</v>
      </c>
      <c r="C618" s="241" t="s">
        <v>1998</v>
      </c>
      <c r="D618" s="241">
        <v>2515.9</v>
      </c>
      <c r="E618" s="241">
        <v>2576.1</v>
      </c>
      <c r="F618" s="261">
        <f t="shared" si="51"/>
        <v>60.199999999999818</v>
      </c>
      <c r="G618" s="241">
        <v>2000</v>
      </c>
      <c r="H618" s="241">
        <f t="shared" si="52"/>
        <v>120399.99999999964</v>
      </c>
      <c r="I618" s="20"/>
      <c r="J618" s="244">
        <f t="shared" si="53"/>
        <v>120399.99999999964</v>
      </c>
      <c r="K618" s="247"/>
      <c r="L618" s="735">
        <v>88239.982199999984</v>
      </c>
      <c r="M618" s="736">
        <f t="shared" si="50"/>
        <v>1.364460837345904</v>
      </c>
      <c r="N618" s="386">
        <v>294200.00000001199</v>
      </c>
      <c r="O618" s="736">
        <f t="shared" si="49"/>
        <v>1.6308633582596308</v>
      </c>
      <c r="P618" s="386"/>
      <c r="Q618" s="386"/>
      <c r="R618" s="386"/>
    </row>
    <row r="619" spans="1:18" customFormat="1">
      <c r="A619" s="241">
        <v>37</v>
      </c>
      <c r="B619" s="734" t="s">
        <v>1999</v>
      </c>
      <c r="C619" s="241" t="s">
        <v>2000</v>
      </c>
      <c r="D619" s="241">
        <v>5135.13</v>
      </c>
      <c r="E619" s="241">
        <v>5274.68</v>
      </c>
      <c r="F619" s="261">
        <f t="shared" si="51"/>
        <v>139.55000000000018</v>
      </c>
      <c r="G619" s="241">
        <v>4000</v>
      </c>
      <c r="H619" s="241">
        <f t="shared" si="52"/>
        <v>558200.0000000007</v>
      </c>
      <c r="I619" s="1238"/>
      <c r="J619" s="244">
        <f t="shared" si="53"/>
        <v>558200.0000000007</v>
      </c>
      <c r="K619" s="247"/>
      <c r="L619" s="735">
        <v>457040.00000000087</v>
      </c>
      <c r="M619" s="736">
        <f t="shared" si="50"/>
        <v>1.2213373008927</v>
      </c>
      <c r="N619" s="386">
        <v>125800</v>
      </c>
      <c r="O619" s="736">
        <f t="shared" si="49"/>
        <v>0.95707472178060127</v>
      </c>
      <c r="P619" s="386"/>
      <c r="Q619" s="386"/>
      <c r="R619" s="386"/>
    </row>
    <row r="620" spans="1:18" customFormat="1">
      <c r="A620" s="241"/>
      <c r="B620" s="734" t="s">
        <v>2001</v>
      </c>
      <c r="C620" s="241"/>
      <c r="D620" s="241"/>
      <c r="E620" s="241"/>
      <c r="F620" s="261"/>
      <c r="G620" s="241"/>
      <c r="H620" s="241"/>
      <c r="I620" s="1238">
        <v>75000</v>
      </c>
      <c r="J620" s="244"/>
      <c r="K620" s="241"/>
      <c r="L620" s="735"/>
      <c r="M620" s="736" t="e">
        <f t="shared" si="50"/>
        <v>#DIV/0!</v>
      </c>
      <c r="N620" s="386">
        <v>200800</v>
      </c>
      <c r="O620" s="736">
        <f t="shared" si="49"/>
        <v>2.7798804780876529</v>
      </c>
      <c r="P620" s="386"/>
      <c r="Q620" s="386"/>
      <c r="R620" s="386"/>
    </row>
    <row r="621" spans="1:18" customFormat="1">
      <c r="A621" s="241"/>
      <c r="B621" s="238"/>
      <c r="C621" s="238"/>
      <c r="D621" s="241"/>
      <c r="E621" s="241"/>
      <c r="F621" s="241"/>
      <c r="G621" s="241"/>
      <c r="H621" s="241"/>
      <c r="I621" s="20"/>
      <c r="J621" s="244">
        <f>SUM(J614+J615+J616+J617+J618+J619+J620)</f>
        <v>2756760.9364000047</v>
      </c>
      <c r="K621" s="241"/>
      <c r="L621" s="735">
        <v>2752677.6391999964</v>
      </c>
      <c r="M621" s="736">
        <f t="shared" si="50"/>
        <v>1.0014833909869647</v>
      </c>
      <c r="N621" s="386">
        <v>48000</v>
      </c>
      <c r="O621" s="736">
        <f t="shared" si="49"/>
        <v>0</v>
      </c>
      <c r="P621" s="386"/>
      <c r="Q621" s="386"/>
      <c r="R621" s="386"/>
    </row>
    <row r="622" spans="1:18" customFormat="1">
      <c r="A622" s="1239">
        <v>8</v>
      </c>
      <c r="B622" s="741" t="s">
        <v>2002</v>
      </c>
      <c r="C622" s="238"/>
      <c r="D622" s="241"/>
      <c r="E622" s="241"/>
      <c r="F622" s="241"/>
      <c r="G622" s="241"/>
      <c r="H622" s="241"/>
      <c r="I622" s="20"/>
      <c r="J622" s="244"/>
      <c r="K622" s="743">
        <f>(J612-J621)/J612</f>
        <v>8.1154896701534523E-4</v>
      </c>
      <c r="L622" s="735"/>
      <c r="M622" s="736" t="e">
        <f t="shared" si="50"/>
        <v>#DIV/0!</v>
      </c>
      <c r="N622" s="386">
        <v>2348400.0000000098</v>
      </c>
      <c r="O622" s="736">
        <f t="shared" si="49"/>
        <v>1.1738890037472292</v>
      </c>
      <c r="P622" s="386"/>
      <c r="Q622" s="386"/>
      <c r="R622" s="386"/>
    </row>
    <row r="623" spans="1:18" customFormat="1">
      <c r="A623" s="241">
        <v>1</v>
      </c>
      <c r="B623" s="734" t="s">
        <v>2003</v>
      </c>
      <c r="C623" s="238">
        <v>3300083</v>
      </c>
      <c r="D623" s="241">
        <v>137171.1</v>
      </c>
      <c r="E623" s="241">
        <v>183438.1</v>
      </c>
      <c r="F623" s="261">
        <v>20228.7</v>
      </c>
      <c r="G623" s="241">
        <v>80</v>
      </c>
      <c r="H623" s="241">
        <f>F623*G623</f>
        <v>1618296</v>
      </c>
      <c r="I623" s="20">
        <v>338000</v>
      </c>
      <c r="J623" s="244">
        <f>SUM(H623:I623)</f>
        <v>1956296</v>
      </c>
      <c r="K623" s="241"/>
      <c r="L623" s="735">
        <v>1956296</v>
      </c>
      <c r="M623" s="736">
        <f t="shared" si="50"/>
        <v>1</v>
      </c>
      <c r="N623" s="386"/>
      <c r="O623" s="386"/>
      <c r="P623" s="386"/>
      <c r="Q623" s="386"/>
      <c r="R623" s="386"/>
    </row>
    <row r="624" spans="1:18" customFormat="1">
      <c r="A624" s="241">
        <v>2</v>
      </c>
      <c r="B624" s="748" t="s">
        <v>2003</v>
      </c>
      <c r="C624" s="238" t="s">
        <v>2004</v>
      </c>
      <c r="D624" s="241">
        <v>72654.399999999994</v>
      </c>
      <c r="E624" s="241">
        <v>73704.7</v>
      </c>
      <c r="F624" s="261">
        <f>E624-D624</f>
        <v>1050.3000000000029</v>
      </c>
      <c r="G624" s="241">
        <v>2000</v>
      </c>
      <c r="H624" s="241">
        <f>F624*G624</f>
        <v>2100600.0000000056</v>
      </c>
      <c r="I624" s="1238"/>
      <c r="J624" s="769">
        <f>SUM(H624:I624)</f>
        <v>2100600.0000000056</v>
      </c>
      <c r="K624" s="241"/>
      <c r="L624" s="735">
        <v>2547000</v>
      </c>
      <c r="M624" s="736">
        <f t="shared" si="50"/>
        <v>0.8247349823321577</v>
      </c>
      <c r="N624" s="386">
        <v>9425790126</v>
      </c>
      <c r="O624" s="386"/>
      <c r="P624" s="386"/>
      <c r="Q624" s="386"/>
      <c r="R624" s="386"/>
    </row>
    <row r="625" spans="1:14" customFormat="1" ht="15" customHeight="1">
      <c r="A625" s="241"/>
      <c r="B625" s="238"/>
      <c r="C625" s="238"/>
      <c r="D625" s="241"/>
      <c r="E625" s="241"/>
      <c r="F625" s="261"/>
      <c r="G625" s="241"/>
      <c r="H625" s="241"/>
      <c r="I625" s="1238"/>
      <c r="J625" s="244">
        <f>SUM(J623:J624)</f>
        <v>4056896.0000000056</v>
      </c>
      <c r="K625" s="241"/>
      <c r="L625" s="735">
        <v>4503296</v>
      </c>
      <c r="M625" s="736">
        <f t="shared" si="50"/>
        <v>0.9008726053095345</v>
      </c>
      <c r="N625" s="386"/>
    </row>
    <row r="626" spans="1:14" customFormat="1">
      <c r="A626" s="241"/>
      <c r="B626" s="733" t="s">
        <v>1767</v>
      </c>
      <c r="C626" s="238"/>
      <c r="D626" s="241"/>
      <c r="E626" s="241"/>
      <c r="F626" s="244"/>
      <c r="G626" s="241"/>
      <c r="H626" s="241"/>
      <c r="I626" s="1238"/>
      <c r="J626" s="241"/>
      <c r="K626" s="247"/>
      <c r="L626" s="735"/>
      <c r="M626" s="736" t="e">
        <f t="shared" si="50"/>
        <v>#DIV/0!</v>
      </c>
      <c r="N626" s="386"/>
    </row>
    <row r="627" spans="1:14" customFormat="1">
      <c r="A627" s="241">
        <v>38</v>
      </c>
      <c r="B627" s="734" t="s">
        <v>2005</v>
      </c>
      <c r="C627" s="238" t="s">
        <v>2006</v>
      </c>
      <c r="D627" s="241">
        <v>3336.7</v>
      </c>
      <c r="E627" s="241">
        <v>3369.98</v>
      </c>
      <c r="F627" s="247">
        <f>E627-D627</f>
        <v>33.2800000000002</v>
      </c>
      <c r="G627" s="241">
        <v>20000</v>
      </c>
      <c r="H627" s="241">
        <f>F627*G627</f>
        <v>665600.00000000396</v>
      </c>
      <c r="I627" s="1238"/>
      <c r="J627" s="244">
        <f>SUM(H627:I627)</f>
        <v>665600.00000000396</v>
      </c>
      <c r="K627" s="247"/>
      <c r="L627" s="735">
        <v>830000</v>
      </c>
      <c r="M627" s="736">
        <f t="shared" si="50"/>
        <v>0.80192771084337822</v>
      </c>
      <c r="N627" s="386"/>
    </row>
    <row r="628" spans="1:14" customFormat="1">
      <c r="A628" s="241">
        <v>39</v>
      </c>
      <c r="B628" s="734" t="s">
        <v>2007</v>
      </c>
      <c r="C628" s="238" t="s">
        <v>2008</v>
      </c>
      <c r="D628" s="241">
        <v>38167.9</v>
      </c>
      <c r="E628" s="241">
        <v>38193.1</v>
      </c>
      <c r="F628" s="261">
        <f>E628-D628</f>
        <v>25.19999999999709</v>
      </c>
      <c r="G628" s="241">
        <v>2000</v>
      </c>
      <c r="H628" s="241">
        <f>F628*G628</f>
        <v>50399.999999994179</v>
      </c>
      <c r="I628" s="20">
        <v>966158.59290000587</v>
      </c>
      <c r="J628" s="244">
        <f>SUM(H628:I628)</f>
        <v>1016558.5929</v>
      </c>
      <c r="K628" s="247"/>
      <c r="L628" s="735">
        <v>1136242.1880999985</v>
      </c>
      <c r="M628" s="736">
        <f t="shared" si="50"/>
        <v>0.89466717883435487</v>
      </c>
      <c r="N628" s="386"/>
    </row>
    <row r="629" spans="1:14" customFormat="1">
      <c r="A629" s="241">
        <v>40</v>
      </c>
      <c r="B629" s="734" t="s">
        <v>2009</v>
      </c>
      <c r="C629" s="238" t="s">
        <v>2010</v>
      </c>
      <c r="D629" s="261">
        <v>5504.48</v>
      </c>
      <c r="E629" s="261">
        <v>5603.99</v>
      </c>
      <c r="F629" s="261">
        <f>E629-D629</f>
        <v>99.510000000000218</v>
      </c>
      <c r="G629" s="241">
        <v>6000</v>
      </c>
      <c r="H629" s="241">
        <f>F629*G629</f>
        <v>597060.00000000128</v>
      </c>
      <c r="I629" s="20">
        <v>164222.22509999876</v>
      </c>
      <c r="J629" s="244">
        <f>SUM(H629:I629)</f>
        <v>761282.22510000004</v>
      </c>
      <c r="K629" s="247"/>
      <c r="L629" s="735">
        <v>854339.99999999651</v>
      </c>
      <c r="M629" s="736">
        <f t="shared" si="50"/>
        <v>0.89107641582976704</v>
      </c>
      <c r="N629" s="386"/>
    </row>
    <row r="630" spans="1:14" customFormat="1">
      <c r="A630" s="241">
        <v>41</v>
      </c>
      <c r="B630" s="748" t="s">
        <v>931</v>
      </c>
      <c r="C630" s="238" t="s">
        <v>2011</v>
      </c>
      <c r="D630" s="241">
        <v>37454.1</v>
      </c>
      <c r="E630" s="241">
        <v>37903.599999999999</v>
      </c>
      <c r="F630" s="261">
        <f>E630-D630</f>
        <v>449.5</v>
      </c>
      <c r="G630" s="241">
        <v>2000</v>
      </c>
      <c r="H630" s="241">
        <f>F630*G630</f>
        <v>899000</v>
      </c>
      <c r="I630" s="1238"/>
      <c r="J630" s="769">
        <f>SUM(H630:I630)</f>
        <v>899000</v>
      </c>
      <c r="K630" s="247"/>
      <c r="L630" s="735">
        <v>1000399.9999999942</v>
      </c>
      <c r="M630" s="736">
        <f t="shared" si="50"/>
        <v>0.89864054378249225</v>
      </c>
      <c r="N630" s="386"/>
    </row>
    <row r="631" spans="1:14" customFormat="1" ht="15.75" customHeight="1">
      <c r="A631" s="241">
        <v>42</v>
      </c>
      <c r="B631" s="748" t="s">
        <v>2012</v>
      </c>
      <c r="C631" s="238" t="s">
        <v>2013</v>
      </c>
      <c r="D631" s="241">
        <v>3510.72</v>
      </c>
      <c r="E631" s="241">
        <v>3552.24</v>
      </c>
      <c r="F631" s="261">
        <f>E631-D631</f>
        <v>41.519999999999982</v>
      </c>
      <c r="G631" s="241">
        <v>6000</v>
      </c>
      <c r="H631" s="241">
        <f>F631*G631</f>
        <v>249119.99999999988</v>
      </c>
      <c r="I631" s="1238">
        <v>400000</v>
      </c>
      <c r="J631" s="769">
        <f>SUM(H631:I631)</f>
        <v>649119.99999999988</v>
      </c>
      <c r="K631" s="247"/>
      <c r="L631" s="735">
        <v>675779.9999999979</v>
      </c>
      <c r="M631" s="736">
        <f t="shared" si="50"/>
        <v>0.96054929118944321</v>
      </c>
      <c r="N631" s="386"/>
    </row>
    <row r="632" spans="1:14" customFormat="1">
      <c r="A632" s="241"/>
      <c r="B632" s="238"/>
      <c r="C632" s="238"/>
      <c r="D632" s="244"/>
      <c r="E632" s="244"/>
      <c r="F632" s="241"/>
      <c r="G632" s="241"/>
      <c r="H632" s="241"/>
      <c r="I632" s="1238"/>
      <c r="J632" s="244">
        <f>SUM(J627:J631)</f>
        <v>3991560.8180000042</v>
      </c>
      <c r="K632" s="247"/>
      <c r="L632" s="735">
        <v>4496762.1880999878</v>
      </c>
      <c r="M632" s="736">
        <f t="shared" si="50"/>
        <v>0.88765219307418042</v>
      </c>
      <c r="N632" s="386"/>
    </row>
    <row r="633" spans="1:14" customFormat="1">
      <c r="A633" s="1239">
        <v>9</v>
      </c>
      <c r="B633" s="732" t="s">
        <v>2014</v>
      </c>
      <c r="C633" s="238"/>
      <c r="D633" s="261"/>
      <c r="E633" s="261"/>
      <c r="F633" s="241"/>
      <c r="G633" s="241"/>
      <c r="H633" s="241"/>
      <c r="I633" s="1238"/>
      <c r="J633" s="244"/>
      <c r="K633" s="743">
        <f>(J625-J632)/J625</f>
        <v>1.6104721935194133E-2</v>
      </c>
      <c r="L633" s="735"/>
      <c r="M633" s="736" t="e">
        <f t="shared" si="50"/>
        <v>#DIV/0!</v>
      </c>
      <c r="N633" s="386"/>
    </row>
    <row r="634" spans="1:14" customFormat="1" ht="15" customHeight="1">
      <c r="A634" s="241">
        <v>1</v>
      </c>
      <c r="B634" s="734" t="s">
        <v>1776</v>
      </c>
      <c r="C634" s="238" t="s">
        <v>2015</v>
      </c>
      <c r="D634" s="835">
        <v>193350.9</v>
      </c>
      <c r="E634" s="835">
        <v>193961.2</v>
      </c>
      <c r="F634" s="261">
        <f>E634-D634</f>
        <v>610.30000000001746</v>
      </c>
      <c r="G634" s="241">
        <v>1000</v>
      </c>
      <c r="H634" s="241">
        <f>F634*G634</f>
        <v>610300.00000001746</v>
      </c>
      <c r="I634" s="1238"/>
      <c r="J634" s="244">
        <f>SUM(H634:I634)</f>
        <v>610300.00000001746</v>
      </c>
      <c r="K634" s="244"/>
      <c r="L634" s="735">
        <v>685899.99999999418</v>
      </c>
      <c r="M634" s="736">
        <f>J634/L634</f>
        <v>0.88977985129030857</v>
      </c>
      <c r="N634" s="386"/>
    </row>
    <row r="635" spans="1:14" customFormat="1">
      <c r="A635" s="836">
        <v>2</v>
      </c>
      <c r="B635" s="751" t="s">
        <v>1776</v>
      </c>
      <c r="C635" s="752" t="s">
        <v>2016</v>
      </c>
      <c r="D635" s="155">
        <v>490.92</v>
      </c>
      <c r="E635" s="155">
        <v>535.80999999999995</v>
      </c>
      <c r="F635" s="837">
        <f>E635-D635</f>
        <v>44.88999999999993</v>
      </c>
      <c r="G635" s="155">
        <v>1000</v>
      </c>
      <c r="H635" s="155">
        <f>F635*G635</f>
        <v>44889.999999999927</v>
      </c>
      <c r="I635" s="40">
        <v>1477000</v>
      </c>
      <c r="J635" s="158">
        <f>SUM(H635:I635)</f>
        <v>1521890</v>
      </c>
      <c r="K635" s="241"/>
      <c r="L635" s="735">
        <v>1576560</v>
      </c>
      <c r="M635" s="736">
        <f t="shared" si="50"/>
        <v>0.96532323539858933</v>
      </c>
      <c r="N635" s="386"/>
    </row>
    <row r="636" spans="1:14" customFormat="1" ht="15" customHeight="1">
      <c r="A636" s="734"/>
      <c r="B636" s="734"/>
      <c r="C636" s="734"/>
      <c r="D636" s="734"/>
      <c r="E636" s="734"/>
      <c r="F636" s="734"/>
      <c r="G636" s="734"/>
      <c r="H636" s="734"/>
      <c r="I636" s="734"/>
      <c r="J636" s="734"/>
      <c r="K636" s="161"/>
      <c r="L636" s="735"/>
      <c r="M636" s="736" t="e">
        <f t="shared" si="50"/>
        <v>#DIV/0!</v>
      </c>
      <c r="N636" s="386"/>
    </row>
    <row r="637" spans="1:14" customFormat="1">
      <c r="A637" s="241"/>
      <c r="B637" s="734"/>
      <c r="C637" s="238"/>
      <c r="D637" s="261"/>
      <c r="E637" s="261"/>
      <c r="F637" s="261"/>
      <c r="G637" s="241"/>
      <c r="H637" s="241"/>
      <c r="I637" s="1238"/>
      <c r="J637" s="244">
        <f>SUM(J634+J635)</f>
        <v>2132190.0000000177</v>
      </c>
      <c r="K637" s="161"/>
      <c r="L637" s="735">
        <v>2262459.9999999944</v>
      </c>
      <c r="M637" s="736">
        <f t="shared" si="50"/>
        <v>0.94242108147769377</v>
      </c>
      <c r="N637" s="386">
        <f>1.732*11*0.95*30*24</f>
        <v>13031.567999999999</v>
      </c>
    </row>
    <row r="638" spans="1:14" customFormat="1" ht="15.75" customHeight="1">
      <c r="A638" s="241"/>
      <c r="B638" s="733" t="s">
        <v>1767</v>
      </c>
      <c r="C638" s="238"/>
      <c r="D638" s="261"/>
      <c r="E638" s="261"/>
      <c r="F638" s="261"/>
      <c r="G638" s="241"/>
      <c r="H638" s="241"/>
      <c r="I638" s="1238"/>
      <c r="J638" s="244"/>
      <c r="K638" s="241"/>
      <c r="L638" s="735"/>
      <c r="M638" s="736" t="e">
        <f t="shared" si="50"/>
        <v>#DIV/0!</v>
      </c>
      <c r="N638" s="386">
        <f>N637*61</f>
        <v>794925.64799999993</v>
      </c>
    </row>
    <row r="639" spans="1:14" customFormat="1" ht="15" customHeight="1">
      <c r="A639" s="241">
        <v>43</v>
      </c>
      <c r="B639" s="734" t="s">
        <v>2017</v>
      </c>
      <c r="C639" s="238" t="s">
        <v>2018</v>
      </c>
      <c r="D639" s="261">
        <v>27469.1</v>
      </c>
      <c r="E639" s="261">
        <v>27662.6</v>
      </c>
      <c r="F639" s="261">
        <f>E639-D639</f>
        <v>193.5</v>
      </c>
      <c r="G639" s="241">
        <v>2000</v>
      </c>
      <c r="H639" s="241">
        <f>F639*G639</f>
        <v>387000</v>
      </c>
      <c r="I639" s="20">
        <v>600000</v>
      </c>
      <c r="J639" s="244">
        <f>SUM(H639:I639)</f>
        <v>987000</v>
      </c>
      <c r="K639" s="244"/>
      <c r="L639" s="735">
        <v>1057599.9999999986</v>
      </c>
      <c r="M639" s="736">
        <f t="shared" si="50"/>
        <v>0.93324508320726296</v>
      </c>
      <c r="N639" s="386"/>
    </row>
    <row r="640" spans="1:14" customFormat="1" ht="15.75" customHeight="1">
      <c r="A640" s="241">
        <v>44</v>
      </c>
      <c r="B640" s="734" t="s">
        <v>1213</v>
      </c>
      <c r="C640" s="238" t="s">
        <v>2019</v>
      </c>
      <c r="D640" s="261">
        <v>54803</v>
      </c>
      <c r="E640" s="261">
        <v>54803</v>
      </c>
      <c r="F640" s="261">
        <f>E640-D640</f>
        <v>0</v>
      </c>
      <c r="G640" s="241">
        <v>2000</v>
      </c>
      <c r="H640" s="241">
        <f>F640*G640</f>
        <v>0</v>
      </c>
      <c r="I640" s="20">
        <v>795186</v>
      </c>
      <c r="J640" s="244">
        <f>SUM(H640:I640)</f>
        <v>795186</v>
      </c>
      <c r="K640" s="244"/>
      <c r="L640" s="735">
        <v>856499.99780000001</v>
      </c>
      <c r="M640" s="736">
        <f t="shared" si="50"/>
        <v>0.92841331236720293</v>
      </c>
      <c r="N640" s="386">
        <v>372662.10840000003</v>
      </c>
    </row>
    <row r="641" spans="1:14" customFormat="1" ht="15" customHeight="1">
      <c r="A641" s="241">
        <v>45</v>
      </c>
      <c r="B641" s="734" t="s">
        <v>2020</v>
      </c>
      <c r="C641" s="238" t="s">
        <v>2021</v>
      </c>
      <c r="D641" s="261">
        <v>3988.1</v>
      </c>
      <c r="E641" s="261">
        <v>4019.1</v>
      </c>
      <c r="F641" s="261">
        <f>E641-D641</f>
        <v>31</v>
      </c>
      <c r="G641" s="241">
        <v>2000</v>
      </c>
      <c r="H641" s="241">
        <f>F641*G641</f>
        <v>62000</v>
      </c>
      <c r="I641" s="1238"/>
      <c r="J641" s="244">
        <f>SUM(H641:I641)</f>
        <v>62000</v>
      </c>
      <c r="K641" s="244"/>
      <c r="L641" s="735">
        <v>64599.999999999454</v>
      </c>
      <c r="M641" s="736">
        <f t="shared" si="50"/>
        <v>0.95975232198143223</v>
      </c>
      <c r="N641" s="386"/>
    </row>
    <row r="642" spans="1:14" customFormat="1">
      <c r="A642" s="241"/>
      <c r="B642" s="734" t="s">
        <v>1570</v>
      </c>
      <c r="C642" s="238" t="s">
        <v>2022</v>
      </c>
      <c r="D642" s="261">
        <v>54.55</v>
      </c>
      <c r="E642" s="261">
        <v>64.05</v>
      </c>
      <c r="F642" s="261">
        <f>E642-D642</f>
        <v>9.5</v>
      </c>
      <c r="G642" s="241">
        <v>18000</v>
      </c>
      <c r="H642" s="241">
        <f>F642*G642</f>
        <v>171000</v>
      </c>
      <c r="I642" s="20">
        <v>97379.892500000002</v>
      </c>
      <c r="J642" s="244">
        <f>SUM(H642:I642)</f>
        <v>268379.89250000002</v>
      </c>
      <c r="K642" s="241"/>
      <c r="L642" s="735">
        <v>265620.12489999994</v>
      </c>
      <c r="M642" s="736">
        <f t="shared" si="50"/>
        <v>1.010389904006856</v>
      </c>
      <c r="N642" s="386"/>
    </row>
    <row r="643" spans="1:14" customFormat="1" ht="15" customHeight="1">
      <c r="A643" s="241"/>
      <c r="B643" s="734"/>
      <c r="C643" s="238"/>
      <c r="D643" s="241"/>
      <c r="E643" s="241"/>
      <c r="F643" s="261"/>
      <c r="G643" s="241"/>
      <c r="H643" s="241"/>
      <c r="I643" s="20"/>
      <c r="J643" s="244">
        <f>J639+J640+J641+J642</f>
        <v>2112565.8925000001</v>
      </c>
      <c r="K643" s="241"/>
      <c r="L643" s="735">
        <v>2244320.1226999983</v>
      </c>
      <c r="M643" s="736">
        <f t="shared" si="50"/>
        <v>0.94129436845155001</v>
      </c>
      <c r="N643" s="386"/>
    </row>
    <row r="644" spans="1:14" customFormat="1">
      <c r="A644" s="1239">
        <v>10</v>
      </c>
      <c r="B644" s="732" t="s">
        <v>2023</v>
      </c>
      <c r="C644" s="238"/>
      <c r="D644" s="261"/>
      <c r="E644" s="261"/>
      <c r="F644" s="241"/>
      <c r="G644" s="241"/>
      <c r="H644" s="241"/>
      <c r="I644" s="20"/>
      <c r="J644" s="244"/>
      <c r="K644" s="743">
        <f>(J637-J643)/J637</f>
        <v>9.2037330162966051E-3</v>
      </c>
      <c r="L644" s="735"/>
      <c r="M644" s="736" t="e">
        <f t="shared" si="50"/>
        <v>#DIV/0!</v>
      </c>
      <c r="N644" s="386"/>
    </row>
    <row r="645" spans="1:14" customFormat="1" ht="15.75">
      <c r="A645" s="241">
        <v>1</v>
      </c>
      <c r="B645" s="734" t="s">
        <v>2003</v>
      </c>
      <c r="C645" s="238" t="s">
        <v>2024</v>
      </c>
      <c r="D645" s="838">
        <v>94151.7</v>
      </c>
      <c r="E645" s="838">
        <v>94831.5</v>
      </c>
      <c r="F645" s="261">
        <f>E645-D645</f>
        <v>679.80000000000291</v>
      </c>
      <c r="G645" s="241">
        <v>2000</v>
      </c>
      <c r="H645" s="241">
        <f>F645*G645</f>
        <v>1359600.0000000058</v>
      </c>
      <c r="I645" s="1238">
        <v>13500</v>
      </c>
      <c r="J645" s="244">
        <f>SUM(H645:I645)</f>
        <v>1373100.0000000058</v>
      </c>
      <c r="K645" s="244"/>
      <c r="L645" s="735">
        <v>2247000</v>
      </c>
      <c r="M645" s="736">
        <f t="shared" si="50"/>
        <v>0.61108144192256597</v>
      </c>
      <c r="N645" s="386"/>
    </row>
    <row r="646" spans="1:14" customFormat="1">
      <c r="A646" s="241"/>
      <c r="B646" s="238"/>
      <c r="C646" s="238"/>
      <c r="D646" s="261"/>
      <c r="E646" s="261"/>
      <c r="F646" s="261"/>
      <c r="G646" s="241"/>
      <c r="H646" s="241"/>
      <c r="I646" s="1238"/>
      <c r="J646" s="244">
        <f>SUM(J645:J645)</f>
        <v>1373100.0000000058</v>
      </c>
      <c r="K646" s="241"/>
      <c r="L646" s="735">
        <v>2247000</v>
      </c>
      <c r="M646" s="736">
        <f t="shared" si="50"/>
        <v>0.61108144192256597</v>
      </c>
      <c r="N646" s="386"/>
    </row>
    <row r="647" spans="1:14" customFormat="1">
      <c r="A647" s="241"/>
      <c r="B647" s="733" t="s">
        <v>1767</v>
      </c>
      <c r="C647" s="238"/>
      <c r="D647" s="241"/>
      <c r="E647" s="241"/>
      <c r="F647" s="241"/>
      <c r="G647" s="241"/>
      <c r="H647" s="241"/>
      <c r="I647" s="1238"/>
      <c r="J647" s="244"/>
      <c r="K647" s="241"/>
      <c r="L647" s="735"/>
      <c r="M647" s="736" t="e">
        <f t="shared" si="50"/>
        <v>#DIV/0!</v>
      </c>
      <c r="N647" s="386"/>
    </row>
    <row r="648" spans="1:14" customFormat="1">
      <c r="A648" s="241">
        <v>46</v>
      </c>
      <c r="B648" s="734" t="s">
        <v>2025</v>
      </c>
      <c r="C648" s="238" t="s">
        <v>2026</v>
      </c>
      <c r="D648" s="261">
        <v>33305.300000000003</v>
      </c>
      <c r="E648" s="261">
        <v>33807.800000000003</v>
      </c>
      <c r="F648" s="261">
        <f>E648-D648</f>
        <v>502.5</v>
      </c>
      <c r="G648" s="241">
        <v>2000</v>
      </c>
      <c r="H648" s="241">
        <f>F648*G648</f>
        <v>1005000</v>
      </c>
      <c r="I648" s="1238"/>
      <c r="J648" s="244">
        <f>SUM(H648:I648)</f>
        <v>1005000</v>
      </c>
      <c r="K648" s="244"/>
      <c r="L648" s="735">
        <v>847000</v>
      </c>
      <c r="M648" s="736">
        <f t="shared" si="50"/>
        <v>1.1865407319952774</v>
      </c>
      <c r="N648" s="754">
        <v>44136</v>
      </c>
    </row>
    <row r="649" spans="1:14" customFormat="1">
      <c r="A649" s="241">
        <v>47</v>
      </c>
      <c r="B649" s="734" t="s">
        <v>2027</v>
      </c>
      <c r="C649" s="238" t="s">
        <v>2028</v>
      </c>
      <c r="D649" s="261">
        <v>31332.6</v>
      </c>
      <c r="E649" s="261">
        <v>31332.6</v>
      </c>
      <c r="F649" s="261">
        <f>E649-D649</f>
        <v>0</v>
      </c>
      <c r="G649" s="241">
        <v>2000</v>
      </c>
      <c r="H649" s="241">
        <f>F649*G649</f>
        <v>0</v>
      </c>
      <c r="I649" s="1238"/>
      <c r="J649" s="244">
        <f>SUM(H649:I649)</f>
        <v>0</v>
      </c>
      <c r="K649" s="244"/>
      <c r="L649" s="735">
        <v>952463.99999999697</v>
      </c>
      <c r="M649" s="736">
        <f t="shared" si="50"/>
        <v>0</v>
      </c>
      <c r="N649" s="386"/>
    </row>
    <row r="650" spans="1:14" customFormat="1" ht="15" customHeight="1">
      <c r="A650" s="241">
        <v>48</v>
      </c>
      <c r="B650" s="734" t="s">
        <v>2029</v>
      </c>
      <c r="C650" s="238" t="s">
        <v>2030</v>
      </c>
      <c r="D650" s="261">
        <v>17329.7</v>
      </c>
      <c r="E650" s="261">
        <v>17513.5</v>
      </c>
      <c r="F650" s="261">
        <f>E650-D650</f>
        <v>183.79999999999927</v>
      </c>
      <c r="G650" s="241">
        <v>2000</v>
      </c>
      <c r="H650" s="241">
        <f>F650*G650</f>
        <v>367599.99999999854</v>
      </c>
      <c r="I650" s="20"/>
      <c r="J650" s="244">
        <f>SUM(H650:I650)</f>
        <v>367599.99999999854</v>
      </c>
      <c r="K650" s="244"/>
      <c r="L650" s="735">
        <v>403400.00000000198</v>
      </c>
      <c r="M650" s="736">
        <f t="shared" si="50"/>
        <v>0.91125433812592149</v>
      </c>
      <c r="N650" s="386"/>
    </row>
    <row r="651" spans="1:14" customFormat="1">
      <c r="A651" s="241"/>
      <c r="B651" s="331"/>
      <c r="C651" s="238"/>
      <c r="D651" s="331"/>
      <c r="E651" s="331"/>
      <c r="F651" s="261"/>
      <c r="G651" s="241"/>
      <c r="H651" s="241"/>
      <c r="I651" s="1238"/>
      <c r="J651" s="244">
        <f>SUM(J648:J650)</f>
        <v>1372599.9999999986</v>
      </c>
      <c r="K651" s="241"/>
      <c r="L651" s="735">
        <v>2202864</v>
      </c>
      <c r="M651" s="736">
        <f t="shared" si="50"/>
        <v>0.62309793069385977</v>
      </c>
      <c r="N651" s="386"/>
    </row>
    <row r="652" spans="1:14" customFormat="1" ht="15" customHeight="1">
      <c r="A652" s="1239">
        <v>11</v>
      </c>
      <c r="B652" s="732" t="s">
        <v>2031</v>
      </c>
      <c r="C652" s="238"/>
      <c r="D652" s="261"/>
      <c r="E652" s="261"/>
      <c r="F652" s="241"/>
      <c r="G652" s="241"/>
      <c r="H652" s="241"/>
      <c r="I652" s="1238"/>
      <c r="J652" s="244"/>
      <c r="K652" s="743">
        <f>(J646-J651)/J646</f>
        <v>3.6413953827632047E-4</v>
      </c>
      <c r="L652" s="735"/>
      <c r="M652" s="736" t="e">
        <f t="shared" si="50"/>
        <v>#DIV/0!</v>
      </c>
      <c r="N652" s="386"/>
    </row>
    <row r="653" spans="1:14" customFormat="1">
      <c r="A653" s="241">
        <v>1</v>
      </c>
      <c r="B653" s="734" t="s">
        <v>2032</v>
      </c>
      <c r="C653" s="238" t="s">
        <v>2033</v>
      </c>
      <c r="D653" s="247">
        <v>45526.6</v>
      </c>
      <c r="E653" s="247">
        <v>46240.4</v>
      </c>
      <c r="F653" s="261">
        <f>E653-D653</f>
        <v>713.80000000000291</v>
      </c>
      <c r="G653" s="241">
        <v>2000</v>
      </c>
      <c r="H653" s="241">
        <f>F653*G653</f>
        <v>1427600.0000000058</v>
      </c>
      <c r="I653" s="1238"/>
      <c r="J653" s="244">
        <f>SUM(H653:I653)</f>
        <v>1427600.0000000058</v>
      </c>
      <c r="K653" s="244"/>
      <c r="L653" s="735">
        <v>926000</v>
      </c>
      <c r="M653" s="736">
        <f t="shared" si="50"/>
        <v>1.5416846652267882</v>
      </c>
      <c r="N653" s="386"/>
    </row>
    <row r="654" spans="1:14" customFormat="1" ht="15.75" customHeight="1">
      <c r="A654" s="241"/>
      <c r="B654" s="734"/>
      <c r="C654" s="238"/>
      <c r="D654" s="241"/>
      <c r="E654" s="241"/>
      <c r="F654" s="261"/>
      <c r="G654" s="241"/>
      <c r="H654" s="241"/>
      <c r="I654" s="1238"/>
      <c r="J654" s="244">
        <f>SUM(J653:J653)</f>
        <v>1427600.0000000058</v>
      </c>
      <c r="K654" s="241"/>
      <c r="L654" s="735">
        <v>926000</v>
      </c>
      <c r="M654" s="736">
        <f t="shared" si="50"/>
        <v>1.5416846652267882</v>
      </c>
      <c r="N654" s="386"/>
    </row>
    <row r="655" spans="1:14" customFormat="1" ht="15" customHeight="1">
      <c r="A655" s="241"/>
      <c r="B655" s="733" t="s">
        <v>1767</v>
      </c>
      <c r="C655" s="238"/>
      <c r="D655" s="331"/>
      <c r="E655" s="331"/>
      <c r="F655" s="241"/>
      <c r="G655" s="241"/>
      <c r="H655" s="241"/>
      <c r="I655" s="1238"/>
      <c r="J655" s="244"/>
      <c r="K655" s="241"/>
      <c r="L655" s="735"/>
      <c r="M655" s="736" t="e">
        <f t="shared" si="50"/>
        <v>#DIV/0!</v>
      </c>
      <c r="N655" s="386"/>
    </row>
    <row r="656" spans="1:14" customFormat="1" ht="15.75" customHeight="1">
      <c r="A656" s="241">
        <v>49</v>
      </c>
      <c r="B656" s="734" t="s">
        <v>1238</v>
      </c>
      <c r="C656" s="238" t="s">
        <v>2034</v>
      </c>
      <c r="D656" s="247">
        <v>16110.8</v>
      </c>
      <c r="E656" s="247">
        <v>16482.2</v>
      </c>
      <c r="F656" s="261">
        <f>E656-D656</f>
        <v>371.40000000000146</v>
      </c>
      <c r="G656" s="241">
        <v>2000</v>
      </c>
      <c r="H656" s="241">
        <f>F656*G656</f>
        <v>742800.00000000291</v>
      </c>
      <c r="I656" s="1238"/>
      <c r="J656" s="244">
        <f>SUM(H656:I656)</f>
        <v>742800.00000000291</v>
      </c>
      <c r="K656" s="244"/>
      <c r="L656" s="735">
        <v>496000</v>
      </c>
      <c r="M656" s="736">
        <f t="shared" si="50"/>
        <v>1.4975806451612963</v>
      </c>
      <c r="N656" s="386"/>
    </row>
    <row r="657" spans="1:13" customFormat="1">
      <c r="A657" s="241">
        <v>50</v>
      </c>
      <c r="B657" s="734" t="s">
        <v>2035</v>
      </c>
      <c r="C657" s="238" t="s">
        <v>2036</v>
      </c>
      <c r="D657" s="247">
        <v>12292.2</v>
      </c>
      <c r="E657" s="247">
        <v>12452.4</v>
      </c>
      <c r="F657" s="261">
        <f>E657-D657</f>
        <v>160.19999999999891</v>
      </c>
      <c r="G657" s="241">
        <v>2000</v>
      </c>
      <c r="H657" s="241">
        <f>F657*G657</f>
        <v>320399.99999999779</v>
      </c>
      <c r="I657" s="1238"/>
      <c r="J657" s="244">
        <f>SUM(H657:I657)</f>
        <v>320399.99999999779</v>
      </c>
      <c r="K657" s="244"/>
      <c r="L657" s="735">
        <v>185799.99999999901</v>
      </c>
      <c r="M657" s="736">
        <f t="shared" si="50"/>
        <v>1.7244348762109769</v>
      </c>
    </row>
    <row r="658" spans="1:13" customFormat="1">
      <c r="A658" s="241">
        <v>51</v>
      </c>
      <c r="B658" s="734" t="s">
        <v>2037</v>
      </c>
      <c r="C658" s="238" t="s">
        <v>2038</v>
      </c>
      <c r="D658" s="247">
        <v>16718.73</v>
      </c>
      <c r="E658" s="247">
        <v>16895.240000000002</v>
      </c>
      <c r="F658" s="261">
        <f>E658-D658</f>
        <v>176.51000000000204</v>
      </c>
      <c r="G658" s="241">
        <v>2000</v>
      </c>
      <c r="H658" s="241">
        <f>F658*G658</f>
        <v>353020.00000000407</v>
      </c>
      <c r="I658" s="1238"/>
      <c r="J658" s="244">
        <f>SUM(H658:I658)</f>
        <v>353020.00000000407</v>
      </c>
      <c r="K658" s="244"/>
      <c r="L658" s="735">
        <v>238040.00000000099</v>
      </c>
      <c r="M658" s="736">
        <f t="shared" si="50"/>
        <v>1.4830280625105134</v>
      </c>
    </row>
    <row r="659" spans="1:13" customFormat="1">
      <c r="A659" s="241"/>
      <c r="B659" s="734"/>
      <c r="C659" s="734"/>
      <c r="D659" s="331"/>
      <c r="E659" s="331"/>
      <c r="F659" s="261"/>
      <c r="G659" s="241"/>
      <c r="H659" s="241"/>
      <c r="I659" s="1238"/>
      <c r="J659" s="244">
        <f>J656+J657+J658</f>
        <v>1416220.0000000047</v>
      </c>
      <c r="K659" s="241"/>
      <c r="L659" s="735">
        <v>919840</v>
      </c>
      <c r="M659" s="736">
        <f t="shared" si="50"/>
        <v>1.5396373282310019</v>
      </c>
    </row>
    <row r="660" spans="1:13" customFormat="1">
      <c r="A660" s="1239">
        <v>12</v>
      </c>
      <c r="B660" s="732" t="s">
        <v>2039</v>
      </c>
      <c r="C660" s="238"/>
      <c r="D660" s="261"/>
      <c r="E660" s="261"/>
      <c r="F660" s="241"/>
      <c r="G660" s="241"/>
      <c r="H660" s="241"/>
      <c r="I660" s="20"/>
      <c r="J660" s="244"/>
      <c r="K660" s="743">
        <f>(J654-J659)/J654</f>
        <v>7.9714205659856523E-3</v>
      </c>
      <c r="L660" s="735"/>
      <c r="M660" s="736" t="e">
        <f t="shared" si="50"/>
        <v>#DIV/0!</v>
      </c>
    </row>
    <row r="661" spans="1:13" customFormat="1" ht="15" customHeight="1">
      <c r="A661" s="241">
        <v>1</v>
      </c>
      <c r="B661" s="734" t="s">
        <v>261</v>
      </c>
      <c r="C661" s="238" t="s">
        <v>2040</v>
      </c>
      <c r="D661" s="838">
        <v>2378.6999999999998</v>
      </c>
      <c r="E661" s="838">
        <v>2579.6999999999998</v>
      </c>
      <c r="F661" s="261">
        <f>E661-D661</f>
        <v>201</v>
      </c>
      <c r="G661" s="241">
        <v>100</v>
      </c>
      <c r="H661" s="241">
        <f>F661*G661</f>
        <v>20100</v>
      </c>
      <c r="I661" s="20">
        <v>18200</v>
      </c>
      <c r="J661" s="244">
        <f>SUM(H661:I661)</f>
        <v>38300</v>
      </c>
      <c r="K661" s="244"/>
      <c r="L661" s="735">
        <v>30580</v>
      </c>
      <c r="M661" s="736">
        <f t="shared" si="50"/>
        <v>1.2524525833878353</v>
      </c>
    </row>
    <row r="662" spans="1:13" customFormat="1" ht="15.75">
      <c r="A662" s="241">
        <v>1</v>
      </c>
      <c r="B662" s="734" t="s">
        <v>261</v>
      </c>
      <c r="C662" s="238" t="s">
        <v>2041</v>
      </c>
      <c r="D662" s="838">
        <v>63.7</v>
      </c>
      <c r="E662" s="838">
        <v>209.4</v>
      </c>
      <c r="F662" s="261">
        <f>E662-D662</f>
        <v>145.69999999999999</v>
      </c>
      <c r="G662" s="241">
        <v>1000</v>
      </c>
      <c r="H662" s="241">
        <f>F662*G662</f>
        <v>145700</v>
      </c>
      <c r="I662" s="1238"/>
      <c r="J662" s="244">
        <f>SUM(H662:I662)</f>
        <v>145700</v>
      </c>
      <c r="K662" s="241"/>
      <c r="L662" s="735">
        <v>0</v>
      </c>
      <c r="M662" s="736" t="e">
        <f t="shared" si="50"/>
        <v>#DIV/0!</v>
      </c>
    </row>
    <row r="663" spans="1:13" customFormat="1" ht="15.75" customHeight="1">
      <c r="A663" s="241"/>
      <c r="B663" s="734"/>
      <c r="C663" s="238"/>
      <c r="D663" s="241"/>
      <c r="E663" s="241"/>
      <c r="F663" s="261"/>
      <c r="G663" s="241"/>
      <c r="H663" s="241"/>
      <c r="I663" s="1238"/>
      <c r="J663" s="244">
        <f>SUM(J661:J661)</f>
        <v>38300</v>
      </c>
      <c r="K663" s="241"/>
      <c r="L663" s="735">
        <v>30580</v>
      </c>
      <c r="M663" s="736">
        <f t="shared" si="50"/>
        <v>1.2524525833878353</v>
      </c>
    </row>
    <row r="664" spans="1:13" customFormat="1" ht="15" customHeight="1">
      <c r="A664" s="241"/>
      <c r="B664" s="733" t="s">
        <v>1767</v>
      </c>
      <c r="C664" s="238"/>
      <c r="D664" s="331"/>
      <c r="E664" s="331"/>
      <c r="F664" s="241"/>
      <c r="G664" s="241"/>
      <c r="H664" s="241"/>
      <c r="I664" s="1238"/>
      <c r="J664" s="244"/>
      <c r="K664" s="241"/>
      <c r="L664" s="735"/>
      <c r="M664" s="736" t="e">
        <f t="shared" si="50"/>
        <v>#DIV/0!</v>
      </c>
    </row>
    <row r="665" spans="1:13" customFormat="1" ht="15.75" customHeight="1">
      <c r="A665" s="241">
        <v>52</v>
      </c>
      <c r="B665" s="734" t="s">
        <v>1451</v>
      </c>
      <c r="C665" s="238" t="s">
        <v>2042</v>
      </c>
      <c r="D665" s="241">
        <v>1352.9</v>
      </c>
      <c r="E665" s="241">
        <v>1460.9</v>
      </c>
      <c r="F665" s="261">
        <f>E665-D665</f>
        <v>108</v>
      </c>
      <c r="G665" s="241">
        <v>66.665999999999997</v>
      </c>
      <c r="H665" s="244">
        <f>F665*G665</f>
        <v>7199.9279999999999</v>
      </c>
      <c r="I665" s="20">
        <f>12940.0202-H665</f>
        <v>5740.092200000001</v>
      </c>
      <c r="J665" s="244">
        <f>SUM(H665:I665)</f>
        <v>12940.020200000001</v>
      </c>
      <c r="K665" s="244"/>
      <c r="L665" s="735">
        <v>10900.017599999999</v>
      </c>
      <c r="M665" s="736">
        <f t="shared" si="50"/>
        <v>1.1871558996381806</v>
      </c>
    </row>
    <row r="666" spans="1:13" customFormat="1">
      <c r="A666" s="241">
        <v>53</v>
      </c>
      <c r="B666" s="734" t="s">
        <v>1452</v>
      </c>
      <c r="C666" s="238" t="s">
        <v>2043</v>
      </c>
      <c r="D666" s="261">
        <v>597.1</v>
      </c>
      <c r="E666" s="261">
        <v>700</v>
      </c>
      <c r="F666" s="261">
        <f>E666-D666</f>
        <v>102.89999999999998</v>
      </c>
      <c r="G666" s="241">
        <v>66.665999999999997</v>
      </c>
      <c r="H666" s="244">
        <f>F666*G666</f>
        <v>6859.9313999999986</v>
      </c>
      <c r="I666" s="20">
        <f>13819.9982-H666</f>
        <v>6960.0668000000014</v>
      </c>
      <c r="J666" s="244">
        <f>SUM(H666:I666)</f>
        <v>13819.9982</v>
      </c>
      <c r="K666" s="244" t="s">
        <v>2044</v>
      </c>
      <c r="L666" s="735">
        <v>9439.9941999999992</v>
      </c>
      <c r="M666" s="736">
        <f t="shared" si="50"/>
        <v>1.463983759651039</v>
      </c>
    </row>
    <row r="667" spans="1:13" customFormat="1">
      <c r="A667" s="241">
        <v>54</v>
      </c>
      <c r="B667" s="734" t="s">
        <v>2045</v>
      </c>
      <c r="C667" s="238" t="s">
        <v>2046</v>
      </c>
      <c r="D667" s="261">
        <v>155847.4</v>
      </c>
      <c r="E667" s="261">
        <v>155848</v>
      </c>
      <c r="F667" s="261">
        <f>E667-D667</f>
        <v>0.60000000000582077</v>
      </c>
      <c r="G667" s="241">
        <v>1500</v>
      </c>
      <c r="H667" s="241">
        <f>F667*G667</f>
        <v>900.00000000873115</v>
      </c>
      <c r="I667" s="20">
        <v>10319.966899999999</v>
      </c>
      <c r="J667" s="244">
        <f>SUM(H667:I667)</f>
        <v>11219.966900008731</v>
      </c>
      <c r="K667" s="244"/>
      <c r="L667" s="735">
        <v>10050.0000000175</v>
      </c>
      <c r="M667" s="736">
        <f t="shared" si="50"/>
        <v>1.1164146169143476</v>
      </c>
    </row>
    <row r="668" spans="1:13" customFormat="1">
      <c r="A668" s="241"/>
      <c r="B668" s="734" t="s">
        <v>2045</v>
      </c>
      <c r="C668" s="238" t="s">
        <v>2046</v>
      </c>
      <c r="D668" s="261">
        <v>1151.7</v>
      </c>
      <c r="E668" s="261">
        <v>1158.9000000000001</v>
      </c>
      <c r="F668" s="261">
        <f>E668-D668</f>
        <v>7.2000000000000455</v>
      </c>
      <c r="G668" s="241">
        <v>1500</v>
      </c>
      <c r="H668" s="241">
        <f>F668*G668</f>
        <v>10800.000000000069</v>
      </c>
      <c r="I668" s="1238"/>
      <c r="J668" s="244">
        <f>SUM(H668:I668)</f>
        <v>10800.000000000069</v>
      </c>
      <c r="K668" s="241"/>
      <c r="L668" s="735">
        <v>3000</v>
      </c>
      <c r="M668" s="736">
        <f t="shared" si="50"/>
        <v>3.6000000000000232</v>
      </c>
    </row>
    <row r="669" spans="1:13" customFormat="1">
      <c r="A669" s="241"/>
      <c r="B669" s="734"/>
      <c r="C669" s="238"/>
      <c r="D669" s="331"/>
      <c r="E669" s="331"/>
      <c r="F669" s="261"/>
      <c r="G669" s="241"/>
      <c r="H669" s="241"/>
      <c r="I669" s="1238"/>
      <c r="J669" s="244">
        <f>J665+J666+J667</f>
        <v>37979.985300008731</v>
      </c>
      <c r="K669" s="241"/>
      <c r="L669" s="735">
        <v>30390.011800017499</v>
      </c>
      <c r="M669" s="736">
        <f t="shared" si="50"/>
        <v>1.2497522393191984</v>
      </c>
    </row>
    <row r="670" spans="1:13" customFormat="1">
      <c r="A670" s="1239">
        <v>12</v>
      </c>
      <c r="B670" s="732" t="s">
        <v>2047</v>
      </c>
      <c r="C670" s="238"/>
      <c r="D670" s="331"/>
      <c r="E670" s="331"/>
      <c r="F670" s="261"/>
      <c r="G670" s="241"/>
      <c r="H670" s="241"/>
      <c r="I670" s="1238"/>
      <c r="J670" s="244"/>
      <c r="K670" s="743">
        <f>(J663-J669)/J663</f>
        <v>8.3554751955944792E-3</v>
      </c>
      <c r="L670" s="735"/>
      <c r="M670" s="736" t="e">
        <f t="shared" si="50"/>
        <v>#DIV/0!</v>
      </c>
    </row>
    <row r="671" spans="1:13" customFormat="1" ht="15.75">
      <c r="A671" s="241"/>
      <c r="B671" s="734" t="s">
        <v>2048</v>
      </c>
      <c r="C671" s="238" t="s">
        <v>2049</v>
      </c>
      <c r="D671" s="838">
        <v>2271.0700000000002</v>
      </c>
      <c r="E671" s="838">
        <v>2364.56</v>
      </c>
      <c r="F671" s="261">
        <f>E671-D671</f>
        <v>93.489999999999782</v>
      </c>
      <c r="G671" s="241">
        <v>24000</v>
      </c>
      <c r="H671" s="241">
        <f>F671*G671</f>
        <v>2243759.9999999949</v>
      </c>
      <c r="I671" s="1238">
        <v>0</v>
      </c>
      <c r="J671" s="244">
        <f>SUM(H671:I671)</f>
        <v>2243759.9999999949</v>
      </c>
      <c r="K671" s="743"/>
      <c r="L671" s="735">
        <v>1463040</v>
      </c>
      <c r="M671" s="736">
        <f t="shared" si="50"/>
        <v>1.5336286089238811</v>
      </c>
    </row>
    <row r="672" spans="1:13" customFormat="1">
      <c r="A672" s="241"/>
      <c r="B672" s="734"/>
      <c r="C672" s="238"/>
      <c r="D672" s="241"/>
      <c r="E672" s="241"/>
      <c r="F672" s="261"/>
      <c r="G672" s="241"/>
      <c r="H672" s="241"/>
      <c r="I672" s="1238"/>
      <c r="J672" s="244">
        <f>SUM(J671:J671)</f>
        <v>2243759.9999999949</v>
      </c>
      <c r="K672" s="743"/>
      <c r="L672" s="735">
        <v>1463040</v>
      </c>
      <c r="M672" s="736">
        <f t="shared" si="50"/>
        <v>1.5336286089238811</v>
      </c>
    </row>
    <row r="673" spans="1:13" customFormat="1">
      <c r="A673" s="241"/>
      <c r="B673" s="733" t="s">
        <v>1767</v>
      </c>
      <c r="C673" s="238"/>
      <c r="D673" s="331"/>
      <c r="E673" s="331"/>
      <c r="F673" s="261"/>
      <c r="G673" s="241"/>
      <c r="H673" s="241"/>
      <c r="I673" s="1238"/>
      <c r="J673" s="244"/>
      <c r="K673" s="743"/>
      <c r="L673" s="735"/>
      <c r="M673" s="736" t="e">
        <f t="shared" si="50"/>
        <v>#DIV/0!</v>
      </c>
    </row>
    <row r="674" spans="1:13" customFormat="1">
      <c r="A674" s="241"/>
      <c r="B674" s="734" t="s">
        <v>2050</v>
      </c>
      <c r="C674" s="238" t="s">
        <v>2051</v>
      </c>
      <c r="D674" s="241">
        <v>4871.3999999999996</v>
      </c>
      <c r="E674" s="241">
        <v>5134.7700000000004</v>
      </c>
      <c r="F674" s="261">
        <f>E674-D674</f>
        <v>263.3700000000008</v>
      </c>
      <c r="G674" s="241">
        <v>6000</v>
      </c>
      <c r="H674" s="241">
        <f>F674*G674</f>
        <v>1580220.0000000049</v>
      </c>
      <c r="I674" s="20"/>
      <c r="J674" s="244">
        <f>SUM(H674:I674)</f>
        <v>1580220.0000000049</v>
      </c>
      <c r="K674" s="743"/>
      <c r="L674" s="735">
        <v>1130340</v>
      </c>
      <c r="M674" s="736">
        <f t="shared" si="50"/>
        <v>1.3980041403471566</v>
      </c>
    </row>
    <row r="675" spans="1:13" customFormat="1">
      <c r="A675" s="241"/>
      <c r="B675" s="734" t="s">
        <v>2052</v>
      </c>
      <c r="C675" s="238" t="s">
        <v>2053</v>
      </c>
      <c r="D675" s="261">
        <v>1740.68</v>
      </c>
      <c r="E675" s="261">
        <v>1784.16</v>
      </c>
      <c r="F675" s="261">
        <f>E675-D675</f>
        <v>43.480000000000018</v>
      </c>
      <c r="G675" s="241">
        <v>6000</v>
      </c>
      <c r="H675" s="241">
        <f>F675*G675</f>
        <v>260880.00000000012</v>
      </c>
      <c r="I675" s="20">
        <v>34080.202999999899</v>
      </c>
      <c r="J675" s="244">
        <f>SUM(H675:I675)</f>
        <v>294960.20300000004</v>
      </c>
      <c r="K675" s="244" t="s">
        <v>2044</v>
      </c>
      <c r="L675" s="735">
        <v>191480.09280000001</v>
      </c>
      <c r="M675" s="736">
        <f t="shared" si="50"/>
        <v>1.540422289789072</v>
      </c>
    </row>
    <row r="676" spans="1:13" customFormat="1">
      <c r="A676" s="241"/>
      <c r="B676" s="734" t="s">
        <v>2054</v>
      </c>
      <c r="C676" s="238" t="s">
        <v>2055</v>
      </c>
      <c r="D676" s="261">
        <v>365.38</v>
      </c>
      <c r="E676" s="261">
        <v>425.13</v>
      </c>
      <c r="F676" s="261">
        <f>E676-D676</f>
        <v>59.75</v>
      </c>
      <c r="G676" s="241">
        <v>6000</v>
      </c>
      <c r="H676" s="241">
        <f>F676*G676</f>
        <v>358500</v>
      </c>
      <c r="I676" s="20"/>
      <c r="J676" s="244">
        <f>SUM(H676:I676)</f>
        <v>358500</v>
      </c>
      <c r="K676" s="244"/>
      <c r="L676" s="735">
        <v>112120.01059999999</v>
      </c>
      <c r="M676" s="736">
        <f t="shared" ref="M676:M686" si="54">J676/L676</f>
        <v>3.1974666973497414</v>
      </c>
    </row>
    <row r="677" spans="1:13" customFormat="1">
      <c r="A677" s="241"/>
      <c r="B677" s="734"/>
      <c r="C677" s="238"/>
      <c r="D677" s="261"/>
      <c r="E677" s="261"/>
      <c r="F677" s="261"/>
      <c r="G677" s="241"/>
      <c r="H677" s="241"/>
      <c r="I677" s="20"/>
      <c r="J677" s="244">
        <f>SUM(J674:J676)</f>
        <v>2233680.2030000049</v>
      </c>
      <c r="K677" s="244"/>
      <c r="L677" s="735">
        <v>1433940.1033999999</v>
      </c>
      <c r="M677" s="736">
        <f t="shared" si="54"/>
        <v>1.55772210966396</v>
      </c>
    </row>
    <row r="678" spans="1:13" customFormat="1">
      <c r="A678" s="1239">
        <v>12</v>
      </c>
      <c r="B678" s="732" t="s">
        <v>2056</v>
      </c>
      <c r="C678" s="238"/>
      <c r="D678" s="261"/>
      <c r="E678" s="261"/>
      <c r="F678" s="241"/>
      <c r="G678" s="241"/>
      <c r="H678" s="241"/>
      <c r="I678" s="20"/>
      <c r="J678" s="244"/>
      <c r="K678" s="743">
        <f>(J671-J677)/J671</f>
        <v>4.492368613394495E-3</v>
      </c>
      <c r="L678" s="735"/>
      <c r="M678" s="736" t="e">
        <f t="shared" si="54"/>
        <v>#DIV/0!</v>
      </c>
    </row>
    <row r="679" spans="1:13" customFormat="1" ht="15.75">
      <c r="A679" s="241">
        <v>1</v>
      </c>
      <c r="B679" s="734" t="s">
        <v>2057</v>
      </c>
      <c r="C679" s="241" t="s">
        <v>2058</v>
      </c>
      <c r="D679" s="838">
        <v>9029</v>
      </c>
      <c r="E679" s="838">
        <v>9292</v>
      </c>
      <c r="F679" s="261">
        <f>E679-D679</f>
        <v>263</v>
      </c>
      <c r="G679" s="241">
        <v>60</v>
      </c>
      <c r="H679" s="241">
        <f>F679*G679</f>
        <v>15780</v>
      </c>
      <c r="I679" s="1238">
        <v>1100000</v>
      </c>
      <c r="J679" s="244">
        <f>SUM(H679:I679)</f>
        <v>1115780</v>
      </c>
      <c r="K679" s="244"/>
      <c r="L679" s="735">
        <v>798660</v>
      </c>
      <c r="M679" s="736">
        <f t="shared" si="54"/>
        <v>1.3970650840157264</v>
      </c>
    </row>
    <row r="680" spans="1:13" customFormat="1" ht="15.75">
      <c r="A680" s="241">
        <v>1</v>
      </c>
      <c r="B680" s="734" t="s">
        <v>2059</v>
      </c>
      <c r="C680" s="241" t="s">
        <v>2060</v>
      </c>
      <c r="D680" s="838">
        <v>1704</v>
      </c>
      <c r="E680" s="838">
        <v>2821</v>
      </c>
      <c r="F680" s="261">
        <f>E680-D680</f>
        <v>1117</v>
      </c>
      <c r="G680" s="241">
        <v>60</v>
      </c>
      <c r="H680" s="241">
        <f>F680*G680</f>
        <v>67020</v>
      </c>
      <c r="I680" s="1238"/>
      <c r="J680" s="244">
        <f>SUM(H680:I680)</f>
        <v>67020</v>
      </c>
      <c r="K680" s="241"/>
      <c r="L680" s="735">
        <v>0</v>
      </c>
      <c r="M680" s="736" t="e">
        <f t="shared" si="54"/>
        <v>#DIV/0!</v>
      </c>
    </row>
    <row r="681" spans="1:13" customFormat="1">
      <c r="A681" s="241"/>
      <c r="B681" s="734"/>
      <c r="C681" s="238"/>
      <c r="D681" s="241"/>
      <c r="E681" s="241"/>
      <c r="F681" s="261"/>
      <c r="G681" s="241"/>
      <c r="H681" s="241"/>
      <c r="I681" s="1238"/>
      <c r="J681" s="244">
        <f>SUM(J679:J679)</f>
        <v>1115780</v>
      </c>
      <c r="K681" s="241"/>
      <c r="L681" s="735">
        <v>798660</v>
      </c>
      <c r="M681" s="736">
        <f t="shared" si="54"/>
        <v>1.3970650840157264</v>
      </c>
    </row>
    <row r="682" spans="1:13" customFormat="1">
      <c r="A682" s="241"/>
      <c r="B682" s="733" t="s">
        <v>1767</v>
      </c>
      <c r="C682" s="238"/>
      <c r="D682" s="331"/>
      <c r="E682" s="331"/>
      <c r="F682" s="241"/>
      <c r="G682" s="241"/>
      <c r="H682" s="241"/>
      <c r="I682" s="1238"/>
      <c r="J682" s="244"/>
      <c r="K682" s="241"/>
      <c r="L682" s="735"/>
      <c r="M682" s="736" t="e">
        <f t="shared" si="54"/>
        <v>#DIV/0!</v>
      </c>
    </row>
    <row r="683" spans="1:13" customFormat="1">
      <c r="A683" s="241">
        <v>52</v>
      </c>
      <c r="B683" s="734" t="s">
        <v>1451</v>
      </c>
      <c r="C683" s="241" t="s">
        <v>2061</v>
      </c>
      <c r="D683" s="241">
        <v>7778.5</v>
      </c>
      <c r="E683" s="241">
        <v>9333</v>
      </c>
      <c r="F683" s="261">
        <f>E683-D683</f>
        <v>1554.5</v>
      </c>
      <c r="G683" s="241">
        <v>40</v>
      </c>
      <c r="H683" s="244">
        <f>F683*G683</f>
        <v>62180</v>
      </c>
      <c r="I683" s="20">
        <v>830482</v>
      </c>
      <c r="J683" s="244">
        <f>SUM(H683:I683)</f>
        <v>892662</v>
      </c>
      <c r="K683" s="244"/>
      <c r="L683" s="735">
        <v>104469.7368</v>
      </c>
      <c r="M683" s="736">
        <f t="shared" si="54"/>
        <v>8.5446946392613103</v>
      </c>
    </row>
    <row r="684" spans="1:13" customFormat="1">
      <c r="A684" s="241">
        <v>53</v>
      </c>
      <c r="B684" s="734" t="s">
        <v>1452</v>
      </c>
      <c r="C684" s="241" t="s">
        <v>2062</v>
      </c>
      <c r="D684" s="261">
        <v>0</v>
      </c>
      <c r="E684" s="261">
        <v>20</v>
      </c>
      <c r="F684" s="261">
        <f>E684-D684</f>
        <v>20</v>
      </c>
      <c r="G684" s="241">
        <v>40</v>
      </c>
      <c r="H684" s="244">
        <f>F684*G684</f>
        <v>800</v>
      </c>
      <c r="I684" s="1238"/>
      <c r="J684" s="244">
        <f t="shared" ref="J684" si="55">SUM(H684:I684)</f>
        <v>800</v>
      </c>
      <c r="K684" s="244" t="s">
        <v>2044</v>
      </c>
      <c r="L684" s="735">
        <v>0</v>
      </c>
      <c r="M684" s="736" t="e">
        <f t="shared" si="54"/>
        <v>#DIV/0!</v>
      </c>
    </row>
    <row r="685" spans="1:13" customFormat="1">
      <c r="A685" s="241">
        <v>54</v>
      </c>
      <c r="B685" s="734" t="s">
        <v>2045</v>
      </c>
      <c r="C685" s="241" t="s">
        <v>2063</v>
      </c>
      <c r="D685" s="261">
        <v>56.5</v>
      </c>
      <c r="E685" s="261">
        <v>56.5</v>
      </c>
      <c r="F685" s="261">
        <f>E685-D685</f>
        <v>0</v>
      </c>
      <c r="G685" s="241">
        <v>40</v>
      </c>
      <c r="H685" s="241">
        <f>F685*G685</f>
        <v>0</v>
      </c>
      <c r="I685" s="20">
        <v>70190</v>
      </c>
      <c r="J685" s="244">
        <f>H686+I685</f>
        <v>71550</v>
      </c>
      <c r="K685" s="244"/>
      <c r="L685" s="735">
        <v>24238.716479999999</v>
      </c>
      <c r="M685" s="736">
        <f t="shared" si="54"/>
        <v>2.9518889772500034</v>
      </c>
    </row>
    <row r="686" spans="1:13" customFormat="1">
      <c r="A686" s="241"/>
      <c r="B686" s="734" t="s">
        <v>2045</v>
      </c>
      <c r="C686" s="241" t="s">
        <v>2063</v>
      </c>
      <c r="D686" s="261">
        <v>185.5</v>
      </c>
      <c r="E686" s="261">
        <v>219.5</v>
      </c>
      <c r="F686" s="261">
        <f>E686-D686</f>
        <v>34</v>
      </c>
      <c r="G686" s="241">
        <v>40</v>
      </c>
      <c r="H686" s="241">
        <f>F686*G686</f>
        <v>1360</v>
      </c>
      <c r="I686" s="20"/>
      <c r="J686" s="244"/>
      <c r="K686" s="241"/>
      <c r="L686" s="735">
        <v>654705.08934399998</v>
      </c>
      <c r="M686" s="736">
        <f t="shared" si="54"/>
        <v>0</v>
      </c>
    </row>
    <row r="687" spans="1:13" customFormat="1">
      <c r="A687" s="241"/>
      <c r="B687" s="734" t="s">
        <v>2064</v>
      </c>
      <c r="C687" s="241" t="s">
        <v>2065</v>
      </c>
      <c r="D687" s="261">
        <v>1173.5</v>
      </c>
      <c r="E687" s="261">
        <v>1465.5</v>
      </c>
      <c r="F687" s="261">
        <f>E687-D687</f>
        <v>292</v>
      </c>
      <c r="G687" s="241">
        <v>40</v>
      </c>
      <c r="H687" s="241">
        <f>F687*G687</f>
        <v>11680</v>
      </c>
      <c r="I687" s="20">
        <v>118636</v>
      </c>
      <c r="J687" s="244">
        <f>SUM(H687:I687)</f>
        <v>130316</v>
      </c>
      <c r="K687" s="241"/>
      <c r="L687" s="735"/>
      <c r="M687" s="736"/>
    </row>
    <row r="688" spans="1:13" customFormat="1">
      <c r="A688" s="241"/>
      <c r="B688" s="734"/>
      <c r="C688" s="238"/>
      <c r="D688" s="331"/>
      <c r="E688" s="331"/>
      <c r="F688" s="261"/>
      <c r="G688" s="241"/>
      <c r="H688" s="241"/>
      <c r="I688" s="1238"/>
      <c r="J688" s="244">
        <f>J683+J684+J685+J687</f>
        <v>1095328</v>
      </c>
      <c r="K688" s="743">
        <f>(J681-J688)/J681</f>
        <v>1.8329778271702308E-2</v>
      </c>
      <c r="L688" s="735">
        <v>783413.54262399999</v>
      </c>
      <c r="M688" s="736">
        <f>J687/L688</f>
        <v>0.16634381831530998</v>
      </c>
    </row>
    <row r="689" spans="1:13" customFormat="1">
      <c r="A689" s="1239">
        <v>13</v>
      </c>
      <c r="B689" s="732" t="s">
        <v>2066</v>
      </c>
      <c r="C689" s="238"/>
      <c r="D689" s="331"/>
      <c r="E689" s="331"/>
      <c r="F689" s="261"/>
      <c r="G689" s="241"/>
      <c r="H689" s="241"/>
      <c r="I689" s="1238"/>
      <c r="J689" s="244"/>
      <c r="K689" s="241"/>
      <c r="L689" s="735"/>
      <c r="M689" s="736"/>
    </row>
    <row r="690" spans="1:13" customFormat="1">
      <c r="A690" s="241">
        <v>1</v>
      </c>
      <c r="B690" s="734" t="s">
        <v>1479</v>
      </c>
      <c r="C690" s="238"/>
      <c r="D690" s="331"/>
      <c r="E690" s="331"/>
      <c r="F690" s="261"/>
      <c r="G690" s="241"/>
      <c r="H690" s="241"/>
      <c r="I690" s="20">
        <v>710820.50815999997</v>
      </c>
      <c r="J690" s="244">
        <f>H690+I690</f>
        <v>710820.50815999997</v>
      </c>
      <c r="K690" s="241"/>
      <c r="L690" s="735"/>
      <c r="M690" s="736"/>
    </row>
    <row r="691" spans="1:13" customFormat="1">
      <c r="A691" s="241"/>
      <c r="B691" s="734"/>
      <c r="C691" s="238"/>
      <c r="D691" s="331"/>
      <c r="E691" s="331"/>
      <c r="F691" s="261"/>
      <c r="G691" s="241"/>
      <c r="H691" s="241"/>
      <c r="I691" s="20"/>
      <c r="J691" s="244">
        <f>SUM(J690)</f>
        <v>710820.50815999997</v>
      </c>
      <c r="K691" s="241"/>
      <c r="L691" s="735"/>
      <c r="M691" s="736"/>
    </row>
    <row r="692" spans="1:13" customFormat="1">
      <c r="A692" s="241"/>
      <c r="B692" s="734" t="s">
        <v>2067</v>
      </c>
      <c r="C692" s="238"/>
      <c r="D692" s="331"/>
      <c r="E692" s="331"/>
      <c r="F692" s="261"/>
      <c r="G692" s="241"/>
      <c r="H692" s="241"/>
      <c r="I692" s="20">
        <v>703820.50815999997</v>
      </c>
      <c r="J692" s="244">
        <f>H692+I692</f>
        <v>703820.50815999997</v>
      </c>
      <c r="K692" s="241"/>
      <c r="L692" s="735"/>
      <c r="M692" s="736"/>
    </row>
    <row r="693" spans="1:13" customFormat="1">
      <c r="A693" s="241"/>
      <c r="B693" s="734"/>
      <c r="C693" s="238"/>
      <c r="D693" s="331"/>
      <c r="E693" s="331"/>
      <c r="F693" s="261"/>
      <c r="G693" s="241"/>
      <c r="H693" s="241"/>
      <c r="I693" s="1238"/>
      <c r="J693" s="244">
        <f>SUM(J692)</f>
        <v>703820.50815999997</v>
      </c>
      <c r="K693" s="743">
        <f>(J691-J693)/J691</f>
        <v>9.8477743954235447E-3</v>
      </c>
      <c r="L693" s="735"/>
      <c r="M693" s="736"/>
    </row>
    <row r="694" spans="1:13" customFormat="1">
      <c r="A694" s="241" t="s">
        <v>2068</v>
      </c>
      <c r="B694" s="734" t="s">
        <v>2069</v>
      </c>
      <c r="C694" s="238">
        <v>3628907</v>
      </c>
      <c r="D694" s="839">
        <v>441220.3</v>
      </c>
      <c r="E694" s="839">
        <v>441220.3</v>
      </c>
      <c r="F694" s="261">
        <f>E694-D694</f>
        <v>0</v>
      </c>
      <c r="G694" s="241">
        <v>1</v>
      </c>
      <c r="H694" s="244">
        <f>F694*G694</f>
        <v>0</v>
      </c>
      <c r="I694" s="241">
        <v>0</v>
      </c>
      <c r="J694" s="244">
        <f>H694+I694</f>
        <v>0</v>
      </c>
      <c r="K694" s="743"/>
      <c r="L694" s="735">
        <v>0</v>
      </c>
      <c r="M694" s="736" t="e">
        <f>J688/L694</f>
        <v>#DIV/0!</v>
      </c>
    </row>
    <row r="695" spans="1:13" customFormat="1">
      <c r="A695" s="241"/>
      <c r="B695" s="734" t="s">
        <v>5</v>
      </c>
      <c r="C695" s="238"/>
      <c r="D695" s="839"/>
      <c r="E695" s="839"/>
      <c r="F695" s="261"/>
      <c r="G695" s="241"/>
      <c r="H695" s="241"/>
      <c r="I695" s="1238"/>
      <c r="J695" s="241"/>
      <c r="K695" s="241"/>
      <c r="L695" s="735"/>
      <c r="M695" s="736" t="e">
        <f t="shared" ref="M695:M703" si="56">J694/L695</f>
        <v>#DIV/0!</v>
      </c>
    </row>
    <row r="696" spans="1:13" customFormat="1">
      <c r="A696" s="241">
        <v>1</v>
      </c>
      <c r="B696" s="840" t="s">
        <v>2070</v>
      </c>
      <c r="C696" s="238" t="s">
        <v>338</v>
      </c>
      <c r="D696" s="241">
        <v>39360</v>
      </c>
      <c r="E696" s="241">
        <v>40360</v>
      </c>
      <c r="F696" s="261">
        <f>E696-D696</f>
        <v>1000</v>
      </c>
      <c r="G696" s="241">
        <v>20</v>
      </c>
      <c r="H696" s="241">
        <f>F696*G696</f>
        <v>20000</v>
      </c>
      <c r="I696" s="1238"/>
      <c r="J696" s="244">
        <f>SUM(H696:I696)</f>
        <v>20000</v>
      </c>
      <c r="K696" s="247"/>
      <c r="L696" s="735">
        <v>14000</v>
      </c>
      <c r="M696" s="736">
        <f t="shared" si="56"/>
        <v>0</v>
      </c>
    </row>
    <row r="697" spans="1:13" customFormat="1">
      <c r="A697" s="241">
        <v>2</v>
      </c>
      <c r="B697" s="734" t="s">
        <v>2071</v>
      </c>
      <c r="C697" s="238" t="s">
        <v>2072</v>
      </c>
      <c r="D697" s="241">
        <v>26601.3</v>
      </c>
      <c r="E697" s="241">
        <v>26601.3</v>
      </c>
      <c r="F697" s="241">
        <f>E697-D697</f>
        <v>0</v>
      </c>
      <c r="G697" s="241">
        <v>2000</v>
      </c>
      <c r="H697" s="241">
        <f>F697*G697</f>
        <v>0</v>
      </c>
      <c r="I697" s="244">
        <v>325152.00000000006</v>
      </c>
      <c r="J697" s="244">
        <f>H697+I697</f>
        <v>325152.00000000006</v>
      </c>
      <c r="K697" s="247"/>
      <c r="L697" s="735">
        <v>206135.99999999901</v>
      </c>
      <c r="M697" s="736">
        <f t="shared" si="56"/>
        <v>9.7023324407187958E-2</v>
      </c>
    </row>
    <row r="698" spans="1:13" customFormat="1">
      <c r="A698" s="241">
        <v>3</v>
      </c>
      <c r="B698" s="734" t="s">
        <v>2073</v>
      </c>
      <c r="C698" s="238" t="s">
        <v>2074</v>
      </c>
      <c r="D698" s="261">
        <v>47960.5</v>
      </c>
      <c r="E698" s="261">
        <v>47960.5</v>
      </c>
      <c r="F698" s="241">
        <f>E698-D698</f>
        <v>0</v>
      </c>
      <c r="G698" s="241">
        <v>2000</v>
      </c>
      <c r="H698" s="241">
        <f>F698*G698</f>
        <v>0</v>
      </c>
      <c r="I698" s="241"/>
      <c r="J698" s="241">
        <f>H698+I698</f>
        <v>0</v>
      </c>
      <c r="K698" s="241"/>
      <c r="L698" s="735">
        <v>0</v>
      </c>
      <c r="M698" s="736" t="e">
        <f t="shared" si="56"/>
        <v>#DIV/0!</v>
      </c>
    </row>
    <row r="699" spans="1:13" customFormat="1">
      <c r="A699" s="241"/>
      <c r="B699" s="734" t="s">
        <v>2001</v>
      </c>
      <c r="C699" s="238"/>
      <c r="D699" s="261"/>
      <c r="E699" s="261"/>
      <c r="F699" s="241"/>
      <c r="G699" s="241"/>
      <c r="H699" s="241"/>
      <c r="I699" s="241"/>
      <c r="J699" s="244">
        <f>J620</f>
        <v>0</v>
      </c>
      <c r="K699" s="244"/>
      <c r="L699" s="735">
        <v>50000</v>
      </c>
      <c r="M699" s="736">
        <f t="shared" si="56"/>
        <v>0</v>
      </c>
    </row>
    <row r="700" spans="1:13" customFormat="1">
      <c r="A700" s="241"/>
      <c r="B700" s="238"/>
      <c r="C700" s="238"/>
      <c r="D700" s="241"/>
      <c r="E700" s="241"/>
      <c r="F700" s="241"/>
      <c r="G700" s="241"/>
      <c r="H700" s="241"/>
      <c r="I700" s="1238"/>
      <c r="J700" s="349">
        <f>SUM(J696:J699)</f>
        <v>345152.00000000006</v>
      </c>
      <c r="K700" s="244"/>
      <c r="L700" s="735">
        <v>270135.99999999901</v>
      </c>
      <c r="M700" s="736">
        <f t="shared" si="56"/>
        <v>0</v>
      </c>
    </row>
    <row r="701" spans="1:13" customFormat="1">
      <c r="A701" s="241"/>
      <c r="B701" s="238" t="s">
        <v>2075</v>
      </c>
      <c r="C701" s="238"/>
      <c r="D701" s="241"/>
      <c r="E701" s="241"/>
      <c r="F701" s="241"/>
      <c r="G701" s="241"/>
      <c r="H701" s="241"/>
      <c r="I701" s="20"/>
      <c r="J701" s="244">
        <f>J538+J552+J566+J576+J593+J603+J612+J625+J637+J646+J654+J663+J694+J672-J700</f>
        <v>39518910.000000104</v>
      </c>
      <c r="K701" s="241"/>
      <c r="L701" s="735">
        <v>30287386</v>
      </c>
      <c r="M701" s="736">
        <f t="shared" si="56"/>
        <v>1.1395899269748801E-2</v>
      </c>
    </row>
    <row r="702" spans="1:13" customFormat="1">
      <c r="A702" s="241"/>
      <c r="B702" s="238" t="s">
        <v>2076</v>
      </c>
      <c r="C702" s="238"/>
      <c r="D702" s="241"/>
      <c r="E702" s="241"/>
      <c r="F702" s="841"/>
      <c r="G702" s="241"/>
      <c r="H702" s="241"/>
      <c r="I702" s="241"/>
      <c r="J702" s="349">
        <f>J545+J562+J571+J588+J599+J608+J621+J632+J643+J651+J659+J669+J694+J677-J700</f>
        <v>39174356.576299928</v>
      </c>
      <c r="K702" s="743">
        <f>(J701-J702)/J701</f>
        <v>8.7186975475835558E-3</v>
      </c>
      <c r="L702" s="735">
        <v>29834033.351236001</v>
      </c>
      <c r="M702" s="736">
        <f t="shared" si="56"/>
        <v>1.3246251197330268</v>
      </c>
    </row>
    <row r="703" spans="1:13" customFormat="1">
      <c r="A703" s="190"/>
      <c r="B703" s="842" t="s">
        <v>2077</v>
      </c>
      <c r="C703" s="842" t="s">
        <v>2078</v>
      </c>
      <c r="D703" s="190"/>
      <c r="E703" s="190"/>
      <c r="F703" s="190"/>
      <c r="G703" s="190"/>
      <c r="H703" s="843"/>
      <c r="I703" s="386"/>
      <c r="J703" s="844">
        <f>J154+J249+J525+J701</f>
        <v>138277084.00000024</v>
      </c>
      <c r="K703" s="241"/>
      <c r="L703" s="735">
        <v>99970282.017399698</v>
      </c>
      <c r="M703" s="736">
        <f t="shared" si="56"/>
        <v>0.39186001865516074</v>
      </c>
    </row>
    <row r="704" spans="1:13" customFormat="1">
      <c r="A704" s="386"/>
      <c r="B704" s="724"/>
      <c r="C704" s="386"/>
      <c r="D704" s="386"/>
      <c r="E704" s="386"/>
      <c r="F704" s="386"/>
      <c r="G704" s="386"/>
      <c r="H704" s="386">
        <f>I692/30</f>
        <v>23460.683605333332</v>
      </c>
      <c r="I704" s="386"/>
      <c r="J704" s="844">
        <f>J155+J250+J526+J702</f>
        <v>140967461.02125615</v>
      </c>
      <c r="K704" s="843"/>
      <c r="L704" s="735">
        <v>98600408.485119</v>
      </c>
      <c r="M704" s="386">
        <f>J704-L713</f>
        <v>140967461.02125615</v>
      </c>
    </row>
    <row r="705" spans="1:1025">
      <c r="A705"/>
      <c r="B705"/>
      <c r="C705"/>
      <c r="D705" s="845"/>
      <c r="E705" s="845"/>
      <c r="H705" s="386">
        <f>H704*14</f>
        <v>328449.57047466666</v>
      </c>
      <c r="I705" s="386">
        <f>I697*1.11</f>
        <v>360918.72000000009</v>
      </c>
      <c r="L705" s="73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  <c r="FK705"/>
      <c r="FL705"/>
      <c r="FM705"/>
      <c r="FN705"/>
      <c r="FO705"/>
      <c r="FP705"/>
      <c r="FQ705"/>
      <c r="FR705"/>
      <c r="FS705"/>
      <c r="FT705"/>
      <c r="FU705"/>
      <c r="FV705"/>
      <c r="FW705"/>
      <c r="FX705"/>
      <c r="FY705"/>
      <c r="FZ705"/>
      <c r="GA705"/>
      <c r="GB705"/>
      <c r="GC705"/>
      <c r="GD705"/>
      <c r="GE705"/>
      <c r="GF705"/>
      <c r="GG705"/>
      <c r="GH705"/>
      <c r="GI705"/>
      <c r="GJ705"/>
      <c r="GK705"/>
      <c r="GL705"/>
      <c r="GM705"/>
      <c r="GN705"/>
      <c r="GO705"/>
      <c r="GP705"/>
      <c r="GQ705"/>
      <c r="GR705"/>
      <c r="GS705"/>
      <c r="GT705"/>
      <c r="GU705"/>
      <c r="GV705"/>
      <c r="GW705"/>
      <c r="GX705"/>
      <c r="GY705"/>
      <c r="GZ705"/>
      <c r="HA705"/>
      <c r="HB705"/>
      <c r="HC705"/>
      <c r="HD705"/>
      <c r="HE705"/>
      <c r="HF705"/>
      <c r="HG705"/>
      <c r="HH705"/>
      <c r="HI705"/>
      <c r="HJ705"/>
      <c r="HK705"/>
      <c r="HL705"/>
      <c r="HM705"/>
      <c r="HN705"/>
      <c r="HO705"/>
      <c r="HP705"/>
      <c r="HQ705"/>
      <c r="HR705"/>
      <c r="HS705"/>
      <c r="HT705"/>
      <c r="HU705"/>
      <c r="HV705"/>
      <c r="HW705"/>
      <c r="HX705"/>
      <c r="HY705"/>
      <c r="HZ705"/>
      <c r="IA705"/>
      <c r="IB705"/>
      <c r="IC705"/>
      <c r="ID705"/>
      <c r="IE705"/>
      <c r="IF705"/>
      <c r="IG705"/>
      <c r="IH705"/>
      <c r="II705"/>
      <c r="IJ705"/>
      <c r="IK705"/>
      <c r="IL705"/>
      <c r="IM705"/>
      <c r="IN705"/>
      <c r="IO705"/>
      <c r="IP705"/>
      <c r="IQ705"/>
      <c r="IR705"/>
      <c r="IS705"/>
      <c r="IT705"/>
      <c r="IU705"/>
      <c r="IV705"/>
      <c r="IW705"/>
      <c r="IX705"/>
      <c r="IY705"/>
      <c r="IZ705"/>
      <c r="JA705"/>
      <c r="JB705"/>
      <c r="JC705"/>
      <c r="JD705"/>
      <c r="JE705"/>
      <c r="JF705"/>
      <c r="JG705"/>
      <c r="JH705"/>
      <c r="JI705"/>
      <c r="JJ705"/>
      <c r="JK705"/>
      <c r="JL705"/>
      <c r="JM705"/>
      <c r="JN705"/>
      <c r="JO705"/>
      <c r="JP705"/>
      <c r="JQ705"/>
      <c r="JR705"/>
      <c r="JS705"/>
      <c r="JT705"/>
      <c r="JU705"/>
      <c r="JV705"/>
      <c r="JW705"/>
      <c r="JX705"/>
      <c r="JY705"/>
      <c r="JZ705"/>
      <c r="KA705"/>
      <c r="KB705"/>
      <c r="KC705"/>
      <c r="KD705"/>
      <c r="KE705"/>
      <c r="KF705"/>
      <c r="KG705"/>
      <c r="KH705"/>
      <c r="KI705"/>
      <c r="KJ705"/>
      <c r="KK705"/>
      <c r="KL705"/>
      <c r="KM705"/>
      <c r="KN705"/>
      <c r="KO705"/>
      <c r="KP705"/>
      <c r="KQ705"/>
      <c r="KR705"/>
      <c r="KS705"/>
      <c r="KT705"/>
      <c r="KU705"/>
      <c r="KV705"/>
      <c r="KW705"/>
      <c r="KX705"/>
      <c r="KY705"/>
      <c r="KZ705"/>
      <c r="LA705"/>
      <c r="LB705"/>
      <c r="LC705"/>
      <c r="LD705"/>
      <c r="LE705"/>
      <c r="LF705"/>
      <c r="LG705"/>
      <c r="LH705"/>
      <c r="LI705"/>
      <c r="LJ705"/>
      <c r="LK705"/>
      <c r="LL705"/>
      <c r="LM705"/>
      <c r="LN705"/>
      <c r="LO705"/>
      <c r="LP705"/>
      <c r="LQ705"/>
      <c r="LR705"/>
      <c r="LS705"/>
      <c r="LT705"/>
      <c r="LU705"/>
      <c r="LV705"/>
      <c r="LW705"/>
      <c r="LX705"/>
      <c r="LY705"/>
      <c r="LZ705"/>
      <c r="MA705"/>
      <c r="MB705"/>
      <c r="MC705"/>
      <c r="MD705"/>
      <c r="ME705"/>
      <c r="MF705"/>
      <c r="MG705"/>
      <c r="MH705"/>
      <c r="MI705"/>
      <c r="MJ705"/>
      <c r="MK705"/>
      <c r="ML705"/>
      <c r="MM705"/>
      <c r="MN705"/>
      <c r="MO705"/>
      <c r="MP705"/>
      <c r="MQ705"/>
      <c r="MR705"/>
      <c r="MS705"/>
      <c r="MT705"/>
      <c r="MU705"/>
      <c r="MV705"/>
      <c r="MW705"/>
      <c r="MX705"/>
      <c r="MY705"/>
      <c r="MZ705"/>
      <c r="NA705"/>
      <c r="NB705"/>
      <c r="NC705"/>
      <c r="ND705"/>
      <c r="NE705"/>
      <c r="NF705"/>
      <c r="NG705"/>
      <c r="NH705"/>
      <c r="NI705"/>
      <c r="NJ705"/>
      <c r="NK705"/>
      <c r="NL705"/>
      <c r="NM705"/>
      <c r="NN705"/>
      <c r="NO705"/>
      <c r="NP705"/>
      <c r="NQ705"/>
      <c r="NR705"/>
      <c r="NS705"/>
      <c r="NT705"/>
      <c r="NU705"/>
      <c r="NV705"/>
      <c r="NW705"/>
      <c r="NX705"/>
      <c r="NY705"/>
      <c r="NZ705"/>
      <c r="OA705"/>
      <c r="OB705"/>
      <c r="OC705"/>
      <c r="OD705"/>
      <c r="OE705"/>
      <c r="OF705"/>
      <c r="OG705"/>
      <c r="OH705"/>
      <c r="OI705"/>
      <c r="OJ705"/>
      <c r="OK705"/>
      <c r="OL705"/>
      <c r="OM705"/>
      <c r="ON705"/>
      <c r="OO705"/>
      <c r="OP705"/>
      <c r="OQ705"/>
      <c r="OR705"/>
      <c r="OS705"/>
      <c r="OT705"/>
      <c r="OU705"/>
      <c r="OV705"/>
      <c r="OW705"/>
      <c r="OX705"/>
      <c r="OY705"/>
      <c r="OZ705"/>
      <c r="PA705"/>
      <c r="PB705"/>
      <c r="PC705"/>
      <c r="PD705"/>
      <c r="PE705"/>
      <c r="PF705"/>
      <c r="PG705"/>
      <c r="PH705"/>
      <c r="PI705"/>
      <c r="PJ705"/>
      <c r="PK705"/>
      <c r="PL705"/>
      <c r="PM705"/>
      <c r="PN705"/>
      <c r="PO705"/>
      <c r="PP705"/>
      <c r="PQ705"/>
      <c r="PR705"/>
      <c r="PS705"/>
      <c r="PT705"/>
      <c r="PU705"/>
      <c r="PV705"/>
      <c r="PW705"/>
      <c r="PX705"/>
      <c r="PY705"/>
      <c r="PZ705"/>
      <c r="QA705"/>
      <c r="QB705"/>
      <c r="QC705"/>
      <c r="QD705"/>
      <c r="QE705"/>
      <c r="QF705"/>
      <c r="QG705"/>
      <c r="QH705"/>
      <c r="QI705"/>
      <c r="QJ705"/>
      <c r="QK705"/>
      <c r="QL705"/>
      <c r="QM705"/>
      <c r="QN705"/>
      <c r="QO705"/>
      <c r="QP705"/>
      <c r="QQ705"/>
      <c r="QR705"/>
      <c r="QS705"/>
      <c r="QT705"/>
      <c r="QU705"/>
      <c r="QV705"/>
      <c r="QW705"/>
      <c r="QX705"/>
      <c r="QY705"/>
      <c r="QZ705"/>
      <c r="RA705"/>
      <c r="RB705"/>
      <c r="RC705"/>
      <c r="RD705"/>
      <c r="RE705"/>
      <c r="RF705"/>
      <c r="RG705"/>
      <c r="RH705"/>
      <c r="RI705"/>
      <c r="RJ705"/>
      <c r="RK705"/>
      <c r="RL705"/>
      <c r="RM705"/>
      <c r="RN705"/>
      <c r="RO705"/>
      <c r="RP705"/>
      <c r="RQ705"/>
      <c r="RR705"/>
      <c r="RS705"/>
      <c r="RT705"/>
      <c r="RU705"/>
      <c r="RV705"/>
      <c r="RW705"/>
      <c r="RX705"/>
      <c r="RY705"/>
      <c r="RZ705"/>
      <c r="SA705"/>
      <c r="SB705"/>
      <c r="SC705"/>
      <c r="SD705"/>
      <c r="SE705"/>
      <c r="SF705"/>
      <c r="SG705"/>
      <c r="SH705"/>
      <c r="SI705"/>
      <c r="SJ705"/>
      <c r="SK705"/>
      <c r="SL705"/>
      <c r="SM705"/>
      <c r="SN705"/>
      <c r="SO705"/>
      <c r="SP705"/>
      <c r="SQ705"/>
      <c r="SR705"/>
      <c r="SS705"/>
      <c r="ST705"/>
      <c r="SU705"/>
      <c r="SV705"/>
      <c r="SW705"/>
      <c r="SX705"/>
      <c r="SY705"/>
      <c r="SZ705"/>
      <c r="TA705"/>
      <c r="TB705"/>
      <c r="TC705"/>
      <c r="TD705"/>
      <c r="TE705"/>
      <c r="TF705"/>
      <c r="TG705"/>
      <c r="TH705"/>
      <c r="TI705"/>
      <c r="TJ705"/>
      <c r="TK705"/>
      <c r="TL705"/>
      <c r="TM705"/>
      <c r="TN705"/>
      <c r="TO705"/>
      <c r="TP705"/>
      <c r="TQ705"/>
      <c r="TR705"/>
      <c r="TS705"/>
      <c r="TT705"/>
      <c r="TU705"/>
      <c r="TV705"/>
      <c r="TW705"/>
      <c r="TX705"/>
      <c r="TY705"/>
      <c r="TZ705"/>
      <c r="UA705"/>
      <c r="UB705"/>
      <c r="UC705"/>
      <c r="UD705"/>
      <c r="UE705"/>
      <c r="UF705"/>
      <c r="UG705"/>
      <c r="UH705"/>
      <c r="UI705"/>
      <c r="UJ705"/>
      <c r="UK705"/>
      <c r="UL705"/>
      <c r="UM705"/>
      <c r="UN705"/>
      <c r="UO705"/>
      <c r="UP705"/>
      <c r="UQ705"/>
      <c r="UR705"/>
      <c r="US705"/>
      <c r="UT705"/>
      <c r="UU705"/>
      <c r="UV705"/>
      <c r="UW705"/>
      <c r="UX705"/>
      <c r="UY705"/>
      <c r="UZ705"/>
      <c r="VA705"/>
      <c r="VB705"/>
      <c r="VC705"/>
      <c r="VD705"/>
      <c r="VE705"/>
      <c r="VF705"/>
      <c r="VG705"/>
      <c r="VH705"/>
      <c r="VI705"/>
      <c r="VJ705"/>
      <c r="VK705"/>
      <c r="VL705"/>
      <c r="VM705"/>
      <c r="VN705"/>
      <c r="VO705"/>
      <c r="VP705"/>
      <c r="VQ705"/>
      <c r="VR705"/>
      <c r="VS705"/>
      <c r="VT705"/>
      <c r="VU705"/>
      <c r="VV705"/>
      <c r="VW705"/>
      <c r="VX705"/>
      <c r="VY705"/>
      <c r="VZ705"/>
      <c r="WA705"/>
      <c r="WB705"/>
      <c r="WC705"/>
      <c r="WD705"/>
      <c r="WE705"/>
      <c r="WF705"/>
      <c r="WG705"/>
      <c r="WH705"/>
      <c r="WI705"/>
      <c r="WJ705"/>
      <c r="WK705"/>
      <c r="WL705"/>
      <c r="WM705"/>
      <c r="WN705"/>
      <c r="WO705"/>
      <c r="WP705"/>
      <c r="WQ705"/>
      <c r="WR705"/>
      <c r="WS705"/>
      <c r="WT705"/>
      <c r="WU705"/>
      <c r="WV705"/>
      <c r="WW705"/>
      <c r="WX705"/>
      <c r="WY705"/>
      <c r="WZ705"/>
      <c r="XA705"/>
      <c r="XB705"/>
      <c r="XC705"/>
      <c r="XD705"/>
      <c r="XE705"/>
      <c r="XF705"/>
      <c r="XG705"/>
      <c r="XH705"/>
      <c r="XI705"/>
      <c r="XJ705"/>
      <c r="XK705"/>
      <c r="XL705"/>
      <c r="XM705"/>
      <c r="XN705"/>
      <c r="XO705"/>
      <c r="XP705"/>
      <c r="XQ705"/>
      <c r="XR705"/>
      <c r="XS705"/>
      <c r="XT705"/>
      <c r="XU705"/>
      <c r="XV705"/>
      <c r="XW705"/>
      <c r="XX705"/>
      <c r="XY705"/>
      <c r="XZ705"/>
      <c r="YA705"/>
      <c r="YB705"/>
      <c r="YC705"/>
      <c r="YD705"/>
      <c r="YE705"/>
      <c r="YF705"/>
      <c r="YG705"/>
      <c r="YH705"/>
      <c r="YI705"/>
      <c r="YJ705"/>
      <c r="YK705"/>
      <c r="YL705"/>
      <c r="YM705"/>
      <c r="YN705"/>
      <c r="YO705"/>
      <c r="YP705"/>
      <c r="YQ705"/>
      <c r="YR705"/>
      <c r="YS705"/>
      <c r="YT705"/>
      <c r="YU705"/>
      <c r="YV705"/>
      <c r="YW705"/>
      <c r="YX705"/>
      <c r="YY705"/>
      <c r="YZ705"/>
      <c r="ZA705"/>
      <c r="ZB705"/>
      <c r="ZC705"/>
      <c r="ZD705"/>
      <c r="ZE705"/>
      <c r="ZF705"/>
      <c r="ZG705"/>
      <c r="ZH705"/>
      <c r="ZI705"/>
      <c r="ZJ705"/>
      <c r="ZK705"/>
      <c r="ZL705"/>
      <c r="ZM705"/>
      <c r="ZN705"/>
      <c r="ZO705"/>
      <c r="ZP705"/>
      <c r="ZQ705"/>
      <c r="ZR705"/>
      <c r="ZS705"/>
      <c r="ZT705"/>
      <c r="ZU705"/>
      <c r="ZV705"/>
      <c r="ZW705"/>
      <c r="ZX705"/>
      <c r="ZY705"/>
      <c r="ZZ705"/>
      <c r="AAA705"/>
      <c r="AAB705"/>
      <c r="AAC705"/>
      <c r="AAD705"/>
      <c r="AAE705"/>
      <c r="AAF705"/>
      <c r="AAG705"/>
      <c r="AAH705"/>
      <c r="AAI705"/>
      <c r="AAJ705"/>
      <c r="AAK705"/>
      <c r="AAL705"/>
      <c r="AAM705"/>
      <c r="AAN705"/>
      <c r="AAO705"/>
      <c r="AAP705"/>
      <c r="AAQ705"/>
      <c r="AAR705"/>
      <c r="AAS705"/>
      <c r="AAT705"/>
      <c r="AAU705"/>
      <c r="AAV705"/>
      <c r="AAW705"/>
      <c r="AAX705"/>
      <c r="AAY705"/>
      <c r="AAZ705"/>
      <c r="ABA705"/>
      <c r="ABB705"/>
      <c r="ABC705"/>
      <c r="ABD705"/>
      <c r="ABE705"/>
      <c r="ABF705"/>
      <c r="ABG705"/>
      <c r="ABH705"/>
      <c r="ABI705"/>
      <c r="ABJ705"/>
      <c r="ABK705"/>
      <c r="ABL705"/>
      <c r="ABM705"/>
      <c r="ABN705"/>
      <c r="ABO705"/>
      <c r="ABP705"/>
      <c r="ABQ705"/>
      <c r="ABR705"/>
      <c r="ABS705"/>
      <c r="ABT705"/>
      <c r="ABU705"/>
      <c r="ABV705"/>
      <c r="ABW705"/>
      <c r="ABX705"/>
      <c r="ABY705"/>
      <c r="ABZ705"/>
      <c r="ACA705"/>
      <c r="ACB705"/>
      <c r="ACC705"/>
      <c r="ACD705"/>
      <c r="ACE705"/>
      <c r="ACF705"/>
      <c r="ACG705"/>
      <c r="ACH705"/>
      <c r="ACI705"/>
      <c r="ACJ705"/>
      <c r="ACK705"/>
      <c r="ACL705"/>
      <c r="ACM705"/>
      <c r="ACN705"/>
      <c r="ACO705"/>
      <c r="ACP705"/>
      <c r="ACQ705"/>
      <c r="ACR705"/>
      <c r="ACS705"/>
      <c r="ACT705"/>
      <c r="ACU705"/>
      <c r="ACV705"/>
      <c r="ACW705"/>
      <c r="ACX705"/>
      <c r="ACY705"/>
      <c r="ACZ705"/>
      <c r="ADA705"/>
      <c r="ADB705"/>
      <c r="ADC705"/>
      <c r="ADD705"/>
      <c r="ADE705"/>
      <c r="ADF705"/>
      <c r="ADG705"/>
      <c r="ADH705"/>
      <c r="ADI705"/>
      <c r="ADJ705"/>
      <c r="ADK705"/>
      <c r="ADL705"/>
      <c r="ADM705"/>
      <c r="ADN705"/>
      <c r="ADO705"/>
      <c r="ADP705"/>
      <c r="ADQ705"/>
      <c r="ADR705"/>
      <c r="ADS705"/>
      <c r="ADT705"/>
      <c r="ADU705"/>
      <c r="ADV705"/>
      <c r="ADW705"/>
      <c r="ADX705"/>
      <c r="ADY705"/>
      <c r="ADZ705"/>
      <c r="AEA705"/>
      <c r="AEB705"/>
      <c r="AEC705"/>
      <c r="AED705"/>
      <c r="AEE705"/>
      <c r="AEF705"/>
      <c r="AEG705"/>
      <c r="AEH705"/>
      <c r="AEI705"/>
      <c r="AEJ705"/>
      <c r="AEK705"/>
      <c r="AEL705"/>
      <c r="AEM705"/>
      <c r="AEN705"/>
      <c r="AEO705"/>
      <c r="AEP705"/>
      <c r="AEQ705"/>
      <c r="AER705"/>
      <c r="AES705"/>
      <c r="AET705"/>
      <c r="AEU705"/>
      <c r="AEV705"/>
      <c r="AEW705"/>
      <c r="AEX705"/>
      <c r="AEY705"/>
      <c r="AEZ705"/>
      <c r="AFA705"/>
      <c r="AFB705"/>
      <c r="AFC705"/>
      <c r="AFD705"/>
      <c r="AFE705"/>
      <c r="AFF705"/>
      <c r="AFG705"/>
      <c r="AFH705"/>
      <c r="AFI705"/>
      <c r="AFJ705"/>
      <c r="AFK705"/>
      <c r="AFL705"/>
      <c r="AFM705"/>
      <c r="AFN705"/>
      <c r="AFO705"/>
      <c r="AFP705"/>
      <c r="AFQ705"/>
      <c r="AFR705"/>
      <c r="AFS705"/>
      <c r="AFT705"/>
      <c r="AFU705"/>
      <c r="AFV705"/>
      <c r="AFW705"/>
      <c r="AFX705"/>
      <c r="AFY705"/>
      <c r="AFZ705"/>
      <c r="AGA705"/>
      <c r="AGB705"/>
      <c r="AGC705"/>
      <c r="AGD705"/>
      <c r="AGE705"/>
      <c r="AGF705"/>
      <c r="AGG705"/>
      <c r="AGH705"/>
      <c r="AGI705"/>
      <c r="AGJ705"/>
      <c r="AGK705"/>
      <c r="AGL705"/>
      <c r="AGM705"/>
      <c r="AGN705"/>
      <c r="AGO705"/>
      <c r="AGP705"/>
      <c r="AGQ705"/>
      <c r="AGR705"/>
      <c r="AGS705"/>
      <c r="AGT705"/>
      <c r="AGU705"/>
      <c r="AGV705"/>
      <c r="AGW705"/>
      <c r="AGX705"/>
      <c r="AGY705"/>
      <c r="AGZ705"/>
      <c r="AHA705"/>
      <c r="AHB705"/>
      <c r="AHC705"/>
      <c r="AHD705"/>
      <c r="AHE705"/>
      <c r="AHF705"/>
      <c r="AHG705"/>
      <c r="AHH705"/>
      <c r="AHI705"/>
      <c r="AHJ705"/>
      <c r="AHK705"/>
      <c r="AHL705"/>
      <c r="AHM705"/>
      <c r="AHN705"/>
      <c r="AHO705"/>
      <c r="AHP705"/>
      <c r="AHQ705"/>
      <c r="AHR705"/>
      <c r="AHS705"/>
      <c r="AHT705"/>
      <c r="AHU705"/>
      <c r="AHV705"/>
      <c r="AHW705"/>
      <c r="AHX705"/>
      <c r="AHY705"/>
      <c r="AHZ705"/>
      <c r="AIA705"/>
      <c r="AIB705"/>
      <c r="AIC705"/>
      <c r="AID705"/>
      <c r="AIE705"/>
      <c r="AIF705"/>
      <c r="AIG705"/>
      <c r="AIH705"/>
      <c r="AII705"/>
      <c r="AIJ705"/>
      <c r="AIK705"/>
      <c r="AIL705"/>
      <c r="AIM705"/>
      <c r="AIN705"/>
      <c r="AIO705"/>
      <c r="AIP705"/>
      <c r="AIQ705"/>
      <c r="AIR705"/>
      <c r="AIS705"/>
      <c r="AIT705"/>
      <c r="AIU705"/>
      <c r="AIV705"/>
      <c r="AIW705"/>
      <c r="AIX705"/>
      <c r="AIY705"/>
      <c r="AIZ705"/>
      <c r="AJA705"/>
      <c r="AJB705"/>
      <c r="AJC705"/>
      <c r="AJD705"/>
      <c r="AJE705"/>
      <c r="AJF705"/>
      <c r="AJG705"/>
      <c r="AJH705"/>
      <c r="AJI705"/>
      <c r="AJJ705"/>
      <c r="AJK705"/>
      <c r="AJL705"/>
      <c r="AJM705"/>
      <c r="AJN705"/>
      <c r="AJO705"/>
      <c r="AJP705"/>
      <c r="AJQ705"/>
      <c r="AJR705"/>
      <c r="AJS705"/>
      <c r="AJT705"/>
      <c r="AJU705"/>
      <c r="AJV705"/>
      <c r="AJW705"/>
      <c r="AJX705"/>
      <c r="AJY705"/>
      <c r="AJZ705"/>
      <c r="AKA705"/>
      <c r="AKB705"/>
      <c r="AKC705"/>
      <c r="AKD705"/>
      <c r="AKE705"/>
      <c r="AKF705"/>
      <c r="AKG705"/>
      <c r="AKH705"/>
      <c r="AKI705"/>
      <c r="AKJ705"/>
      <c r="AKK705"/>
      <c r="AKL705"/>
      <c r="AKM705"/>
      <c r="AKN705"/>
      <c r="AKO705"/>
      <c r="AKP705"/>
      <c r="AKQ705"/>
      <c r="AKR705"/>
      <c r="AKS705"/>
      <c r="AKT705"/>
      <c r="AKU705"/>
      <c r="AKV705"/>
      <c r="AKW705"/>
      <c r="AKX705"/>
      <c r="AKY705"/>
      <c r="AKZ705"/>
      <c r="ALA705"/>
      <c r="ALB705"/>
      <c r="ALC705"/>
      <c r="ALD705"/>
      <c r="ALE705"/>
      <c r="ALF705"/>
      <c r="ALG705"/>
      <c r="ALH705"/>
      <c r="ALI705"/>
      <c r="ALJ705"/>
      <c r="ALK705"/>
      <c r="ALL705"/>
      <c r="ALM705"/>
      <c r="ALN705"/>
      <c r="ALO705"/>
      <c r="ALP705"/>
      <c r="ALQ705"/>
      <c r="ALR705"/>
      <c r="ALS705"/>
      <c r="ALT705"/>
      <c r="ALU705"/>
      <c r="ALV705"/>
      <c r="ALW705"/>
      <c r="ALX705"/>
      <c r="ALY705"/>
      <c r="ALZ705"/>
      <c r="AMA705"/>
      <c r="AMB705"/>
      <c r="AMC705"/>
      <c r="AMD705"/>
      <c r="AME705"/>
      <c r="AMF705"/>
      <c r="AMG705"/>
      <c r="AMH705"/>
      <c r="AMI705"/>
      <c r="AMJ705"/>
      <c r="AMK705"/>
    </row>
    <row r="706" spans="1:1025">
      <c r="A706"/>
      <c r="B706"/>
      <c r="C706"/>
      <c r="J706" s="736">
        <f>(J703-J704)/J703</f>
        <v>-1.9456419989706361E-2</v>
      </c>
      <c r="L706" s="735">
        <v>1.3702807520761799E-2</v>
      </c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  <c r="FK706"/>
      <c r="FL706"/>
      <c r="FM706"/>
      <c r="FN706"/>
      <c r="FO706"/>
      <c r="FP706"/>
      <c r="FQ706"/>
      <c r="FR706"/>
      <c r="FS706"/>
      <c r="FT706"/>
      <c r="FU706"/>
      <c r="FV706"/>
      <c r="FW706"/>
      <c r="FX706"/>
      <c r="FY706"/>
      <c r="FZ706"/>
      <c r="GA706"/>
      <c r="GB706"/>
      <c r="GC706"/>
      <c r="GD706"/>
      <c r="GE706"/>
      <c r="GF706"/>
      <c r="GG706"/>
      <c r="GH706"/>
      <c r="GI706"/>
      <c r="GJ706"/>
      <c r="GK706"/>
      <c r="GL706"/>
      <c r="GM706"/>
      <c r="GN706"/>
      <c r="GO706"/>
      <c r="GP706"/>
      <c r="GQ706"/>
      <c r="GR706"/>
      <c r="GS706"/>
      <c r="GT706"/>
      <c r="GU706"/>
      <c r="GV706"/>
      <c r="GW706"/>
      <c r="GX706"/>
      <c r="GY706"/>
      <c r="GZ706"/>
      <c r="HA706"/>
      <c r="HB706"/>
      <c r="HC706"/>
      <c r="HD706"/>
      <c r="HE706"/>
      <c r="HF706"/>
      <c r="HG706"/>
      <c r="HH706"/>
      <c r="HI706"/>
      <c r="HJ706"/>
      <c r="HK706"/>
      <c r="HL706"/>
      <c r="HM706"/>
      <c r="HN706"/>
      <c r="HO706"/>
      <c r="HP706"/>
      <c r="HQ706"/>
      <c r="HR706"/>
      <c r="HS706"/>
      <c r="HT706"/>
      <c r="HU706"/>
      <c r="HV706"/>
      <c r="HW706"/>
      <c r="HX706"/>
      <c r="HY706"/>
      <c r="HZ706"/>
      <c r="IA706"/>
      <c r="IB706"/>
      <c r="IC706"/>
      <c r="ID706"/>
      <c r="IE706"/>
      <c r="IF706"/>
      <c r="IG706"/>
      <c r="IH706"/>
      <c r="II706"/>
      <c r="IJ706"/>
      <c r="IK706"/>
      <c r="IL706"/>
      <c r="IM706"/>
      <c r="IN706"/>
      <c r="IO706"/>
      <c r="IP706"/>
      <c r="IQ706"/>
      <c r="IR706"/>
      <c r="IS706"/>
      <c r="IT706"/>
      <c r="IU706"/>
      <c r="IV706"/>
      <c r="IW706"/>
      <c r="IX706"/>
      <c r="IY706"/>
      <c r="IZ706"/>
      <c r="JA706"/>
      <c r="JB706"/>
      <c r="JC706"/>
      <c r="JD706"/>
      <c r="JE706"/>
      <c r="JF706"/>
      <c r="JG706"/>
      <c r="JH706"/>
      <c r="JI706"/>
      <c r="JJ706"/>
      <c r="JK706"/>
      <c r="JL706"/>
      <c r="JM706"/>
      <c r="JN706"/>
      <c r="JO706"/>
      <c r="JP706"/>
      <c r="JQ706"/>
      <c r="JR706"/>
      <c r="JS706"/>
      <c r="JT706"/>
      <c r="JU706"/>
      <c r="JV706"/>
      <c r="JW706"/>
      <c r="JX706"/>
      <c r="JY706"/>
      <c r="JZ706"/>
      <c r="KA706"/>
      <c r="KB706"/>
      <c r="KC706"/>
      <c r="KD706"/>
      <c r="KE706"/>
      <c r="KF706"/>
      <c r="KG706"/>
      <c r="KH706"/>
      <c r="KI706"/>
      <c r="KJ706"/>
      <c r="KK706"/>
      <c r="KL706"/>
      <c r="KM706"/>
      <c r="KN706"/>
      <c r="KO706"/>
      <c r="KP706"/>
      <c r="KQ706"/>
      <c r="KR706"/>
      <c r="KS706"/>
      <c r="KT706"/>
      <c r="KU706"/>
      <c r="KV706"/>
      <c r="KW706"/>
      <c r="KX706"/>
      <c r="KY706"/>
      <c r="KZ706"/>
      <c r="LA706"/>
      <c r="LB706"/>
      <c r="LC706"/>
      <c r="LD706"/>
      <c r="LE706"/>
      <c r="LF706"/>
      <c r="LG706"/>
      <c r="LH706"/>
      <c r="LI706"/>
      <c r="LJ706"/>
      <c r="LK706"/>
      <c r="LL706"/>
      <c r="LM706"/>
      <c r="LN706"/>
      <c r="LO706"/>
      <c r="LP706"/>
      <c r="LQ706"/>
      <c r="LR706"/>
      <c r="LS706"/>
      <c r="LT706"/>
      <c r="LU706"/>
      <c r="LV706"/>
      <c r="LW706"/>
      <c r="LX706"/>
      <c r="LY706"/>
      <c r="LZ706"/>
      <c r="MA706"/>
      <c r="MB706"/>
      <c r="MC706"/>
      <c r="MD706"/>
      <c r="ME706"/>
      <c r="MF706"/>
      <c r="MG706"/>
      <c r="MH706"/>
      <c r="MI706"/>
      <c r="MJ706"/>
      <c r="MK706"/>
      <c r="ML706"/>
      <c r="MM706"/>
      <c r="MN706"/>
      <c r="MO706"/>
      <c r="MP706"/>
      <c r="MQ706"/>
      <c r="MR706"/>
      <c r="MS706"/>
      <c r="MT706"/>
      <c r="MU706"/>
      <c r="MV706"/>
      <c r="MW706"/>
      <c r="MX706"/>
      <c r="MY706"/>
      <c r="MZ706"/>
      <c r="NA706"/>
      <c r="NB706"/>
      <c r="NC706"/>
      <c r="ND706"/>
      <c r="NE706"/>
      <c r="NF706"/>
      <c r="NG706"/>
      <c r="NH706"/>
      <c r="NI706"/>
      <c r="NJ706"/>
      <c r="NK706"/>
      <c r="NL706"/>
      <c r="NM706"/>
      <c r="NN706"/>
      <c r="NO706"/>
      <c r="NP706"/>
      <c r="NQ706"/>
      <c r="NR706"/>
      <c r="NS706"/>
      <c r="NT706"/>
      <c r="NU706"/>
      <c r="NV706"/>
      <c r="NW706"/>
      <c r="NX706"/>
      <c r="NY706"/>
      <c r="NZ706"/>
      <c r="OA706"/>
      <c r="OB706"/>
      <c r="OC706"/>
      <c r="OD706"/>
      <c r="OE706"/>
      <c r="OF706"/>
      <c r="OG706"/>
      <c r="OH706"/>
      <c r="OI706"/>
      <c r="OJ706"/>
      <c r="OK706"/>
      <c r="OL706"/>
      <c r="OM706"/>
      <c r="ON706"/>
      <c r="OO706"/>
      <c r="OP706"/>
      <c r="OQ706"/>
      <c r="OR706"/>
      <c r="OS706"/>
      <c r="OT706"/>
      <c r="OU706"/>
      <c r="OV706"/>
      <c r="OW706"/>
      <c r="OX706"/>
      <c r="OY706"/>
      <c r="OZ706"/>
      <c r="PA706"/>
      <c r="PB706"/>
      <c r="PC706"/>
      <c r="PD706"/>
      <c r="PE706"/>
      <c r="PF706"/>
      <c r="PG706"/>
      <c r="PH706"/>
      <c r="PI706"/>
      <c r="PJ706"/>
      <c r="PK706"/>
      <c r="PL706"/>
      <c r="PM706"/>
      <c r="PN706"/>
      <c r="PO706"/>
      <c r="PP706"/>
      <c r="PQ706"/>
      <c r="PR706"/>
      <c r="PS706"/>
      <c r="PT706"/>
      <c r="PU706"/>
      <c r="PV706"/>
      <c r="PW706"/>
      <c r="PX706"/>
      <c r="PY706"/>
      <c r="PZ706"/>
      <c r="QA706"/>
      <c r="QB706"/>
      <c r="QC706"/>
      <c r="QD706"/>
      <c r="QE706"/>
      <c r="QF706"/>
      <c r="QG706"/>
      <c r="QH706"/>
      <c r="QI706"/>
      <c r="QJ706"/>
      <c r="QK706"/>
      <c r="QL706"/>
      <c r="QM706"/>
      <c r="QN706"/>
      <c r="QO706"/>
      <c r="QP706"/>
      <c r="QQ706"/>
      <c r="QR706"/>
      <c r="QS706"/>
      <c r="QT706"/>
      <c r="QU706"/>
      <c r="QV706"/>
      <c r="QW706"/>
      <c r="QX706"/>
      <c r="QY706"/>
      <c r="QZ706"/>
      <c r="RA706"/>
      <c r="RB706"/>
      <c r="RC706"/>
      <c r="RD706"/>
      <c r="RE706"/>
      <c r="RF706"/>
      <c r="RG706"/>
      <c r="RH706"/>
      <c r="RI706"/>
      <c r="RJ706"/>
      <c r="RK706"/>
      <c r="RL706"/>
      <c r="RM706"/>
      <c r="RN706"/>
      <c r="RO706"/>
      <c r="RP706"/>
      <c r="RQ706"/>
      <c r="RR706"/>
      <c r="RS706"/>
      <c r="RT706"/>
      <c r="RU706"/>
      <c r="RV706"/>
      <c r="RW706"/>
      <c r="RX706"/>
      <c r="RY706"/>
      <c r="RZ706"/>
      <c r="SA706"/>
      <c r="SB706"/>
      <c r="SC706"/>
      <c r="SD706"/>
      <c r="SE706"/>
      <c r="SF706"/>
      <c r="SG706"/>
      <c r="SH706"/>
      <c r="SI706"/>
      <c r="SJ706"/>
      <c r="SK706"/>
      <c r="SL706"/>
      <c r="SM706"/>
      <c r="SN706"/>
      <c r="SO706"/>
      <c r="SP706"/>
      <c r="SQ706"/>
      <c r="SR706"/>
      <c r="SS706"/>
      <c r="ST706"/>
      <c r="SU706"/>
      <c r="SV706"/>
      <c r="SW706"/>
      <c r="SX706"/>
      <c r="SY706"/>
      <c r="SZ706"/>
      <c r="TA706"/>
      <c r="TB706"/>
      <c r="TC706"/>
      <c r="TD706"/>
      <c r="TE706"/>
      <c r="TF706"/>
      <c r="TG706"/>
      <c r="TH706"/>
      <c r="TI706"/>
      <c r="TJ706"/>
      <c r="TK706"/>
      <c r="TL706"/>
      <c r="TM706"/>
      <c r="TN706"/>
      <c r="TO706"/>
      <c r="TP706"/>
      <c r="TQ706"/>
      <c r="TR706"/>
      <c r="TS706"/>
      <c r="TT706"/>
      <c r="TU706"/>
      <c r="TV706"/>
      <c r="TW706"/>
      <c r="TX706"/>
      <c r="TY706"/>
      <c r="TZ706"/>
      <c r="UA706"/>
      <c r="UB706"/>
      <c r="UC706"/>
      <c r="UD706"/>
      <c r="UE706"/>
      <c r="UF706"/>
      <c r="UG706"/>
      <c r="UH706"/>
      <c r="UI706"/>
      <c r="UJ706"/>
      <c r="UK706"/>
      <c r="UL706"/>
      <c r="UM706"/>
      <c r="UN706"/>
      <c r="UO706"/>
      <c r="UP706"/>
      <c r="UQ706"/>
      <c r="UR706"/>
      <c r="US706"/>
      <c r="UT706"/>
      <c r="UU706"/>
      <c r="UV706"/>
      <c r="UW706"/>
      <c r="UX706"/>
      <c r="UY706"/>
      <c r="UZ706"/>
      <c r="VA706"/>
      <c r="VB706"/>
      <c r="VC706"/>
      <c r="VD706"/>
      <c r="VE706"/>
      <c r="VF706"/>
      <c r="VG706"/>
      <c r="VH706"/>
      <c r="VI706"/>
      <c r="VJ706"/>
      <c r="VK706"/>
      <c r="VL706"/>
      <c r="VM706"/>
      <c r="VN706"/>
      <c r="VO706"/>
      <c r="VP706"/>
      <c r="VQ706"/>
      <c r="VR706"/>
      <c r="VS706"/>
      <c r="VT706"/>
      <c r="VU706"/>
      <c r="VV706"/>
      <c r="VW706"/>
      <c r="VX706"/>
      <c r="VY706"/>
      <c r="VZ706"/>
      <c r="WA706"/>
      <c r="WB706"/>
      <c r="WC706"/>
      <c r="WD706"/>
      <c r="WE706"/>
      <c r="WF706"/>
      <c r="WG706"/>
      <c r="WH706"/>
      <c r="WI706"/>
      <c r="WJ706"/>
      <c r="WK706"/>
      <c r="WL706"/>
      <c r="WM706"/>
      <c r="WN706"/>
      <c r="WO706"/>
      <c r="WP706"/>
      <c r="WQ706"/>
      <c r="WR706"/>
      <c r="WS706"/>
      <c r="WT706"/>
      <c r="WU706"/>
      <c r="WV706"/>
      <c r="WW706"/>
      <c r="WX706"/>
      <c r="WY706"/>
      <c r="WZ706"/>
      <c r="XA706"/>
      <c r="XB706"/>
      <c r="XC706"/>
      <c r="XD706"/>
      <c r="XE706"/>
      <c r="XF706"/>
      <c r="XG706"/>
      <c r="XH706"/>
      <c r="XI706"/>
      <c r="XJ706"/>
      <c r="XK706"/>
      <c r="XL706"/>
      <c r="XM706"/>
      <c r="XN706"/>
      <c r="XO706"/>
      <c r="XP706"/>
      <c r="XQ706"/>
      <c r="XR706"/>
      <c r="XS706"/>
      <c r="XT706"/>
      <c r="XU706"/>
      <c r="XV706"/>
      <c r="XW706"/>
      <c r="XX706"/>
      <c r="XY706"/>
      <c r="XZ706"/>
      <c r="YA706"/>
      <c r="YB706"/>
      <c r="YC706"/>
      <c r="YD706"/>
      <c r="YE706"/>
      <c r="YF706"/>
      <c r="YG706"/>
      <c r="YH706"/>
      <c r="YI706"/>
      <c r="YJ706"/>
      <c r="YK706"/>
      <c r="YL706"/>
      <c r="YM706"/>
      <c r="YN706"/>
      <c r="YO706"/>
      <c r="YP706"/>
      <c r="YQ706"/>
      <c r="YR706"/>
      <c r="YS706"/>
      <c r="YT706"/>
      <c r="YU706"/>
      <c r="YV706"/>
      <c r="YW706"/>
      <c r="YX706"/>
      <c r="YY706"/>
      <c r="YZ706"/>
      <c r="ZA706"/>
      <c r="ZB706"/>
      <c r="ZC706"/>
      <c r="ZD706"/>
      <c r="ZE706"/>
      <c r="ZF706"/>
      <c r="ZG706"/>
      <c r="ZH706"/>
      <c r="ZI706"/>
      <c r="ZJ706"/>
      <c r="ZK706"/>
      <c r="ZL706"/>
      <c r="ZM706"/>
      <c r="ZN706"/>
      <c r="ZO706"/>
      <c r="ZP706"/>
      <c r="ZQ706"/>
      <c r="ZR706"/>
      <c r="ZS706"/>
      <c r="ZT706"/>
      <c r="ZU706"/>
      <c r="ZV706"/>
      <c r="ZW706"/>
      <c r="ZX706"/>
      <c r="ZY706"/>
      <c r="ZZ706"/>
      <c r="AAA706"/>
      <c r="AAB706"/>
      <c r="AAC706"/>
      <c r="AAD706"/>
      <c r="AAE706"/>
      <c r="AAF706"/>
      <c r="AAG706"/>
      <c r="AAH706"/>
      <c r="AAI706"/>
      <c r="AAJ706"/>
      <c r="AAK706"/>
      <c r="AAL706"/>
      <c r="AAM706"/>
      <c r="AAN706"/>
      <c r="AAO706"/>
      <c r="AAP706"/>
      <c r="AAQ706"/>
      <c r="AAR706"/>
      <c r="AAS706"/>
      <c r="AAT706"/>
      <c r="AAU706"/>
      <c r="AAV706"/>
      <c r="AAW706"/>
      <c r="AAX706"/>
      <c r="AAY706"/>
      <c r="AAZ706"/>
      <c r="ABA706"/>
      <c r="ABB706"/>
      <c r="ABC706"/>
      <c r="ABD706"/>
      <c r="ABE706"/>
      <c r="ABF706"/>
      <c r="ABG706"/>
      <c r="ABH706"/>
      <c r="ABI706"/>
      <c r="ABJ706"/>
      <c r="ABK706"/>
      <c r="ABL706"/>
      <c r="ABM706"/>
      <c r="ABN706"/>
      <c r="ABO706"/>
      <c r="ABP706"/>
      <c r="ABQ706"/>
      <c r="ABR706"/>
      <c r="ABS706"/>
      <c r="ABT706"/>
      <c r="ABU706"/>
      <c r="ABV706"/>
      <c r="ABW706"/>
      <c r="ABX706"/>
      <c r="ABY706"/>
      <c r="ABZ706"/>
      <c r="ACA706"/>
      <c r="ACB706"/>
      <c r="ACC706"/>
      <c r="ACD706"/>
      <c r="ACE706"/>
      <c r="ACF706"/>
      <c r="ACG706"/>
      <c r="ACH706"/>
      <c r="ACI706"/>
      <c r="ACJ706"/>
      <c r="ACK706"/>
      <c r="ACL706"/>
      <c r="ACM706"/>
      <c r="ACN706"/>
      <c r="ACO706"/>
      <c r="ACP706"/>
      <c r="ACQ706"/>
      <c r="ACR706"/>
      <c r="ACS706"/>
      <c r="ACT706"/>
      <c r="ACU706"/>
      <c r="ACV706"/>
      <c r="ACW706"/>
      <c r="ACX706"/>
      <c r="ACY706"/>
      <c r="ACZ706"/>
      <c r="ADA706"/>
      <c r="ADB706"/>
      <c r="ADC706"/>
      <c r="ADD706"/>
      <c r="ADE706"/>
      <c r="ADF706"/>
      <c r="ADG706"/>
      <c r="ADH706"/>
      <c r="ADI706"/>
      <c r="ADJ706"/>
      <c r="ADK706"/>
      <c r="ADL706"/>
      <c r="ADM706"/>
      <c r="ADN706"/>
      <c r="ADO706"/>
      <c r="ADP706"/>
      <c r="ADQ706"/>
      <c r="ADR706"/>
      <c r="ADS706"/>
      <c r="ADT706"/>
      <c r="ADU706"/>
      <c r="ADV706"/>
      <c r="ADW706"/>
      <c r="ADX706"/>
      <c r="ADY706"/>
      <c r="ADZ706"/>
      <c r="AEA706"/>
      <c r="AEB706"/>
      <c r="AEC706"/>
      <c r="AED706"/>
      <c r="AEE706"/>
      <c r="AEF706"/>
      <c r="AEG706"/>
      <c r="AEH706"/>
      <c r="AEI706"/>
      <c r="AEJ706"/>
      <c r="AEK706"/>
      <c r="AEL706"/>
      <c r="AEM706"/>
      <c r="AEN706"/>
      <c r="AEO706"/>
      <c r="AEP706"/>
      <c r="AEQ706"/>
      <c r="AER706"/>
      <c r="AES706"/>
      <c r="AET706"/>
      <c r="AEU706"/>
      <c r="AEV706"/>
      <c r="AEW706"/>
      <c r="AEX706"/>
      <c r="AEY706"/>
      <c r="AEZ706"/>
      <c r="AFA706"/>
      <c r="AFB706"/>
      <c r="AFC706"/>
      <c r="AFD706"/>
      <c r="AFE706"/>
      <c r="AFF706"/>
      <c r="AFG706"/>
      <c r="AFH706"/>
      <c r="AFI706"/>
      <c r="AFJ706"/>
      <c r="AFK706"/>
      <c r="AFL706"/>
      <c r="AFM706"/>
      <c r="AFN706"/>
      <c r="AFO706"/>
      <c r="AFP706"/>
      <c r="AFQ706"/>
      <c r="AFR706"/>
      <c r="AFS706"/>
      <c r="AFT706"/>
      <c r="AFU706"/>
      <c r="AFV706"/>
      <c r="AFW706"/>
      <c r="AFX706"/>
      <c r="AFY706"/>
      <c r="AFZ706"/>
      <c r="AGA706"/>
      <c r="AGB706"/>
      <c r="AGC706"/>
      <c r="AGD706"/>
      <c r="AGE706"/>
      <c r="AGF706"/>
      <c r="AGG706"/>
      <c r="AGH706"/>
      <c r="AGI706"/>
      <c r="AGJ706"/>
      <c r="AGK706"/>
      <c r="AGL706"/>
      <c r="AGM706"/>
      <c r="AGN706"/>
      <c r="AGO706"/>
      <c r="AGP706"/>
      <c r="AGQ706"/>
      <c r="AGR706"/>
      <c r="AGS706"/>
      <c r="AGT706"/>
      <c r="AGU706"/>
      <c r="AGV706"/>
      <c r="AGW706"/>
      <c r="AGX706"/>
      <c r="AGY706"/>
      <c r="AGZ706"/>
      <c r="AHA706"/>
      <c r="AHB706"/>
      <c r="AHC706"/>
      <c r="AHD706"/>
      <c r="AHE706"/>
      <c r="AHF706"/>
      <c r="AHG706"/>
      <c r="AHH706"/>
      <c r="AHI706"/>
      <c r="AHJ706"/>
      <c r="AHK706"/>
      <c r="AHL706"/>
      <c r="AHM706"/>
      <c r="AHN706"/>
      <c r="AHO706"/>
      <c r="AHP706"/>
      <c r="AHQ706"/>
      <c r="AHR706"/>
      <c r="AHS706"/>
      <c r="AHT706"/>
      <c r="AHU706"/>
      <c r="AHV706"/>
      <c r="AHW706"/>
      <c r="AHX706"/>
      <c r="AHY706"/>
      <c r="AHZ706"/>
      <c r="AIA706"/>
      <c r="AIB706"/>
      <c r="AIC706"/>
      <c r="AID706"/>
      <c r="AIE706"/>
      <c r="AIF706"/>
      <c r="AIG706"/>
      <c r="AIH706"/>
      <c r="AII706"/>
      <c r="AIJ706"/>
      <c r="AIK706"/>
      <c r="AIL706"/>
      <c r="AIM706"/>
      <c r="AIN706"/>
      <c r="AIO706"/>
      <c r="AIP706"/>
      <c r="AIQ706"/>
      <c r="AIR706"/>
      <c r="AIS706"/>
      <c r="AIT706"/>
      <c r="AIU706"/>
      <c r="AIV706"/>
      <c r="AIW706"/>
      <c r="AIX706"/>
      <c r="AIY706"/>
      <c r="AIZ706"/>
      <c r="AJA706"/>
      <c r="AJB706"/>
      <c r="AJC706"/>
      <c r="AJD706"/>
      <c r="AJE706"/>
      <c r="AJF706"/>
      <c r="AJG706"/>
      <c r="AJH706"/>
      <c r="AJI706"/>
      <c r="AJJ706"/>
      <c r="AJK706"/>
      <c r="AJL706"/>
      <c r="AJM706"/>
      <c r="AJN706"/>
      <c r="AJO706"/>
      <c r="AJP706"/>
      <c r="AJQ706"/>
      <c r="AJR706"/>
      <c r="AJS706"/>
      <c r="AJT706"/>
      <c r="AJU706"/>
      <c r="AJV706"/>
      <c r="AJW706"/>
      <c r="AJX706"/>
      <c r="AJY706"/>
      <c r="AJZ706"/>
      <c r="AKA706"/>
      <c r="AKB706"/>
      <c r="AKC706"/>
      <c r="AKD706"/>
      <c r="AKE706"/>
      <c r="AKF706"/>
      <c r="AKG706"/>
      <c r="AKH706"/>
      <c r="AKI706"/>
      <c r="AKJ706"/>
      <c r="AKK706"/>
      <c r="AKL706"/>
      <c r="AKM706"/>
      <c r="AKN706"/>
      <c r="AKO706"/>
      <c r="AKP706"/>
      <c r="AKQ706"/>
      <c r="AKR706"/>
      <c r="AKS706"/>
      <c r="AKT706"/>
      <c r="AKU706"/>
      <c r="AKV706"/>
      <c r="AKW706"/>
      <c r="AKX706"/>
      <c r="AKY706"/>
      <c r="AKZ706"/>
      <c r="ALA706"/>
      <c r="ALB706"/>
      <c r="ALC706"/>
      <c r="ALD706"/>
      <c r="ALE706"/>
      <c r="ALF706"/>
      <c r="ALG706"/>
      <c r="ALH706"/>
      <c r="ALI706"/>
      <c r="ALJ706"/>
      <c r="ALK706"/>
      <c r="ALL706"/>
      <c r="ALM706"/>
      <c r="ALN706"/>
      <c r="ALO706"/>
      <c r="ALP706"/>
      <c r="ALQ706"/>
      <c r="ALR706"/>
      <c r="ALS706"/>
      <c r="ALT706"/>
      <c r="ALU706"/>
      <c r="ALV706"/>
      <c r="ALW706"/>
      <c r="ALX706"/>
      <c r="ALY706"/>
      <c r="ALZ706"/>
      <c r="AMA706"/>
      <c r="AMB706"/>
      <c r="AMC706"/>
      <c r="AMD706"/>
      <c r="AME706"/>
      <c r="AMF706"/>
      <c r="AMG706"/>
      <c r="AMH706"/>
      <c r="AMI706"/>
      <c r="AMJ706"/>
      <c r="AMK706"/>
    </row>
    <row r="707" spans="1:1025" s="386" customFormat="1">
      <c r="J707" s="386">
        <f>J706*100</f>
        <v>-1.9456419989706362</v>
      </c>
      <c r="L707" s="735">
        <v>1.3702807520761799</v>
      </c>
    </row>
    <row r="708" spans="1:1025" s="386" customFormat="1">
      <c r="L708" s="735"/>
    </row>
    <row r="709" spans="1:1025" s="386" customFormat="1">
      <c r="J709" s="743">
        <f>(J703-J704)/J703</f>
        <v>-1.9456419989706361E-2</v>
      </c>
      <c r="L709" s="735">
        <v>1.3702807520761799E-2</v>
      </c>
    </row>
    <row r="710" spans="1:1025" s="386" customFormat="1">
      <c r="J710" s="765">
        <f>J704-'T&amp;D'!F309</f>
        <v>5961382.6985900402</v>
      </c>
      <c r="L710" s="735">
        <v>-1230813.56072402</v>
      </c>
    </row>
    <row r="711" spans="1:1025" s="386" customFormat="1">
      <c r="D711" s="386">
        <v>2987999.99999998</v>
      </c>
      <c r="E711" s="386">
        <v>2987999.99999998</v>
      </c>
      <c r="L711" s="735"/>
    </row>
    <row r="712" spans="1:1025" s="386" customFormat="1">
      <c r="L712" s="735"/>
    </row>
    <row r="713" spans="1:1025" s="386" customFormat="1">
      <c r="L713" s="735"/>
    </row>
    <row r="714" spans="1:1025" s="386" customFormat="1">
      <c r="D714" s="765">
        <f>I671+I58</f>
        <v>0</v>
      </c>
      <c r="E714" s="765">
        <f>J671+J58</f>
        <v>4004160.0000000182</v>
      </c>
    </row>
    <row r="715" spans="1:1025" s="386" customFormat="1">
      <c r="D715" s="765">
        <f>D711-D714</f>
        <v>2987999.99999998</v>
      </c>
      <c r="E715" s="765">
        <f>E711-E714</f>
        <v>-1016160.0000000382</v>
      </c>
    </row>
    <row r="718" spans="1:1025">
      <c r="A718"/>
      <c r="B718"/>
      <c r="C718"/>
      <c r="J718" s="765">
        <v>111219831.8</v>
      </c>
      <c r="L718" s="386">
        <v>111219831.8</v>
      </c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  <c r="FK718"/>
      <c r="FL718"/>
      <c r="FM718"/>
      <c r="FN718"/>
      <c r="FO718"/>
      <c r="FP718"/>
      <c r="FQ718"/>
      <c r="FR718"/>
      <c r="FS718"/>
      <c r="FT718"/>
      <c r="FU718"/>
      <c r="FV718"/>
      <c r="FW718"/>
      <c r="FX718"/>
      <c r="FY718"/>
      <c r="FZ718"/>
      <c r="GA718"/>
      <c r="GB718"/>
      <c r="GC718"/>
      <c r="GD718"/>
      <c r="GE718"/>
      <c r="GF718"/>
      <c r="GG718"/>
      <c r="GH718"/>
      <c r="GI718"/>
      <c r="GJ718"/>
      <c r="GK718"/>
      <c r="GL718"/>
      <c r="GM718"/>
      <c r="GN718"/>
      <c r="GO718"/>
      <c r="GP718"/>
      <c r="GQ718"/>
      <c r="GR718"/>
      <c r="GS718"/>
      <c r="GT718"/>
      <c r="GU718"/>
      <c r="GV718"/>
      <c r="GW718"/>
      <c r="GX718"/>
      <c r="GY718"/>
      <c r="GZ718"/>
      <c r="HA718"/>
      <c r="HB718"/>
      <c r="HC718"/>
      <c r="HD718"/>
      <c r="HE718"/>
      <c r="HF718"/>
      <c r="HG718"/>
      <c r="HH718"/>
      <c r="HI718"/>
      <c r="HJ718"/>
      <c r="HK718"/>
      <c r="HL718"/>
      <c r="HM718"/>
      <c r="HN718"/>
      <c r="HO718"/>
      <c r="HP718"/>
      <c r="HQ718"/>
      <c r="HR718"/>
      <c r="HS718"/>
      <c r="HT718"/>
      <c r="HU718"/>
      <c r="HV718"/>
      <c r="HW718"/>
      <c r="HX718"/>
      <c r="HY718"/>
      <c r="HZ718"/>
      <c r="IA718"/>
      <c r="IB718"/>
      <c r="IC718"/>
      <c r="ID718"/>
      <c r="IE718"/>
      <c r="IF718"/>
      <c r="IG718"/>
      <c r="IH718"/>
      <c r="II718"/>
      <c r="IJ718"/>
      <c r="IK718"/>
      <c r="IL718"/>
      <c r="IM718"/>
      <c r="IN718"/>
      <c r="IO718"/>
      <c r="IP718"/>
      <c r="IQ718"/>
      <c r="IR718"/>
      <c r="IS718"/>
      <c r="IT718"/>
      <c r="IU718"/>
      <c r="IV718"/>
      <c r="IW718"/>
      <c r="IX718"/>
      <c r="IY718"/>
      <c r="IZ718"/>
      <c r="JA718"/>
      <c r="JB718"/>
      <c r="JC718"/>
      <c r="JD718"/>
      <c r="JE718"/>
      <c r="JF718"/>
      <c r="JG718"/>
      <c r="JH718"/>
      <c r="JI718"/>
      <c r="JJ718"/>
      <c r="JK718"/>
      <c r="JL718"/>
      <c r="JM718"/>
      <c r="JN718"/>
      <c r="JO718"/>
      <c r="JP718"/>
      <c r="JQ718"/>
      <c r="JR718"/>
      <c r="JS718"/>
      <c r="JT718"/>
      <c r="JU718"/>
      <c r="JV718"/>
      <c r="JW718"/>
      <c r="JX718"/>
      <c r="JY718"/>
      <c r="JZ718"/>
      <c r="KA718"/>
      <c r="KB718"/>
      <c r="KC718"/>
      <c r="KD718"/>
      <c r="KE718"/>
      <c r="KF718"/>
      <c r="KG718"/>
      <c r="KH718"/>
      <c r="KI718"/>
      <c r="KJ718"/>
      <c r="KK718"/>
      <c r="KL718"/>
      <c r="KM718"/>
      <c r="KN718"/>
      <c r="KO718"/>
      <c r="KP718"/>
      <c r="KQ718"/>
      <c r="KR718"/>
      <c r="KS718"/>
      <c r="KT718"/>
      <c r="KU718"/>
      <c r="KV718"/>
      <c r="KW718"/>
      <c r="KX718"/>
      <c r="KY718"/>
      <c r="KZ718"/>
      <c r="LA718"/>
      <c r="LB718"/>
      <c r="LC718"/>
      <c r="LD718"/>
      <c r="LE718"/>
      <c r="LF718"/>
      <c r="LG718"/>
      <c r="LH718"/>
      <c r="LI718"/>
      <c r="LJ718"/>
      <c r="LK718"/>
      <c r="LL718"/>
      <c r="LM718"/>
      <c r="LN718"/>
      <c r="LO718"/>
      <c r="LP718"/>
      <c r="LQ718"/>
      <c r="LR718"/>
      <c r="LS718"/>
      <c r="LT718"/>
      <c r="LU718"/>
      <c r="LV718"/>
      <c r="LW718"/>
      <c r="LX718"/>
      <c r="LY718"/>
      <c r="LZ718"/>
      <c r="MA718"/>
      <c r="MB718"/>
      <c r="MC718"/>
      <c r="MD718"/>
      <c r="ME718"/>
      <c r="MF718"/>
      <c r="MG718"/>
      <c r="MH718"/>
      <c r="MI718"/>
      <c r="MJ718"/>
      <c r="MK718"/>
      <c r="ML718"/>
      <c r="MM718"/>
      <c r="MN718"/>
      <c r="MO718"/>
      <c r="MP718"/>
      <c r="MQ718"/>
      <c r="MR718"/>
      <c r="MS718"/>
      <c r="MT718"/>
      <c r="MU718"/>
      <c r="MV718"/>
      <c r="MW718"/>
      <c r="MX718"/>
      <c r="MY718"/>
      <c r="MZ718"/>
      <c r="NA718"/>
      <c r="NB718"/>
      <c r="NC718"/>
      <c r="ND718"/>
      <c r="NE718"/>
      <c r="NF718"/>
      <c r="NG718"/>
      <c r="NH718"/>
      <c r="NI718"/>
      <c r="NJ718"/>
      <c r="NK718"/>
      <c r="NL718"/>
      <c r="NM718"/>
      <c r="NN718"/>
      <c r="NO718"/>
      <c r="NP718"/>
      <c r="NQ718"/>
      <c r="NR718"/>
      <c r="NS718"/>
      <c r="NT718"/>
      <c r="NU718"/>
      <c r="NV718"/>
      <c r="NW718"/>
      <c r="NX718"/>
      <c r="NY718"/>
      <c r="NZ718"/>
      <c r="OA718"/>
      <c r="OB718"/>
      <c r="OC718"/>
      <c r="OD718"/>
      <c r="OE718"/>
      <c r="OF718"/>
      <c r="OG718"/>
      <c r="OH718"/>
      <c r="OI718"/>
      <c r="OJ718"/>
      <c r="OK718"/>
      <c r="OL718"/>
      <c r="OM718"/>
      <c r="ON718"/>
      <c r="OO718"/>
      <c r="OP718"/>
      <c r="OQ718"/>
      <c r="OR718"/>
      <c r="OS718"/>
      <c r="OT718"/>
      <c r="OU718"/>
      <c r="OV718"/>
      <c r="OW718"/>
      <c r="OX718"/>
      <c r="OY718"/>
      <c r="OZ718"/>
      <c r="PA718"/>
      <c r="PB718"/>
      <c r="PC718"/>
      <c r="PD718"/>
      <c r="PE718"/>
      <c r="PF718"/>
      <c r="PG718"/>
      <c r="PH718"/>
      <c r="PI718"/>
      <c r="PJ718"/>
      <c r="PK718"/>
      <c r="PL718"/>
      <c r="PM718"/>
      <c r="PN718"/>
      <c r="PO718"/>
      <c r="PP718"/>
      <c r="PQ718"/>
      <c r="PR718"/>
      <c r="PS718"/>
      <c r="PT718"/>
      <c r="PU718"/>
      <c r="PV718"/>
      <c r="PW718"/>
      <c r="PX718"/>
      <c r="PY718"/>
      <c r="PZ718"/>
      <c r="QA718"/>
      <c r="QB718"/>
      <c r="QC718"/>
      <c r="QD718"/>
      <c r="QE718"/>
      <c r="QF718"/>
      <c r="QG718"/>
      <c r="QH718"/>
      <c r="QI718"/>
      <c r="QJ718"/>
      <c r="QK718"/>
      <c r="QL718"/>
      <c r="QM718"/>
      <c r="QN718"/>
      <c r="QO718"/>
      <c r="QP718"/>
      <c r="QQ718"/>
      <c r="QR718"/>
      <c r="QS718"/>
      <c r="QT718"/>
      <c r="QU718"/>
      <c r="QV718"/>
      <c r="QW718"/>
      <c r="QX718"/>
      <c r="QY718"/>
      <c r="QZ718"/>
      <c r="RA718"/>
      <c r="RB718"/>
      <c r="RC718"/>
      <c r="RD718"/>
      <c r="RE718"/>
      <c r="RF718"/>
      <c r="RG718"/>
      <c r="RH718"/>
      <c r="RI718"/>
      <c r="RJ718"/>
      <c r="RK718"/>
      <c r="RL718"/>
      <c r="RM718"/>
      <c r="RN718"/>
      <c r="RO718"/>
      <c r="RP718"/>
      <c r="RQ718"/>
      <c r="RR718"/>
      <c r="RS718"/>
      <c r="RT718"/>
      <c r="RU718"/>
      <c r="RV718"/>
      <c r="RW718"/>
      <c r="RX718"/>
      <c r="RY718"/>
      <c r="RZ718"/>
      <c r="SA718"/>
      <c r="SB718"/>
      <c r="SC718"/>
      <c r="SD718"/>
      <c r="SE718"/>
      <c r="SF718"/>
      <c r="SG718"/>
      <c r="SH718"/>
      <c r="SI718"/>
      <c r="SJ718"/>
      <c r="SK718"/>
      <c r="SL718"/>
      <c r="SM718"/>
      <c r="SN718"/>
      <c r="SO718"/>
      <c r="SP718"/>
      <c r="SQ718"/>
      <c r="SR718"/>
      <c r="SS718"/>
      <c r="ST718"/>
      <c r="SU718"/>
      <c r="SV718"/>
      <c r="SW718"/>
      <c r="SX718"/>
      <c r="SY718"/>
      <c r="SZ718"/>
      <c r="TA718"/>
      <c r="TB718"/>
      <c r="TC718"/>
      <c r="TD718"/>
      <c r="TE718"/>
      <c r="TF718"/>
      <c r="TG718"/>
      <c r="TH718"/>
      <c r="TI718"/>
      <c r="TJ718"/>
      <c r="TK718"/>
      <c r="TL718"/>
      <c r="TM718"/>
      <c r="TN718"/>
      <c r="TO718"/>
      <c r="TP718"/>
      <c r="TQ718"/>
      <c r="TR718"/>
      <c r="TS718"/>
      <c r="TT718"/>
      <c r="TU718"/>
      <c r="TV718"/>
      <c r="TW718"/>
      <c r="TX718"/>
      <c r="TY718"/>
      <c r="TZ718"/>
      <c r="UA718"/>
      <c r="UB718"/>
      <c r="UC718"/>
      <c r="UD718"/>
      <c r="UE718"/>
      <c r="UF718"/>
      <c r="UG718"/>
      <c r="UH718"/>
      <c r="UI718"/>
      <c r="UJ718"/>
      <c r="UK718"/>
      <c r="UL718"/>
      <c r="UM718"/>
      <c r="UN718"/>
      <c r="UO718"/>
      <c r="UP718"/>
      <c r="UQ718"/>
      <c r="UR718"/>
      <c r="US718"/>
      <c r="UT718"/>
      <c r="UU718"/>
      <c r="UV718"/>
      <c r="UW718"/>
      <c r="UX718"/>
      <c r="UY718"/>
      <c r="UZ718"/>
      <c r="VA718"/>
      <c r="VB718"/>
      <c r="VC718"/>
      <c r="VD718"/>
      <c r="VE718"/>
      <c r="VF718"/>
      <c r="VG718"/>
      <c r="VH718"/>
      <c r="VI718"/>
      <c r="VJ718"/>
      <c r="VK718"/>
      <c r="VL718"/>
      <c r="VM718"/>
      <c r="VN718"/>
      <c r="VO718"/>
      <c r="VP718"/>
      <c r="VQ718"/>
      <c r="VR718"/>
      <c r="VS718"/>
      <c r="VT718"/>
      <c r="VU718"/>
      <c r="VV718"/>
      <c r="VW718"/>
      <c r="VX718"/>
      <c r="VY718"/>
      <c r="VZ718"/>
      <c r="WA718"/>
      <c r="WB718"/>
      <c r="WC718"/>
      <c r="WD718"/>
      <c r="WE718"/>
      <c r="WF718"/>
      <c r="WG718"/>
      <c r="WH718"/>
      <c r="WI718"/>
      <c r="WJ718"/>
      <c r="WK718"/>
      <c r="WL718"/>
      <c r="WM718"/>
      <c r="WN718"/>
      <c r="WO718"/>
      <c r="WP718"/>
      <c r="WQ718"/>
      <c r="WR718"/>
      <c r="WS718"/>
      <c r="WT718"/>
      <c r="WU718"/>
      <c r="WV718"/>
      <c r="WW718"/>
      <c r="WX718"/>
      <c r="WY718"/>
      <c r="WZ718"/>
      <c r="XA718"/>
      <c r="XB718"/>
      <c r="XC718"/>
      <c r="XD718"/>
      <c r="XE718"/>
      <c r="XF718"/>
      <c r="XG718"/>
      <c r="XH718"/>
      <c r="XI718"/>
      <c r="XJ718"/>
      <c r="XK718"/>
      <c r="XL718"/>
      <c r="XM718"/>
      <c r="XN718"/>
      <c r="XO718"/>
      <c r="XP718"/>
      <c r="XQ718"/>
      <c r="XR718"/>
      <c r="XS718"/>
      <c r="XT718"/>
      <c r="XU718"/>
      <c r="XV718"/>
      <c r="XW718"/>
      <c r="XX718"/>
      <c r="XY718"/>
      <c r="XZ718"/>
      <c r="YA718"/>
      <c r="YB718"/>
      <c r="YC718"/>
      <c r="YD718"/>
      <c r="YE718"/>
      <c r="YF718"/>
      <c r="YG718"/>
      <c r="YH718"/>
      <c r="YI718"/>
      <c r="YJ718"/>
      <c r="YK718"/>
      <c r="YL718"/>
      <c r="YM718"/>
      <c r="YN718"/>
      <c r="YO718"/>
      <c r="YP718"/>
      <c r="YQ718"/>
      <c r="YR718"/>
      <c r="YS718"/>
      <c r="YT718"/>
      <c r="YU718"/>
      <c r="YV718"/>
      <c r="YW718"/>
      <c r="YX718"/>
      <c r="YY718"/>
      <c r="YZ718"/>
      <c r="ZA718"/>
      <c r="ZB718"/>
      <c r="ZC718"/>
      <c r="ZD718"/>
      <c r="ZE718"/>
      <c r="ZF718"/>
      <c r="ZG718"/>
      <c r="ZH718"/>
      <c r="ZI718"/>
      <c r="ZJ718"/>
      <c r="ZK718"/>
      <c r="ZL718"/>
      <c r="ZM718"/>
      <c r="ZN718"/>
      <c r="ZO718"/>
      <c r="ZP718"/>
      <c r="ZQ718"/>
      <c r="ZR718"/>
      <c r="ZS718"/>
      <c r="ZT718"/>
      <c r="ZU718"/>
      <c r="ZV718"/>
      <c r="ZW718"/>
      <c r="ZX718"/>
      <c r="ZY718"/>
      <c r="ZZ718"/>
      <c r="AAA718"/>
      <c r="AAB718"/>
      <c r="AAC718"/>
      <c r="AAD718"/>
      <c r="AAE718"/>
      <c r="AAF718"/>
      <c r="AAG718"/>
      <c r="AAH718"/>
      <c r="AAI718"/>
      <c r="AAJ718"/>
      <c r="AAK718"/>
      <c r="AAL718"/>
      <c r="AAM718"/>
      <c r="AAN718"/>
      <c r="AAO718"/>
      <c r="AAP718"/>
      <c r="AAQ718"/>
      <c r="AAR718"/>
      <c r="AAS718"/>
      <c r="AAT718"/>
      <c r="AAU718"/>
      <c r="AAV718"/>
      <c r="AAW718"/>
      <c r="AAX718"/>
      <c r="AAY718"/>
      <c r="AAZ718"/>
      <c r="ABA718"/>
      <c r="ABB718"/>
      <c r="ABC718"/>
      <c r="ABD718"/>
      <c r="ABE718"/>
      <c r="ABF718"/>
      <c r="ABG718"/>
      <c r="ABH718"/>
      <c r="ABI718"/>
      <c r="ABJ718"/>
      <c r="ABK718"/>
      <c r="ABL718"/>
      <c r="ABM718"/>
      <c r="ABN718"/>
      <c r="ABO718"/>
      <c r="ABP718"/>
      <c r="ABQ718"/>
      <c r="ABR718"/>
      <c r="ABS718"/>
      <c r="ABT718"/>
      <c r="ABU718"/>
      <c r="ABV718"/>
      <c r="ABW718"/>
      <c r="ABX718"/>
      <c r="ABY718"/>
      <c r="ABZ718"/>
      <c r="ACA718"/>
      <c r="ACB718"/>
      <c r="ACC718"/>
      <c r="ACD718"/>
      <c r="ACE718"/>
      <c r="ACF718"/>
      <c r="ACG718"/>
      <c r="ACH718"/>
      <c r="ACI718"/>
      <c r="ACJ718"/>
      <c r="ACK718"/>
      <c r="ACL718"/>
      <c r="ACM718"/>
      <c r="ACN718"/>
      <c r="ACO718"/>
      <c r="ACP718"/>
      <c r="ACQ718"/>
      <c r="ACR718"/>
      <c r="ACS718"/>
      <c r="ACT718"/>
      <c r="ACU718"/>
      <c r="ACV718"/>
      <c r="ACW718"/>
      <c r="ACX718"/>
      <c r="ACY718"/>
      <c r="ACZ718"/>
      <c r="ADA718"/>
      <c r="ADB718"/>
      <c r="ADC718"/>
      <c r="ADD718"/>
      <c r="ADE718"/>
      <c r="ADF718"/>
      <c r="ADG718"/>
      <c r="ADH718"/>
      <c r="ADI718"/>
      <c r="ADJ718"/>
      <c r="ADK718"/>
      <c r="ADL718"/>
      <c r="ADM718"/>
      <c r="ADN718"/>
      <c r="ADO718"/>
      <c r="ADP718"/>
      <c r="ADQ718"/>
      <c r="ADR718"/>
      <c r="ADS718"/>
      <c r="ADT718"/>
      <c r="ADU718"/>
      <c r="ADV718"/>
      <c r="ADW718"/>
      <c r="ADX718"/>
      <c r="ADY718"/>
      <c r="ADZ718"/>
      <c r="AEA718"/>
      <c r="AEB718"/>
      <c r="AEC718"/>
      <c r="AED718"/>
      <c r="AEE718"/>
      <c r="AEF718"/>
      <c r="AEG718"/>
      <c r="AEH718"/>
      <c r="AEI718"/>
      <c r="AEJ718"/>
      <c r="AEK718"/>
      <c r="AEL718"/>
      <c r="AEM718"/>
      <c r="AEN718"/>
      <c r="AEO718"/>
      <c r="AEP718"/>
      <c r="AEQ718"/>
      <c r="AER718"/>
      <c r="AES718"/>
      <c r="AET718"/>
      <c r="AEU718"/>
      <c r="AEV718"/>
      <c r="AEW718"/>
      <c r="AEX718"/>
      <c r="AEY718"/>
      <c r="AEZ718"/>
      <c r="AFA718"/>
      <c r="AFB718"/>
      <c r="AFC718"/>
      <c r="AFD718"/>
      <c r="AFE718"/>
      <c r="AFF718"/>
      <c r="AFG718"/>
      <c r="AFH718"/>
      <c r="AFI718"/>
      <c r="AFJ718"/>
      <c r="AFK718"/>
      <c r="AFL718"/>
      <c r="AFM718"/>
      <c r="AFN718"/>
      <c r="AFO718"/>
      <c r="AFP718"/>
      <c r="AFQ718"/>
      <c r="AFR718"/>
      <c r="AFS718"/>
      <c r="AFT718"/>
      <c r="AFU718"/>
      <c r="AFV718"/>
      <c r="AFW718"/>
      <c r="AFX718"/>
      <c r="AFY718"/>
      <c r="AFZ718"/>
      <c r="AGA718"/>
      <c r="AGB718"/>
      <c r="AGC718"/>
      <c r="AGD718"/>
      <c r="AGE718"/>
      <c r="AGF718"/>
      <c r="AGG718"/>
      <c r="AGH718"/>
      <c r="AGI718"/>
      <c r="AGJ718"/>
      <c r="AGK718"/>
      <c r="AGL718"/>
      <c r="AGM718"/>
      <c r="AGN718"/>
      <c r="AGO718"/>
      <c r="AGP718"/>
      <c r="AGQ718"/>
      <c r="AGR718"/>
      <c r="AGS718"/>
      <c r="AGT718"/>
      <c r="AGU718"/>
      <c r="AGV718"/>
      <c r="AGW718"/>
      <c r="AGX718"/>
      <c r="AGY718"/>
      <c r="AGZ718"/>
      <c r="AHA718"/>
      <c r="AHB718"/>
      <c r="AHC718"/>
      <c r="AHD718"/>
      <c r="AHE718"/>
      <c r="AHF718"/>
      <c r="AHG718"/>
      <c r="AHH718"/>
      <c r="AHI718"/>
      <c r="AHJ718"/>
      <c r="AHK718"/>
      <c r="AHL718"/>
      <c r="AHM718"/>
      <c r="AHN718"/>
      <c r="AHO718"/>
      <c r="AHP718"/>
      <c r="AHQ718"/>
      <c r="AHR718"/>
      <c r="AHS718"/>
      <c r="AHT718"/>
      <c r="AHU718"/>
      <c r="AHV718"/>
      <c r="AHW718"/>
      <c r="AHX718"/>
      <c r="AHY718"/>
      <c r="AHZ718"/>
      <c r="AIA718"/>
      <c r="AIB718"/>
      <c r="AIC718"/>
      <c r="AID718"/>
      <c r="AIE718"/>
      <c r="AIF718"/>
      <c r="AIG718"/>
      <c r="AIH718"/>
      <c r="AII718"/>
      <c r="AIJ718"/>
      <c r="AIK718"/>
      <c r="AIL718"/>
      <c r="AIM718"/>
      <c r="AIN718"/>
      <c r="AIO718"/>
      <c r="AIP718"/>
      <c r="AIQ718"/>
      <c r="AIR718"/>
      <c r="AIS718"/>
      <c r="AIT718"/>
      <c r="AIU718"/>
      <c r="AIV718"/>
      <c r="AIW718"/>
      <c r="AIX718"/>
      <c r="AIY718"/>
      <c r="AIZ718"/>
      <c r="AJA718"/>
      <c r="AJB718"/>
      <c r="AJC718"/>
      <c r="AJD718"/>
      <c r="AJE718"/>
      <c r="AJF718"/>
      <c r="AJG718"/>
      <c r="AJH718"/>
      <c r="AJI718"/>
      <c r="AJJ718"/>
      <c r="AJK718"/>
      <c r="AJL718"/>
      <c r="AJM718"/>
      <c r="AJN718"/>
      <c r="AJO718"/>
      <c r="AJP718"/>
      <c r="AJQ718"/>
      <c r="AJR718"/>
      <c r="AJS718"/>
      <c r="AJT718"/>
      <c r="AJU718"/>
      <c r="AJV718"/>
      <c r="AJW718"/>
      <c r="AJX718"/>
      <c r="AJY718"/>
      <c r="AJZ718"/>
      <c r="AKA718"/>
      <c r="AKB718"/>
      <c r="AKC718"/>
      <c r="AKD718"/>
      <c r="AKE718"/>
      <c r="AKF718"/>
      <c r="AKG718"/>
      <c r="AKH718"/>
      <c r="AKI718"/>
      <c r="AKJ718"/>
      <c r="AKK718"/>
      <c r="AKL718"/>
      <c r="AKM718"/>
      <c r="AKN718"/>
      <c r="AKO718"/>
      <c r="AKP718"/>
      <c r="AKQ718"/>
      <c r="AKR718"/>
      <c r="AKS718"/>
      <c r="AKT718"/>
      <c r="AKU718"/>
      <c r="AKV718"/>
      <c r="AKW718"/>
      <c r="AKX718"/>
      <c r="AKY718"/>
      <c r="AKZ718"/>
      <c r="ALA718"/>
      <c r="ALB718"/>
      <c r="ALC718"/>
      <c r="ALD718"/>
      <c r="ALE718"/>
      <c r="ALF718"/>
      <c r="ALG718"/>
      <c r="ALH718"/>
      <c r="ALI718"/>
      <c r="ALJ718"/>
      <c r="ALK718"/>
      <c r="ALL718"/>
      <c r="ALM718"/>
      <c r="ALN718"/>
      <c r="ALO718"/>
      <c r="ALP718"/>
      <c r="ALQ718"/>
      <c r="ALR718"/>
      <c r="ALS718"/>
      <c r="ALT718"/>
      <c r="ALU718"/>
      <c r="ALV718"/>
      <c r="ALW718"/>
      <c r="ALX718"/>
      <c r="ALY718"/>
      <c r="ALZ718"/>
      <c r="AMA718"/>
      <c r="AMB718"/>
      <c r="AMC718"/>
      <c r="AMD718"/>
      <c r="AME718"/>
      <c r="AMF718"/>
      <c r="AMG718"/>
      <c r="AMH718"/>
      <c r="AMI718"/>
      <c r="AMJ718"/>
      <c r="AMK718"/>
    </row>
    <row r="719" spans="1:1025">
      <c r="A719"/>
      <c r="B719"/>
      <c r="C719"/>
      <c r="J719" s="386">
        <v>14041757</v>
      </c>
      <c r="L719" s="386">
        <v>14041757</v>
      </c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  <c r="FK719"/>
      <c r="FL719"/>
      <c r="FM719"/>
      <c r="FN719"/>
      <c r="FO719"/>
      <c r="FP719"/>
      <c r="FQ719"/>
      <c r="FR719"/>
      <c r="FS719"/>
      <c r="FT719"/>
      <c r="FU719"/>
      <c r="FV719"/>
      <c r="FW719"/>
      <c r="FX719"/>
      <c r="FY719"/>
      <c r="FZ719"/>
      <c r="GA719"/>
      <c r="GB719"/>
      <c r="GC719"/>
      <c r="GD719"/>
      <c r="GE719"/>
      <c r="GF719"/>
      <c r="GG719"/>
      <c r="GH719"/>
      <c r="GI719"/>
      <c r="GJ719"/>
      <c r="GK719"/>
      <c r="GL719"/>
      <c r="GM719"/>
      <c r="GN719"/>
      <c r="GO719"/>
      <c r="GP719"/>
      <c r="GQ719"/>
      <c r="GR719"/>
      <c r="GS719"/>
      <c r="GT719"/>
      <c r="GU719"/>
      <c r="GV719"/>
      <c r="GW719"/>
      <c r="GX719"/>
      <c r="GY719"/>
      <c r="GZ719"/>
      <c r="HA719"/>
      <c r="HB719"/>
      <c r="HC719"/>
      <c r="HD719"/>
      <c r="HE719"/>
      <c r="HF719"/>
      <c r="HG719"/>
      <c r="HH719"/>
      <c r="HI719"/>
      <c r="HJ719"/>
      <c r="HK719"/>
      <c r="HL719"/>
      <c r="HM719"/>
      <c r="HN719"/>
      <c r="HO719"/>
      <c r="HP719"/>
      <c r="HQ719"/>
      <c r="HR719"/>
      <c r="HS719"/>
      <c r="HT719"/>
      <c r="HU719"/>
      <c r="HV719"/>
      <c r="HW719"/>
      <c r="HX719"/>
      <c r="HY719"/>
      <c r="HZ719"/>
      <c r="IA719"/>
      <c r="IB719"/>
      <c r="IC719"/>
      <c r="ID719"/>
      <c r="IE719"/>
      <c r="IF719"/>
      <c r="IG719"/>
      <c r="IH719"/>
      <c r="II719"/>
      <c r="IJ719"/>
      <c r="IK719"/>
      <c r="IL719"/>
      <c r="IM719"/>
      <c r="IN719"/>
      <c r="IO719"/>
      <c r="IP719"/>
      <c r="IQ719"/>
      <c r="IR719"/>
      <c r="IS719"/>
      <c r="IT719"/>
      <c r="IU719"/>
      <c r="IV719"/>
      <c r="IW719"/>
      <c r="IX719"/>
      <c r="IY719"/>
      <c r="IZ719"/>
      <c r="JA719"/>
      <c r="JB719"/>
      <c r="JC719"/>
      <c r="JD719"/>
      <c r="JE719"/>
      <c r="JF719"/>
      <c r="JG719"/>
      <c r="JH719"/>
      <c r="JI719"/>
      <c r="JJ719"/>
      <c r="JK719"/>
      <c r="JL719"/>
      <c r="JM719"/>
      <c r="JN719"/>
      <c r="JO719"/>
      <c r="JP719"/>
      <c r="JQ719"/>
      <c r="JR719"/>
      <c r="JS719"/>
      <c r="JT719"/>
      <c r="JU719"/>
      <c r="JV719"/>
      <c r="JW719"/>
      <c r="JX719"/>
      <c r="JY719"/>
      <c r="JZ719"/>
      <c r="KA719"/>
      <c r="KB719"/>
      <c r="KC719"/>
      <c r="KD719"/>
      <c r="KE719"/>
      <c r="KF719"/>
      <c r="KG719"/>
      <c r="KH719"/>
      <c r="KI719"/>
      <c r="KJ719"/>
      <c r="KK719"/>
      <c r="KL719"/>
      <c r="KM719"/>
      <c r="KN719"/>
      <c r="KO719"/>
      <c r="KP719"/>
      <c r="KQ719"/>
      <c r="KR719"/>
      <c r="KS719"/>
      <c r="KT719"/>
      <c r="KU719"/>
      <c r="KV719"/>
      <c r="KW719"/>
      <c r="KX719"/>
      <c r="KY719"/>
      <c r="KZ719"/>
      <c r="LA719"/>
      <c r="LB719"/>
      <c r="LC719"/>
      <c r="LD719"/>
      <c r="LE719"/>
      <c r="LF719"/>
      <c r="LG719"/>
      <c r="LH719"/>
      <c r="LI719"/>
      <c r="LJ719"/>
      <c r="LK719"/>
      <c r="LL719"/>
      <c r="LM719"/>
      <c r="LN719"/>
      <c r="LO719"/>
      <c r="LP719"/>
      <c r="LQ719"/>
      <c r="LR719"/>
      <c r="LS719"/>
      <c r="LT719"/>
      <c r="LU719"/>
      <c r="LV719"/>
      <c r="LW719"/>
      <c r="LX719"/>
      <c r="LY719"/>
      <c r="LZ719"/>
      <c r="MA719"/>
      <c r="MB719"/>
      <c r="MC719"/>
      <c r="MD719"/>
      <c r="ME719"/>
      <c r="MF719"/>
      <c r="MG719"/>
      <c r="MH719"/>
      <c r="MI719"/>
      <c r="MJ719"/>
      <c r="MK719"/>
      <c r="ML719"/>
      <c r="MM719"/>
      <c r="MN719"/>
      <c r="MO719"/>
      <c r="MP719"/>
      <c r="MQ719"/>
      <c r="MR719"/>
      <c r="MS719"/>
      <c r="MT719"/>
      <c r="MU719"/>
      <c r="MV719"/>
      <c r="MW719"/>
      <c r="MX719"/>
      <c r="MY719"/>
      <c r="MZ719"/>
      <c r="NA719"/>
      <c r="NB719"/>
      <c r="NC719"/>
      <c r="ND719"/>
      <c r="NE719"/>
      <c r="NF719"/>
      <c r="NG719"/>
      <c r="NH719"/>
      <c r="NI719"/>
      <c r="NJ719"/>
      <c r="NK719"/>
      <c r="NL719"/>
      <c r="NM719"/>
      <c r="NN719"/>
      <c r="NO719"/>
      <c r="NP719"/>
      <c r="NQ719"/>
      <c r="NR719"/>
      <c r="NS719"/>
      <c r="NT719"/>
      <c r="NU719"/>
      <c r="NV719"/>
      <c r="NW719"/>
      <c r="NX719"/>
      <c r="NY719"/>
      <c r="NZ719"/>
      <c r="OA719"/>
      <c r="OB719"/>
      <c r="OC719"/>
      <c r="OD719"/>
      <c r="OE719"/>
      <c r="OF719"/>
      <c r="OG719"/>
      <c r="OH719"/>
      <c r="OI719"/>
      <c r="OJ719"/>
      <c r="OK719"/>
      <c r="OL719"/>
      <c r="OM719"/>
      <c r="ON719"/>
      <c r="OO719"/>
      <c r="OP719"/>
      <c r="OQ719"/>
      <c r="OR719"/>
      <c r="OS719"/>
      <c r="OT719"/>
      <c r="OU719"/>
      <c r="OV719"/>
      <c r="OW719"/>
      <c r="OX719"/>
      <c r="OY719"/>
      <c r="OZ719"/>
      <c r="PA719"/>
      <c r="PB719"/>
      <c r="PC719"/>
      <c r="PD719"/>
      <c r="PE719"/>
      <c r="PF719"/>
      <c r="PG719"/>
      <c r="PH719"/>
      <c r="PI719"/>
      <c r="PJ719"/>
      <c r="PK719"/>
      <c r="PL719"/>
      <c r="PM719"/>
      <c r="PN719"/>
      <c r="PO719"/>
      <c r="PP719"/>
      <c r="PQ719"/>
      <c r="PR719"/>
      <c r="PS719"/>
      <c r="PT719"/>
      <c r="PU719"/>
      <c r="PV719"/>
      <c r="PW719"/>
      <c r="PX719"/>
      <c r="PY719"/>
      <c r="PZ719"/>
      <c r="QA719"/>
      <c r="QB719"/>
      <c r="QC719"/>
      <c r="QD719"/>
      <c r="QE719"/>
      <c r="QF719"/>
      <c r="QG719"/>
      <c r="QH719"/>
      <c r="QI719"/>
      <c r="QJ719"/>
      <c r="QK719"/>
      <c r="QL719"/>
      <c r="QM719"/>
      <c r="QN719"/>
      <c r="QO719"/>
      <c r="QP719"/>
      <c r="QQ719"/>
      <c r="QR719"/>
      <c r="QS719"/>
      <c r="QT719"/>
      <c r="QU719"/>
      <c r="QV719"/>
      <c r="QW719"/>
      <c r="QX719"/>
      <c r="QY719"/>
      <c r="QZ719"/>
      <c r="RA719"/>
      <c r="RB719"/>
      <c r="RC719"/>
      <c r="RD719"/>
      <c r="RE719"/>
      <c r="RF719"/>
      <c r="RG719"/>
      <c r="RH719"/>
      <c r="RI719"/>
      <c r="RJ719"/>
      <c r="RK719"/>
      <c r="RL719"/>
      <c r="RM719"/>
      <c r="RN719"/>
      <c r="RO719"/>
      <c r="RP719"/>
      <c r="RQ719"/>
      <c r="RR719"/>
      <c r="RS719"/>
      <c r="RT719"/>
      <c r="RU719"/>
      <c r="RV719"/>
      <c r="RW719"/>
      <c r="RX719"/>
      <c r="RY719"/>
      <c r="RZ719"/>
      <c r="SA719"/>
      <c r="SB719"/>
      <c r="SC719"/>
      <c r="SD719"/>
      <c r="SE719"/>
      <c r="SF719"/>
      <c r="SG719"/>
      <c r="SH719"/>
      <c r="SI719"/>
      <c r="SJ719"/>
      <c r="SK719"/>
      <c r="SL719"/>
      <c r="SM719"/>
      <c r="SN719"/>
      <c r="SO719"/>
      <c r="SP719"/>
      <c r="SQ719"/>
      <c r="SR719"/>
      <c r="SS719"/>
      <c r="ST719"/>
      <c r="SU719"/>
      <c r="SV719"/>
      <c r="SW719"/>
      <c r="SX719"/>
      <c r="SY719"/>
      <c r="SZ719"/>
      <c r="TA719"/>
      <c r="TB719"/>
      <c r="TC719"/>
      <c r="TD719"/>
      <c r="TE719"/>
      <c r="TF719"/>
      <c r="TG719"/>
      <c r="TH719"/>
      <c r="TI719"/>
      <c r="TJ719"/>
      <c r="TK719"/>
      <c r="TL719"/>
      <c r="TM719"/>
      <c r="TN719"/>
      <c r="TO719"/>
      <c r="TP719"/>
      <c r="TQ719"/>
      <c r="TR719"/>
      <c r="TS719"/>
      <c r="TT719"/>
      <c r="TU719"/>
      <c r="TV719"/>
      <c r="TW719"/>
      <c r="TX719"/>
      <c r="TY719"/>
      <c r="TZ719"/>
      <c r="UA719"/>
      <c r="UB719"/>
      <c r="UC719"/>
      <c r="UD719"/>
      <c r="UE719"/>
      <c r="UF719"/>
      <c r="UG719"/>
      <c r="UH719"/>
      <c r="UI719"/>
      <c r="UJ719"/>
      <c r="UK719"/>
      <c r="UL719"/>
      <c r="UM719"/>
      <c r="UN719"/>
      <c r="UO719"/>
      <c r="UP719"/>
      <c r="UQ719"/>
      <c r="UR719"/>
      <c r="US719"/>
      <c r="UT719"/>
      <c r="UU719"/>
      <c r="UV719"/>
      <c r="UW719"/>
      <c r="UX719"/>
      <c r="UY719"/>
      <c r="UZ719"/>
      <c r="VA719"/>
      <c r="VB719"/>
      <c r="VC719"/>
      <c r="VD719"/>
      <c r="VE719"/>
      <c r="VF719"/>
      <c r="VG719"/>
      <c r="VH719"/>
      <c r="VI719"/>
      <c r="VJ719"/>
      <c r="VK719"/>
      <c r="VL719"/>
      <c r="VM719"/>
      <c r="VN719"/>
      <c r="VO719"/>
      <c r="VP719"/>
      <c r="VQ719"/>
      <c r="VR719"/>
      <c r="VS719"/>
      <c r="VT719"/>
      <c r="VU719"/>
      <c r="VV719"/>
      <c r="VW719"/>
      <c r="VX719"/>
      <c r="VY719"/>
      <c r="VZ719"/>
      <c r="WA719"/>
      <c r="WB719"/>
      <c r="WC719"/>
      <c r="WD719"/>
      <c r="WE719"/>
      <c r="WF719"/>
      <c r="WG719"/>
      <c r="WH719"/>
      <c r="WI719"/>
      <c r="WJ719"/>
      <c r="WK719"/>
      <c r="WL719"/>
      <c r="WM719"/>
      <c r="WN719"/>
      <c r="WO719"/>
      <c r="WP719"/>
      <c r="WQ719"/>
      <c r="WR719"/>
      <c r="WS719"/>
      <c r="WT719"/>
      <c r="WU719"/>
      <c r="WV719"/>
      <c r="WW719"/>
      <c r="WX719"/>
      <c r="WY719"/>
      <c r="WZ719"/>
      <c r="XA719"/>
      <c r="XB719"/>
      <c r="XC719"/>
      <c r="XD719"/>
      <c r="XE719"/>
      <c r="XF719"/>
      <c r="XG719"/>
      <c r="XH719"/>
      <c r="XI719"/>
      <c r="XJ719"/>
      <c r="XK719"/>
      <c r="XL719"/>
      <c r="XM719"/>
      <c r="XN719"/>
      <c r="XO719"/>
      <c r="XP719"/>
      <c r="XQ719"/>
      <c r="XR719"/>
      <c r="XS719"/>
      <c r="XT719"/>
      <c r="XU719"/>
      <c r="XV719"/>
      <c r="XW719"/>
      <c r="XX719"/>
      <c r="XY719"/>
      <c r="XZ719"/>
      <c r="YA719"/>
      <c r="YB719"/>
      <c r="YC719"/>
      <c r="YD719"/>
      <c r="YE719"/>
      <c r="YF719"/>
      <c r="YG719"/>
      <c r="YH719"/>
      <c r="YI719"/>
      <c r="YJ719"/>
      <c r="YK719"/>
      <c r="YL719"/>
      <c r="YM719"/>
      <c r="YN719"/>
      <c r="YO719"/>
      <c r="YP719"/>
      <c r="YQ719"/>
      <c r="YR719"/>
      <c r="YS719"/>
      <c r="YT719"/>
      <c r="YU719"/>
      <c r="YV719"/>
      <c r="YW719"/>
      <c r="YX719"/>
      <c r="YY719"/>
      <c r="YZ719"/>
      <c r="ZA719"/>
      <c r="ZB719"/>
      <c r="ZC719"/>
      <c r="ZD719"/>
      <c r="ZE719"/>
      <c r="ZF719"/>
      <c r="ZG719"/>
      <c r="ZH719"/>
      <c r="ZI719"/>
      <c r="ZJ719"/>
      <c r="ZK719"/>
      <c r="ZL719"/>
      <c r="ZM719"/>
      <c r="ZN719"/>
      <c r="ZO719"/>
      <c r="ZP719"/>
      <c r="ZQ719"/>
      <c r="ZR719"/>
      <c r="ZS719"/>
      <c r="ZT719"/>
      <c r="ZU719"/>
      <c r="ZV719"/>
      <c r="ZW719"/>
      <c r="ZX719"/>
      <c r="ZY719"/>
      <c r="ZZ719"/>
      <c r="AAA719"/>
      <c r="AAB719"/>
      <c r="AAC719"/>
      <c r="AAD719"/>
      <c r="AAE719"/>
      <c r="AAF719"/>
      <c r="AAG719"/>
      <c r="AAH719"/>
      <c r="AAI719"/>
      <c r="AAJ719"/>
      <c r="AAK719"/>
      <c r="AAL719"/>
      <c r="AAM719"/>
      <c r="AAN719"/>
      <c r="AAO719"/>
      <c r="AAP719"/>
      <c r="AAQ719"/>
      <c r="AAR719"/>
      <c r="AAS719"/>
      <c r="AAT719"/>
      <c r="AAU719"/>
      <c r="AAV719"/>
      <c r="AAW719"/>
      <c r="AAX719"/>
      <c r="AAY719"/>
      <c r="AAZ719"/>
      <c r="ABA719"/>
      <c r="ABB719"/>
      <c r="ABC719"/>
      <c r="ABD719"/>
      <c r="ABE719"/>
      <c r="ABF719"/>
      <c r="ABG719"/>
      <c r="ABH719"/>
      <c r="ABI719"/>
      <c r="ABJ719"/>
      <c r="ABK719"/>
      <c r="ABL719"/>
      <c r="ABM719"/>
      <c r="ABN719"/>
      <c r="ABO719"/>
      <c r="ABP719"/>
      <c r="ABQ719"/>
      <c r="ABR719"/>
      <c r="ABS719"/>
      <c r="ABT719"/>
      <c r="ABU719"/>
      <c r="ABV719"/>
      <c r="ABW719"/>
      <c r="ABX719"/>
      <c r="ABY719"/>
      <c r="ABZ719"/>
      <c r="ACA719"/>
      <c r="ACB719"/>
      <c r="ACC719"/>
      <c r="ACD719"/>
      <c r="ACE719"/>
      <c r="ACF719"/>
      <c r="ACG719"/>
      <c r="ACH719"/>
      <c r="ACI719"/>
      <c r="ACJ719"/>
      <c r="ACK719"/>
      <c r="ACL719"/>
      <c r="ACM719"/>
      <c r="ACN719"/>
      <c r="ACO719"/>
      <c r="ACP719"/>
      <c r="ACQ719"/>
      <c r="ACR719"/>
      <c r="ACS719"/>
      <c r="ACT719"/>
      <c r="ACU719"/>
      <c r="ACV719"/>
      <c r="ACW719"/>
      <c r="ACX719"/>
      <c r="ACY719"/>
      <c r="ACZ719"/>
      <c r="ADA719"/>
      <c r="ADB719"/>
      <c r="ADC719"/>
      <c r="ADD719"/>
      <c r="ADE719"/>
      <c r="ADF719"/>
      <c r="ADG719"/>
      <c r="ADH719"/>
      <c r="ADI719"/>
      <c r="ADJ719"/>
      <c r="ADK719"/>
      <c r="ADL719"/>
      <c r="ADM719"/>
      <c r="ADN719"/>
      <c r="ADO719"/>
      <c r="ADP719"/>
      <c r="ADQ719"/>
      <c r="ADR719"/>
      <c r="ADS719"/>
      <c r="ADT719"/>
      <c r="ADU719"/>
      <c r="ADV719"/>
      <c r="ADW719"/>
      <c r="ADX719"/>
      <c r="ADY719"/>
      <c r="ADZ719"/>
      <c r="AEA719"/>
      <c r="AEB719"/>
      <c r="AEC719"/>
      <c r="AED719"/>
      <c r="AEE719"/>
      <c r="AEF719"/>
      <c r="AEG719"/>
      <c r="AEH719"/>
      <c r="AEI719"/>
      <c r="AEJ719"/>
      <c r="AEK719"/>
      <c r="AEL719"/>
      <c r="AEM719"/>
      <c r="AEN719"/>
      <c r="AEO719"/>
      <c r="AEP719"/>
      <c r="AEQ719"/>
      <c r="AER719"/>
      <c r="AES719"/>
      <c r="AET719"/>
      <c r="AEU719"/>
      <c r="AEV719"/>
      <c r="AEW719"/>
      <c r="AEX719"/>
      <c r="AEY719"/>
      <c r="AEZ719"/>
      <c r="AFA719"/>
      <c r="AFB719"/>
      <c r="AFC719"/>
      <c r="AFD719"/>
      <c r="AFE719"/>
      <c r="AFF719"/>
      <c r="AFG719"/>
      <c r="AFH719"/>
      <c r="AFI719"/>
      <c r="AFJ719"/>
      <c r="AFK719"/>
      <c r="AFL719"/>
      <c r="AFM719"/>
      <c r="AFN719"/>
      <c r="AFO719"/>
      <c r="AFP719"/>
      <c r="AFQ719"/>
      <c r="AFR719"/>
      <c r="AFS719"/>
      <c r="AFT719"/>
      <c r="AFU719"/>
      <c r="AFV719"/>
      <c r="AFW719"/>
      <c r="AFX719"/>
      <c r="AFY719"/>
      <c r="AFZ719"/>
      <c r="AGA719"/>
      <c r="AGB719"/>
      <c r="AGC719"/>
      <c r="AGD719"/>
      <c r="AGE719"/>
      <c r="AGF719"/>
      <c r="AGG719"/>
      <c r="AGH719"/>
      <c r="AGI719"/>
      <c r="AGJ719"/>
      <c r="AGK719"/>
      <c r="AGL719"/>
      <c r="AGM719"/>
      <c r="AGN719"/>
      <c r="AGO719"/>
      <c r="AGP719"/>
      <c r="AGQ719"/>
      <c r="AGR719"/>
      <c r="AGS719"/>
      <c r="AGT719"/>
      <c r="AGU719"/>
      <c r="AGV719"/>
      <c r="AGW719"/>
      <c r="AGX719"/>
      <c r="AGY719"/>
      <c r="AGZ719"/>
      <c r="AHA719"/>
      <c r="AHB719"/>
      <c r="AHC719"/>
      <c r="AHD719"/>
      <c r="AHE719"/>
      <c r="AHF719"/>
      <c r="AHG719"/>
      <c r="AHH719"/>
      <c r="AHI719"/>
      <c r="AHJ719"/>
      <c r="AHK719"/>
      <c r="AHL719"/>
      <c r="AHM719"/>
      <c r="AHN719"/>
      <c r="AHO719"/>
      <c r="AHP719"/>
      <c r="AHQ719"/>
      <c r="AHR719"/>
      <c r="AHS719"/>
      <c r="AHT719"/>
      <c r="AHU719"/>
      <c r="AHV719"/>
      <c r="AHW719"/>
      <c r="AHX719"/>
      <c r="AHY719"/>
      <c r="AHZ719"/>
      <c r="AIA719"/>
      <c r="AIB719"/>
      <c r="AIC719"/>
      <c r="AID719"/>
      <c r="AIE719"/>
      <c r="AIF719"/>
      <c r="AIG719"/>
      <c r="AIH719"/>
      <c r="AII719"/>
      <c r="AIJ719"/>
      <c r="AIK719"/>
      <c r="AIL719"/>
      <c r="AIM719"/>
      <c r="AIN719"/>
      <c r="AIO719"/>
      <c r="AIP719"/>
      <c r="AIQ719"/>
      <c r="AIR719"/>
      <c r="AIS719"/>
      <c r="AIT719"/>
      <c r="AIU719"/>
      <c r="AIV719"/>
      <c r="AIW719"/>
      <c r="AIX719"/>
      <c r="AIY719"/>
      <c r="AIZ719"/>
      <c r="AJA719"/>
      <c r="AJB719"/>
      <c r="AJC719"/>
      <c r="AJD719"/>
      <c r="AJE719"/>
      <c r="AJF719"/>
      <c r="AJG719"/>
      <c r="AJH719"/>
      <c r="AJI719"/>
      <c r="AJJ719"/>
      <c r="AJK719"/>
      <c r="AJL719"/>
      <c r="AJM719"/>
      <c r="AJN719"/>
      <c r="AJO719"/>
      <c r="AJP719"/>
      <c r="AJQ719"/>
      <c r="AJR719"/>
      <c r="AJS719"/>
      <c r="AJT719"/>
      <c r="AJU719"/>
      <c r="AJV719"/>
      <c r="AJW719"/>
      <c r="AJX719"/>
      <c r="AJY719"/>
      <c r="AJZ719"/>
      <c r="AKA719"/>
      <c r="AKB719"/>
      <c r="AKC719"/>
      <c r="AKD719"/>
      <c r="AKE719"/>
      <c r="AKF719"/>
      <c r="AKG719"/>
      <c r="AKH719"/>
      <c r="AKI719"/>
      <c r="AKJ719"/>
      <c r="AKK719"/>
      <c r="AKL719"/>
      <c r="AKM719"/>
      <c r="AKN719"/>
      <c r="AKO719"/>
      <c r="AKP719"/>
      <c r="AKQ719"/>
      <c r="AKR719"/>
      <c r="AKS719"/>
      <c r="AKT719"/>
      <c r="AKU719"/>
      <c r="AKV719"/>
      <c r="AKW719"/>
      <c r="AKX719"/>
      <c r="AKY719"/>
      <c r="AKZ719"/>
      <c r="ALA719"/>
      <c r="ALB719"/>
      <c r="ALC719"/>
      <c r="ALD719"/>
      <c r="ALE719"/>
      <c r="ALF719"/>
      <c r="ALG719"/>
      <c r="ALH719"/>
      <c r="ALI719"/>
      <c r="ALJ719"/>
      <c r="ALK719"/>
      <c r="ALL719"/>
      <c r="ALM719"/>
      <c r="ALN719"/>
      <c r="ALO719"/>
      <c r="ALP719"/>
      <c r="ALQ719"/>
      <c r="ALR719"/>
      <c r="ALS719"/>
      <c r="ALT719"/>
      <c r="ALU719"/>
      <c r="ALV719"/>
      <c r="ALW719"/>
      <c r="ALX719"/>
      <c r="ALY719"/>
      <c r="ALZ719"/>
      <c r="AMA719"/>
      <c r="AMB719"/>
      <c r="AMC719"/>
      <c r="AMD719"/>
      <c r="AME719"/>
      <c r="AMF719"/>
      <c r="AMG719"/>
      <c r="AMH719"/>
      <c r="AMI719"/>
      <c r="AMJ719"/>
      <c r="AMK719"/>
    </row>
    <row r="720" spans="1:1025">
      <c r="A720"/>
      <c r="B720"/>
      <c r="C720"/>
      <c r="J720" s="765">
        <f>J718-J719</f>
        <v>97178074.799999997</v>
      </c>
      <c r="L720" s="386">
        <v>97178074.799999997</v>
      </c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  <c r="FK720"/>
      <c r="FL720"/>
      <c r="FM720"/>
      <c r="FN720"/>
      <c r="FO720"/>
      <c r="FP720"/>
      <c r="FQ720"/>
      <c r="FR720"/>
      <c r="FS720"/>
      <c r="FT720"/>
      <c r="FU720"/>
      <c r="FV720"/>
      <c r="FW720"/>
      <c r="FX720"/>
      <c r="FY720"/>
      <c r="FZ720"/>
      <c r="GA720"/>
      <c r="GB720"/>
      <c r="GC720"/>
      <c r="GD720"/>
      <c r="GE720"/>
      <c r="GF720"/>
      <c r="GG720"/>
      <c r="GH720"/>
      <c r="GI720"/>
      <c r="GJ720"/>
      <c r="GK720"/>
      <c r="GL720"/>
      <c r="GM720"/>
      <c r="GN720"/>
      <c r="GO720"/>
      <c r="GP720"/>
      <c r="GQ720"/>
      <c r="GR720"/>
      <c r="GS720"/>
      <c r="GT720"/>
      <c r="GU720"/>
      <c r="GV720"/>
      <c r="GW720"/>
      <c r="GX720"/>
      <c r="GY720"/>
      <c r="GZ720"/>
      <c r="HA720"/>
      <c r="HB720"/>
      <c r="HC720"/>
      <c r="HD720"/>
      <c r="HE720"/>
      <c r="HF720"/>
      <c r="HG720"/>
      <c r="HH720"/>
      <c r="HI720"/>
      <c r="HJ720"/>
      <c r="HK720"/>
      <c r="HL720"/>
      <c r="HM720"/>
      <c r="HN720"/>
      <c r="HO720"/>
      <c r="HP720"/>
      <c r="HQ720"/>
      <c r="HR720"/>
      <c r="HS720"/>
      <c r="HT720"/>
      <c r="HU720"/>
      <c r="HV720"/>
      <c r="HW720"/>
      <c r="HX720"/>
      <c r="HY720"/>
      <c r="HZ720"/>
      <c r="IA720"/>
      <c r="IB720"/>
      <c r="IC720"/>
      <c r="ID720"/>
      <c r="IE720"/>
      <c r="IF720"/>
      <c r="IG720"/>
      <c r="IH720"/>
      <c r="II720"/>
      <c r="IJ720"/>
      <c r="IK720"/>
      <c r="IL720"/>
      <c r="IM720"/>
      <c r="IN720"/>
      <c r="IO720"/>
      <c r="IP720"/>
      <c r="IQ720"/>
      <c r="IR720"/>
      <c r="IS720"/>
      <c r="IT720"/>
      <c r="IU720"/>
      <c r="IV720"/>
      <c r="IW720"/>
      <c r="IX720"/>
      <c r="IY720"/>
      <c r="IZ720"/>
      <c r="JA720"/>
      <c r="JB720"/>
      <c r="JC720"/>
      <c r="JD720"/>
      <c r="JE720"/>
      <c r="JF720"/>
      <c r="JG720"/>
      <c r="JH720"/>
      <c r="JI720"/>
      <c r="JJ720"/>
      <c r="JK720"/>
      <c r="JL720"/>
      <c r="JM720"/>
      <c r="JN720"/>
      <c r="JO720"/>
      <c r="JP720"/>
      <c r="JQ720"/>
      <c r="JR720"/>
      <c r="JS720"/>
      <c r="JT720"/>
      <c r="JU720"/>
      <c r="JV720"/>
      <c r="JW720"/>
      <c r="JX720"/>
      <c r="JY720"/>
      <c r="JZ720"/>
      <c r="KA720"/>
      <c r="KB720"/>
      <c r="KC720"/>
      <c r="KD720"/>
      <c r="KE720"/>
      <c r="KF720"/>
      <c r="KG720"/>
      <c r="KH720"/>
      <c r="KI720"/>
      <c r="KJ720"/>
      <c r="KK720"/>
      <c r="KL720"/>
      <c r="KM720"/>
      <c r="KN720"/>
      <c r="KO720"/>
      <c r="KP720"/>
      <c r="KQ720"/>
      <c r="KR720"/>
      <c r="KS720"/>
      <c r="KT720"/>
      <c r="KU720"/>
      <c r="KV720"/>
      <c r="KW720"/>
      <c r="KX720"/>
      <c r="KY720"/>
      <c r="KZ720"/>
      <c r="LA720"/>
      <c r="LB720"/>
      <c r="LC720"/>
      <c r="LD720"/>
      <c r="LE720"/>
      <c r="LF720"/>
      <c r="LG720"/>
      <c r="LH720"/>
      <c r="LI720"/>
      <c r="LJ720"/>
      <c r="LK720"/>
      <c r="LL720"/>
      <c r="LM720"/>
      <c r="LN720"/>
      <c r="LO720"/>
      <c r="LP720"/>
      <c r="LQ720"/>
      <c r="LR720"/>
      <c r="LS720"/>
      <c r="LT720"/>
      <c r="LU720"/>
      <c r="LV720"/>
      <c r="LW720"/>
      <c r="LX720"/>
      <c r="LY720"/>
      <c r="LZ720"/>
      <c r="MA720"/>
      <c r="MB720"/>
      <c r="MC720"/>
      <c r="MD720"/>
      <c r="ME720"/>
      <c r="MF720"/>
      <c r="MG720"/>
      <c r="MH720"/>
      <c r="MI720"/>
      <c r="MJ720"/>
      <c r="MK720"/>
      <c r="ML720"/>
      <c r="MM720"/>
      <c r="MN720"/>
      <c r="MO720"/>
      <c r="MP720"/>
      <c r="MQ720"/>
      <c r="MR720"/>
      <c r="MS720"/>
      <c r="MT720"/>
      <c r="MU720"/>
      <c r="MV720"/>
      <c r="MW720"/>
      <c r="MX720"/>
      <c r="MY720"/>
      <c r="MZ720"/>
      <c r="NA720"/>
      <c r="NB720"/>
      <c r="NC720"/>
      <c r="ND720"/>
      <c r="NE720"/>
      <c r="NF720"/>
      <c r="NG720"/>
      <c r="NH720"/>
      <c r="NI720"/>
      <c r="NJ720"/>
      <c r="NK720"/>
      <c r="NL720"/>
      <c r="NM720"/>
      <c r="NN720"/>
      <c r="NO720"/>
      <c r="NP720"/>
      <c r="NQ720"/>
      <c r="NR720"/>
      <c r="NS720"/>
      <c r="NT720"/>
      <c r="NU720"/>
      <c r="NV720"/>
      <c r="NW720"/>
      <c r="NX720"/>
      <c r="NY720"/>
      <c r="NZ720"/>
      <c r="OA720"/>
      <c r="OB720"/>
      <c r="OC720"/>
      <c r="OD720"/>
      <c r="OE720"/>
      <c r="OF720"/>
      <c r="OG720"/>
      <c r="OH720"/>
      <c r="OI720"/>
      <c r="OJ720"/>
      <c r="OK720"/>
      <c r="OL720"/>
      <c r="OM720"/>
      <c r="ON720"/>
      <c r="OO720"/>
      <c r="OP720"/>
      <c r="OQ720"/>
      <c r="OR720"/>
      <c r="OS720"/>
      <c r="OT720"/>
      <c r="OU720"/>
      <c r="OV720"/>
      <c r="OW720"/>
      <c r="OX720"/>
      <c r="OY720"/>
      <c r="OZ720"/>
      <c r="PA720"/>
      <c r="PB720"/>
      <c r="PC720"/>
      <c r="PD720"/>
      <c r="PE720"/>
      <c r="PF720"/>
      <c r="PG720"/>
      <c r="PH720"/>
      <c r="PI720"/>
      <c r="PJ720"/>
      <c r="PK720"/>
      <c r="PL720"/>
      <c r="PM720"/>
      <c r="PN720"/>
      <c r="PO720"/>
      <c r="PP720"/>
      <c r="PQ720"/>
      <c r="PR720"/>
      <c r="PS720"/>
      <c r="PT720"/>
      <c r="PU720"/>
      <c r="PV720"/>
      <c r="PW720"/>
      <c r="PX720"/>
      <c r="PY720"/>
      <c r="PZ720"/>
      <c r="QA720"/>
      <c r="QB720"/>
      <c r="QC720"/>
      <c r="QD720"/>
      <c r="QE720"/>
      <c r="QF720"/>
      <c r="QG720"/>
      <c r="QH720"/>
      <c r="QI720"/>
      <c r="QJ720"/>
      <c r="QK720"/>
      <c r="QL720"/>
      <c r="QM720"/>
      <c r="QN720"/>
      <c r="QO720"/>
      <c r="QP720"/>
      <c r="QQ720"/>
      <c r="QR720"/>
      <c r="QS720"/>
      <c r="QT720"/>
      <c r="QU720"/>
      <c r="QV720"/>
      <c r="QW720"/>
      <c r="QX720"/>
      <c r="QY720"/>
      <c r="QZ720"/>
      <c r="RA720"/>
      <c r="RB720"/>
      <c r="RC720"/>
      <c r="RD720"/>
      <c r="RE720"/>
      <c r="RF720"/>
      <c r="RG720"/>
      <c r="RH720"/>
      <c r="RI720"/>
      <c r="RJ720"/>
      <c r="RK720"/>
      <c r="RL720"/>
      <c r="RM720"/>
      <c r="RN720"/>
      <c r="RO720"/>
      <c r="RP720"/>
      <c r="RQ720"/>
      <c r="RR720"/>
      <c r="RS720"/>
      <c r="RT720"/>
      <c r="RU720"/>
      <c r="RV720"/>
      <c r="RW720"/>
      <c r="RX720"/>
      <c r="RY720"/>
      <c r="RZ720"/>
      <c r="SA720"/>
      <c r="SB720"/>
      <c r="SC720"/>
      <c r="SD720"/>
      <c r="SE720"/>
      <c r="SF720"/>
      <c r="SG720"/>
      <c r="SH720"/>
      <c r="SI720"/>
      <c r="SJ720"/>
      <c r="SK720"/>
      <c r="SL720"/>
      <c r="SM720"/>
      <c r="SN720"/>
      <c r="SO720"/>
      <c r="SP720"/>
      <c r="SQ720"/>
      <c r="SR720"/>
      <c r="SS720"/>
      <c r="ST720"/>
      <c r="SU720"/>
      <c r="SV720"/>
      <c r="SW720"/>
      <c r="SX720"/>
      <c r="SY720"/>
      <c r="SZ720"/>
      <c r="TA720"/>
      <c r="TB720"/>
      <c r="TC720"/>
      <c r="TD720"/>
      <c r="TE720"/>
      <c r="TF720"/>
      <c r="TG720"/>
      <c r="TH720"/>
      <c r="TI720"/>
      <c r="TJ720"/>
      <c r="TK720"/>
      <c r="TL720"/>
      <c r="TM720"/>
      <c r="TN720"/>
      <c r="TO720"/>
      <c r="TP720"/>
      <c r="TQ720"/>
      <c r="TR720"/>
      <c r="TS720"/>
      <c r="TT720"/>
      <c r="TU720"/>
      <c r="TV720"/>
      <c r="TW720"/>
      <c r="TX720"/>
      <c r="TY720"/>
      <c r="TZ720"/>
      <c r="UA720"/>
      <c r="UB720"/>
      <c r="UC720"/>
      <c r="UD720"/>
      <c r="UE720"/>
      <c r="UF720"/>
      <c r="UG720"/>
      <c r="UH720"/>
      <c r="UI720"/>
      <c r="UJ720"/>
      <c r="UK720"/>
      <c r="UL720"/>
      <c r="UM720"/>
      <c r="UN720"/>
      <c r="UO720"/>
      <c r="UP720"/>
      <c r="UQ720"/>
      <c r="UR720"/>
      <c r="US720"/>
      <c r="UT720"/>
      <c r="UU720"/>
      <c r="UV720"/>
      <c r="UW720"/>
      <c r="UX720"/>
      <c r="UY720"/>
      <c r="UZ720"/>
      <c r="VA720"/>
      <c r="VB720"/>
      <c r="VC720"/>
      <c r="VD720"/>
      <c r="VE720"/>
      <c r="VF720"/>
      <c r="VG720"/>
      <c r="VH720"/>
      <c r="VI720"/>
      <c r="VJ720"/>
      <c r="VK720"/>
      <c r="VL720"/>
      <c r="VM720"/>
      <c r="VN720"/>
      <c r="VO720"/>
      <c r="VP720"/>
      <c r="VQ720"/>
      <c r="VR720"/>
      <c r="VS720"/>
      <c r="VT720"/>
      <c r="VU720"/>
      <c r="VV720"/>
      <c r="VW720"/>
      <c r="VX720"/>
      <c r="VY720"/>
      <c r="VZ720"/>
      <c r="WA720"/>
      <c r="WB720"/>
      <c r="WC720"/>
      <c r="WD720"/>
      <c r="WE720"/>
      <c r="WF720"/>
      <c r="WG720"/>
      <c r="WH720"/>
      <c r="WI720"/>
      <c r="WJ720"/>
      <c r="WK720"/>
      <c r="WL720"/>
      <c r="WM720"/>
      <c r="WN720"/>
      <c r="WO720"/>
      <c r="WP720"/>
      <c r="WQ720"/>
      <c r="WR720"/>
      <c r="WS720"/>
      <c r="WT720"/>
      <c r="WU720"/>
      <c r="WV720"/>
      <c r="WW720"/>
      <c r="WX720"/>
      <c r="WY720"/>
      <c r="WZ720"/>
      <c r="XA720"/>
      <c r="XB720"/>
      <c r="XC720"/>
      <c r="XD720"/>
      <c r="XE720"/>
      <c r="XF720"/>
      <c r="XG720"/>
      <c r="XH720"/>
      <c r="XI720"/>
      <c r="XJ720"/>
      <c r="XK720"/>
      <c r="XL720"/>
      <c r="XM720"/>
      <c r="XN720"/>
      <c r="XO720"/>
      <c r="XP720"/>
      <c r="XQ720"/>
      <c r="XR720"/>
      <c r="XS720"/>
      <c r="XT720"/>
      <c r="XU720"/>
      <c r="XV720"/>
      <c r="XW720"/>
      <c r="XX720"/>
      <c r="XY720"/>
      <c r="XZ720"/>
      <c r="YA720"/>
      <c r="YB720"/>
      <c r="YC720"/>
      <c r="YD720"/>
      <c r="YE720"/>
      <c r="YF720"/>
      <c r="YG720"/>
      <c r="YH720"/>
      <c r="YI720"/>
      <c r="YJ720"/>
      <c r="YK720"/>
      <c r="YL720"/>
      <c r="YM720"/>
      <c r="YN720"/>
      <c r="YO720"/>
      <c r="YP720"/>
      <c r="YQ720"/>
      <c r="YR720"/>
      <c r="YS720"/>
      <c r="YT720"/>
      <c r="YU720"/>
      <c r="YV720"/>
      <c r="YW720"/>
      <c r="YX720"/>
      <c r="YY720"/>
      <c r="YZ720"/>
      <c r="ZA720"/>
      <c r="ZB720"/>
      <c r="ZC720"/>
      <c r="ZD720"/>
      <c r="ZE720"/>
      <c r="ZF720"/>
      <c r="ZG720"/>
      <c r="ZH720"/>
      <c r="ZI720"/>
      <c r="ZJ720"/>
      <c r="ZK720"/>
      <c r="ZL720"/>
      <c r="ZM720"/>
      <c r="ZN720"/>
      <c r="ZO720"/>
      <c r="ZP720"/>
      <c r="ZQ720"/>
      <c r="ZR720"/>
      <c r="ZS720"/>
      <c r="ZT720"/>
      <c r="ZU720"/>
      <c r="ZV720"/>
      <c r="ZW720"/>
      <c r="ZX720"/>
      <c r="ZY720"/>
      <c r="ZZ720"/>
      <c r="AAA720"/>
      <c r="AAB720"/>
      <c r="AAC720"/>
      <c r="AAD720"/>
      <c r="AAE720"/>
      <c r="AAF720"/>
      <c r="AAG720"/>
      <c r="AAH720"/>
      <c r="AAI720"/>
      <c r="AAJ720"/>
      <c r="AAK720"/>
      <c r="AAL720"/>
      <c r="AAM720"/>
      <c r="AAN720"/>
      <c r="AAO720"/>
      <c r="AAP720"/>
      <c r="AAQ720"/>
      <c r="AAR720"/>
      <c r="AAS720"/>
      <c r="AAT720"/>
      <c r="AAU720"/>
      <c r="AAV720"/>
      <c r="AAW720"/>
      <c r="AAX720"/>
      <c r="AAY720"/>
      <c r="AAZ720"/>
      <c r="ABA720"/>
      <c r="ABB720"/>
      <c r="ABC720"/>
      <c r="ABD720"/>
      <c r="ABE720"/>
      <c r="ABF720"/>
      <c r="ABG720"/>
      <c r="ABH720"/>
      <c r="ABI720"/>
      <c r="ABJ720"/>
      <c r="ABK720"/>
      <c r="ABL720"/>
      <c r="ABM720"/>
      <c r="ABN720"/>
      <c r="ABO720"/>
      <c r="ABP720"/>
      <c r="ABQ720"/>
      <c r="ABR720"/>
      <c r="ABS720"/>
      <c r="ABT720"/>
      <c r="ABU720"/>
      <c r="ABV720"/>
      <c r="ABW720"/>
      <c r="ABX720"/>
      <c r="ABY720"/>
      <c r="ABZ720"/>
      <c r="ACA720"/>
      <c r="ACB720"/>
      <c r="ACC720"/>
      <c r="ACD720"/>
      <c r="ACE720"/>
      <c r="ACF720"/>
      <c r="ACG720"/>
      <c r="ACH720"/>
      <c r="ACI720"/>
      <c r="ACJ720"/>
      <c r="ACK720"/>
      <c r="ACL720"/>
      <c r="ACM720"/>
      <c r="ACN720"/>
      <c r="ACO720"/>
      <c r="ACP720"/>
      <c r="ACQ720"/>
      <c r="ACR720"/>
      <c r="ACS720"/>
      <c r="ACT720"/>
      <c r="ACU720"/>
      <c r="ACV720"/>
      <c r="ACW720"/>
      <c r="ACX720"/>
      <c r="ACY720"/>
      <c r="ACZ720"/>
      <c r="ADA720"/>
      <c r="ADB720"/>
      <c r="ADC720"/>
      <c r="ADD720"/>
      <c r="ADE720"/>
      <c r="ADF720"/>
      <c r="ADG720"/>
      <c r="ADH720"/>
      <c r="ADI720"/>
      <c r="ADJ720"/>
      <c r="ADK720"/>
      <c r="ADL720"/>
      <c r="ADM720"/>
      <c r="ADN720"/>
      <c r="ADO720"/>
      <c r="ADP720"/>
      <c r="ADQ720"/>
      <c r="ADR720"/>
      <c r="ADS720"/>
      <c r="ADT720"/>
      <c r="ADU720"/>
      <c r="ADV720"/>
      <c r="ADW720"/>
      <c r="ADX720"/>
      <c r="ADY720"/>
      <c r="ADZ720"/>
      <c r="AEA720"/>
      <c r="AEB720"/>
      <c r="AEC720"/>
      <c r="AED720"/>
      <c r="AEE720"/>
      <c r="AEF720"/>
      <c r="AEG720"/>
      <c r="AEH720"/>
      <c r="AEI720"/>
      <c r="AEJ720"/>
      <c r="AEK720"/>
      <c r="AEL720"/>
      <c r="AEM720"/>
      <c r="AEN720"/>
      <c r="AEO720"/>
      <c r="AEP720"/>
      <c r="AEQ720"/>
      <c r="AER720"/>
      <c r="AES720"/>
      <c r="AET720"/>
      <c r="AEU720"/>
      <c r="AEV720"/>
      <c r="AEW720"/>
      <c r="AEX720"/>
      <c r="AEY720"/>
      <c r="AEZ720"/>
      <c r="AFA720"/>
      <c r="AFB720"/>
      <c r="AFC720"/>
      <c r="AFD720"/>
      <c r="AFE720"/>
      <c r="AFF720"/>
      <c r="AFG720"/>
      <c r="AFH720"/>
      <c r="AFI720"/>
      <c r="AFJ720"/>
      <c r="AFK720"/>
      <c r="AFL720"/>
      <c r="AFM720"/>
      <c r="AFN720"/>
      <c r="AFO720"/>
      <c r="AFP720"/>
      <c r="AFQ720"/>
      <c r="AFR720"/>
      <c r="AFS720"/>
      <c r="AFT720"/>
      <c r="AFU720"/>
      <c r="AFV720"/>
      <c r="AFW720"/>
      <c r="AFX720"/>
      <c r="AFY720"/>
      <c r="AFZ720"/>
      <c r="AGA720"/>
      <c r="AGB720"/>
      <c r="AGC720"/>
      <c r="AGD720"/>
      <c r="AGE720"/>
      <c r="AGF720"/>
      <c r="AGG720"/>
      <c r="AGH720"/>
      <c r="AGI720"/>
      <c r="AGJ720"/>
      <c r="AGK720"/>
      <c r="AGL720"/>
      <c r="AGM720"/>
      <c r="AGN720"/>
      <c r="AGO720"/>
      <c r="AGP720"/>
      <c r="AGQ720"/>
      <c r="AGR720"/>
      <c r="AGS720"/>
      <c r="AGT720"/>
      <c r="AGU720"/>
      <c r="AGV720"/>
      <c r="AGW720"/>
      <c r="AGX720"/>
      <c r="AGY720"/>
      <c r="AGZ720"/>
      <c r="AHA720"/>
      <c r="AHB720"/>
      <c r="AHC720"/>
      <c r="AHD720"/>
      <c r="AHE720"/>
      <c r="AHF720"/>
      <c r="AHG720"/>
      <c r="AHH720"/>
      <c r="AHI720"/>
      <c r="AHJ720"/>
      <c r="AHK720"/>
      <c r="AHL720"/>
      <c r="AHM720"/>
      <c r="AHN720"/>
      <c r="AHO720"/>
      <c r="AHP720"/>
      <c r="AHQ720"/>
      <c r="AHR720"/>
      <c r="AHS720"/>
      <c r="AHT720"/>
      <c r="AHU720"/>
      <c r="AHV720"/>
      <c r="AHW720"/>
      <c r="AHX720"/>
      <c r="AHY720"/>
      <c r="AHZ720"/>
      <c r="AIA720"/>
      <c r="AIB720"/>
      <c r="AIC720"/>
      <c r="AID720"/>
      <c r="AIE720"/>
      <c r="AIF720"/>
      <c r="AIG720"/>
      <c r="AIH720"/>
      <c r="AII720"/>
      <c r="AIJ720"/>
      <c r="AIK720"/>
      <c r="AIL720"/>
      <c r="AIM720"/>
      <c r="AIN720"/>
      <c r="AIO720"/>
      <c r="AIP720"/>
      <c r="AIQ720"/>
      <c r="AIR720"/>
      <c r="AIS720"/>
      <c r="AIT720"/>
      <c r="AIU720"/>
      <c r="AIV720"/>
      <c r="AIW720"/>
      <c r="AIX720"/>
      <c r="AIY720"/>
      <c r="AIZ720"/>
      <c r="AJA720"/>
      <c r="AJB720"/>
      <c r="AJC720"/>
      <c r="AJD720"/>
      <c r="AJE720"/>
      <c r="AJF720"/>
      <c r="AJG720"/>
      <c r="AJH720"/>
      <c r="AJI720"/>
      <c r="AJJ720"/>
      <c r="AJK720"/>
      <c r="AJL720"/>
      <c r="AJM720"/>
      <c r="AJN720"/>
      <c r="AJO720"/>
      <c r="AJP720"/>
      <c r="AJQ720"/>
      <c r="AJR720"/>
      <c r="AJS720"/>
      <c r="AJT720"/>
      <c r="AJU720"/>
      <c r="AJV720"/>
      <c r="AJW720"/>
      <c r="AJX720"/>
      <c r="AJY720"/>
      <c r="AJZ720"/>
      <c r="AKA720"/>
      <c r="AKB720"/>
      <c r="AKC720"/>
      <c r="AKD720"/>
      <c r="AKE720"/>
      <c r="AKF720"/>
      <c r="AKG720"/>
      <c r="AKH720"/>
      <c r="AKI720"/>
      <c r="AKJ720"/>
      <c r="AKK720"/>
      <c r="AKL720"/>
      <c r="AKM720"/>
      <c r="AKN720"/>
      <c r="AKO720"/>
      <c r="AKP720"/>
      <c r="AKQ720"/>
      <c r="AKR720"/>
      <c r="AKS720"/>
      <c r="AKT720"/>
      <c r="AKU720"/>
      <c r="AKV720"/>
      <c r="AKW720"/>
      <c r="AKX720"/>
      <c r="AKY720"/>
      <c r="AKZ720"/>
      <c r="ALA720"/>
      <c r="ALB720"/>
      <c r="ALC720"/>
      <c r="ALD720"/>
      <c r="ALE720"/>
      <c r="ALF720"/>
      <c r="ALG720"/>
      <c r="ALH720"/>
      <c r="ALI720"/>
      <c r="ALJ720"/>
      <c r="ALK720"/>
      <c r="ALL720"/>
      <c r="ALM720"/>
      <c r="ALN720"/>
      <c r="ALO720"/>
      <c r="ALP720"/>
      <c r="ALQ720"/>
      <c r="ALR720"/>
      <c r="ALS720"/>
      <c r="ALT720"/>
      <c r="ALU720"/>
      <c r="ALV720"/>
      <c r="ALW720"/>
      <c r="ALX720"/>
      <c r="ALY720"/>
      <c r="ALZ720"/>
      <c r="AMA720"/>
      <c r="AMB720"/>
      <c r="AMC720"/>
      <c r="AMD720"/>
      <c r="AME720"/>
      <c r="AMF720"/>
      <c r="AMG720"/>
      <c r="AMH720"/>
      <c r="AMI720"/>
      <c r="AMJ720"/>
      <c r="AMK720"/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40"/>
  <sheetViews>
    <sheetView zoomScaleNormal="100" workbookViewId="0">
      <selection sqref="A1:N40"/>
    </sheetView>
  </sheetViews>
  <sheetFormatPr defaultRowHeight="15"/>
  <cols>
    <col min="5" max="5" width="26.140625" customWidth="1"/>
    <col min="6" max="6" width="29.42578125" customWidth="1"/>
    <col min="7" max="7" width="9.140625" customWidth="1"/>
    <col min="8" max="9" width="13.42578125" customWidth="1"/>
    <col min="10" max="11" width="9.140625" customWidth="1"/>
    <col min="12" max="12" width="12.5703125" customWidth="1"/>
    <col min="13" max="13" width="11" customWidth="1"/>
    <col min="14" max="14" width="18.42578125" customWidth="1"/>
  </cols>
  <sheetData>
    <row r="1" spans="1:14" ht="15.75" customHeight="1">
      <c r="A1" s="1425" t="s">
        <v>3131</v>
      </c>
      <c r="B1" s="1426"/>
      <c r="C1" s="1426"/>
      <c r="D1" s="1426"/>
      <c r="E1" s="1426"/>
      <c r="F1" s="1426"/>
      <c r="G1" s="1426"/>
      <c r="H1" s="1426"/>
      <c r="I1" s="1426"/>
      <c r="J1" s="1426"/>
      <c r="K1" s="1426"/>
      <c r="L1" s="1426"/>
      <c r="M1" s="1426"/>
      <c r="N1" s="1427"/>
    </row>
    <row r="2" spans="1:14" ht="66" customHeight="1">
      <c r="A2" s="1428" t="s">
        <v>888</v>
      </c>
      <c r="B2" s="1428" t="s">
        <v>2797</v>
      </c>
      <c r="C2" s="1430" t="s">
        <v>3044</v>
      </c>
      <c r="D2" s="1431"/>
      <c r="E2" s="1434" t="s">
        <v>3097</v>
      </c>
      <c r="F2" s="1436" t="s">
        <v>3098</v>
      </c>
      <c r="G2" s="1428" t="s">
        <v>3099</v>
      </c>
      <c r="H2" s="1438" t="s">
        <v>3049</v>
      </c>
      <c r="I2" s="1439"/>
      <c r="J2" s="1440"/>
      <c r="K2" s="1206" t="s">
        <v>3050</v>
      </c>
      <c r="L2" s="1206" t="s">
        <v>3051</v>
      </c>
      <c r="M2" s="1441" t="s">
        <v>3052</v>
      </c>
      <c r="N2" s="1441" t="s">
        <v>3053</v>
      </c>
    </row>
    <row r="3" spans="1:14" ht="31.5">
      <c r="A3" s="1429"/>
      <c r="B3" s="1429"/>
      <c r="C3" s="1432"/>
      <c r="D3" s="1433"/>
      <c r="E3" s="1435"/>
      <c r="F3" s="1437"/>
      <c r="G3" s="1429"/>
      <c r="H3" s="1207" t="s">
        <v>3054</v>
      </c>
      <c r="I3" s="1207" t="s">
        <v>3055</v>
      </c>
      <c r="J3" s="1206" t="s">
        <v>896</v>
      </c>
      <c r="K3" s="1206" t="s">
        <v>135</v>
      </c>
      <c r="L3" s="1206" t="s">
        <v>3056</v>
      </c>
      <c r="M3" s="1442"/>
      <c r="N3" s="1442"/>
    </row>
    <row r="4" spans="1:14" ht="15.75">
      <c r="A4" s="1208">
        <v>1</v>
      </c>
      <c r="B4" s="1208">
        <v>2</v>
      </c>
      <c r="C4" s="1425">
        <v>3</v>
      </c>
      <c r="D4" s="1427"/>
      <c r="E4" s="1209">
        <v>4</v>
      </c>
      <c r="F4" s="1208">
        <v>5</v>
      </c>
      <c r="G4" s="1208">
        <v>6</v>
      </c>
      <c r="H4" s="1206">
        <v>7</v>
      </c>
      <c r="I4" s="1206">
        <v>8</v>
      </c>
      <c r="J4" s="1206">
        <v>9</v>
      </c>
      <c r="K4" s="1206">
        <v>10</v>
      </c>
      <c r="L4" s="1206">
        <v>11</v>
      </c>
      <c r="M4" s="1206">
        <v>12</v>
      </c>
      <c r="N4" s="1206">
        <v>13</v>
      </c>
    </row>
    <row r="5" spans="1:14" ht="15" customHeight="1">
      <c r="A5" s="1210">
        <v>1</v>
      </c>
      <c r="B5" s="1421"/>
      <c r="C5" s="1408" t="s">
        <v>82</v>
      </c>
      <c r="D5" s="1409"/>
      <c r="E5" s="1410" t="s">
        <v>3100</v>
      </c>
      <c r="F5" s="1211" t="s">
        <v>1375</v>
      </c>
      <c r="G5" s="1175" t="s">
        <v>3057</v>
      </c>
      <c r="H5" s="1212">
        <v>143228.29999999999</v>
      </c>
      <c r="I5" s="1212">
        <v>145467.29999999999</v>
      </c>
      <c r="J5" s="1213">
        <f>I5-H5</f>
        <v>2239</v>
      </c>
      <c r="K5" s="1214">
        <v>2000</v>
      </c>
      <c r="L5" s="1214">
        <f>J5*K5</f>
        <v>4478000</v>
      </c>
      <c r="M5" s="1215">
        <v>0</v>
      </c>
      <c r="N5" s="1213">
        <f>(L5+M5)/100000</f>
        <v>44.78</v>
      </c>
    </row>
    <row r="6" spans="1:14">
      <c r="A6" s="1210">
        <v>2</v>
      </c>
      <c r="B6" s="1422"/>
      <c r="C6" s="1413" t="s">
        <v>80</v>
      </c>
      <c r="D6" s="1414"/>
      <c r="E6" s="1411"/>
      <c r="F6" s="1211" t="s">
        <v>925</v>
      </c>
      <c r="G6" s="1175" t="s">
        <v>3057</v>
      </c>
      <c r="H6" s="1212">
        <v>165931.70000000001</v>
      </c>
      <c r="I6" s="1212">
        <v>167831.8</v>
      </c>
      <c r="J6" s="1213">
        <f t="shared" ref="J6:J40" si="0">I6-H6</f>
        <v>1900.0999999999767</v>
      </c>
      <c r="K6" s="1214">
        <v>2000</v>
      </c>
      <c r="L6" s="1214">
        <f t="shared" ref="L6:L40" si="1">J6*K6</f>
        <v>3800199.9999999534</v>
      </c>
      <c r="M6" s="1215">
        <v>0</v>
      </c>
      <c r="N6" s="1213">
        <f t="shared" ref="N6:N40" si="2">(L6+M6)/100000</f>
        <v>38.001999999999533</v>
      </c>
    </row>
    <row r="7" spans="1:14">
      <c r="A7" s="1210">
        <v>3</v>
      </c>
      <c r="B7" s="1422"/>
      <c r="C7" s="1415"/>
      <c r="D7" s="1416"/>
      <c r="E7" s="1411"/>
      <c r="F7" s="1211" t="s">
        <v>156</v>
      </c>
      <c r="G7" s="1175" t="s">
        <v>3057</v>
      </c>
      <c r="H7" s="1212">
        <v>119959.3</v>
      </c>
      <c r="I7" s="1212">
        <v>122264.3</v>
      </c>
      <c r="J7" s="1213">
        <f t="shared" si="0"/>
        <v>2305</v>
      </c>
      <c r="K7" s="1214">
        <v>2000</v>
      </c>
      <c r="L7" s="1214">
        <f t="shared" si="1"/>
        <v>4610000</v>
      </c>
      <c r="M7" s="1215">
        <v>0</v>
      </c>
      <c r="N7" s="1213">
        <f t="shared" si="2"/>
        <v>46.1</v>
      </c>
    </row>
    <row r="8" spans="1:14">
      <c r="A8" s="1210">
        <v>4</v>
      </c>
      <c r="B8" s="1422"/>
      <c r="C8" s="1413" t="s">
        <v>82</v>
      </c>
      <c r="D8" s="1414"/>
      <c r="E8" s="1411"/>
      <c r="F8" s="1211" t="s">
        <v>158</v>
      </c>
      <c r="G8" s="1175" t="s">
        <v>3057</v>
      </c>
      <c r="H8" s="1212">
        <v>131643.20000000001</v>
      </c>
      <c r="I8" s="1212">
        <v>133868.20000000001</v>
      </c>
      <c r="J8" s="1213">
        <f t="shared" si="0"/>
        <v>2225</v>
      </c>
      <c r="K8" s="1214">
        <v>2000</v>
      </c>
      <c r="L8" s="1214">
        <f t="shared" si="1"/>
        <v>4450000</v>
      </c>
      <c r="M8" s="1215">
        <v>385600</v>
      </c>
      <c r="N8" s="1213">
        <f t="shared" si="2"/>
        <v>48.356000000000002</v>
      </c>
    </row>
    <row r="9" spans="1:14">
      <c r="A9" s="1210">
        <v>5</v>
      </c>
      <c r="B9" s="1422"/>
      <c r="C9" s="1417"/>
      <c r="D9" s="1418"/>
      <c r="E9" s="1411"/>
      <c r="F9" s="1211" t="s">
        <v>160</v>
      </c>
      <c r="G9" s="1175" t="s">
        <v>3057</v>
      </c>
      <c r="H9" s="1212">
        <v>2235.4870000000001</v>
      </c>
      <c r="I9" s="1212">
        <v>2280.98</v>
      </c>
      <c r="J9" s="1213">
        <f t="shared" si="0"/>
        <v>45.492999999999938</v>
      </c>
      <c r="K9" s="1214">
        <v>120000</v>
      </c>
      <c r="L9" s="1214">
        <f t="shared" si="1"/>
        <v>5459159.9999999925</v>
      </c>
      <c r="M9" s="1215">
        <v>0</v>
      </c>
      <c r="N9" s="1213">
        <f t="shared" si="2"/>
        <v>54.591599999999929</v>
      </c>
    </row>
    <row r="10" spans="1:14">
      <c r="A10" s="1210">
        <v>6</v>
      </c>
      <c r="B10" s="1422"/>
      <c r="C10" s="1417"/>
      <c r="D10" s="1418"/>
      <c r="E10" s="1411"/>
      <c r="F10" s="1211" t="s">
        <v>162</v>
      </c>
      <c r="G10" s="1175" t="s">
        <v>3057</v>
      </c>
      <c r="H10" s="1212">
        <v>3207.5448000000001</v>
      </c>
      <c r="I10" s="1212">
        <v>3265.01</v>
      </c>
      <c r="J10" s="1213">
        <f t="shared" si="0"/>
        <v>57.465200000000095</v>
      </c>
      <c r="K10" s="1214">
        <v>120000</v>
      </c>
      <c r="L10" s="1214">
        <f t="shared" si="1"/>
        <v>6895824.0000000112</v>
      </c>
      <c r="M10" s="1215">
        <v>0</v>
      </c>
      <c r="N10" s="1213">
        <f t="shared" si="2"/>
        <v>68.958240000000117</v>
      </c>
    </row>
    <row r="11" spans="1:14" ht="15" customHeight="1">
      <c r="A11" s="1210">
        <v>7</v>
      </c>
      <c r="B11" s="1422"/>
      <c r="C11" s="1417"/>
      <c r="D11" s="1418"/>
      <c r="E11" s="1411"/>
      <c r="F11" s="1211" t="s">
        <v>165</v>
      </c>
      <c r="G11" s="1175" t="s">
        <v>3057</v>
      </c>
      <c r="H11" s="1212">
        <v>1974.0050000000001</v>
      </c>
      <c r="I11" s="1212">
        <v>2008.77</v>
      </c>
      <c r="J11" s="1213">
        <f t="shared" si="0"/>
        <v>34.764999999999873</v>
      </c>
      <c r="K11" s="1214">
        <v>120000</v>
      </c>
      <c r="L11" s="1214">
        <f t="shared" si="1"/>
        <v>4171799.9999999846</v>
      </c>
      <c r="M11" s="1215">
        <v>0</v>
      </c>
      <c r="N11" s="1213">
        <f t="shared" si="2"/>
        <v>41.717999999999847</v>
      </c>
    </row>
    <row r="12" spans="1:14">
      <c r="A12" s="1210">
        <v>8</v>
      </c>
      <c r="B12" s="1422"/>
      <c r="C12" s="1417"/>
      <c r="D12" s="1418"/>
      <c r="E12" s="1411"/>
      <c r="F12" s="1216" t="s">
        <v>167</v>
      </c>
      <c r="G12" s="1175" t="s">
        <v>3057</v>
      </c>
      <c r="H12" s="1212">
        <v>291024</v>
      </c>
      <c r="I12" s="1212">
        <v>350212</v>
      </c>
      <c r="J12" s="1213">
        <f t="shared" si="0"/>
        <v>59188</v>
      </c>
      <c r="K12" s="1214">
        <v>120</v>
      </c>
      <c r="L12" s="1214">
        <f t="shared" si="1"/>
        <v>7102560</v>
      </c>
      <c r="M12" s="1215">
        <v>9600</v>
      </c>
      <c r="N12" s="1213">
        <f t="shared" si="2"/>
        <v>71.121600000000001</v>
      </c>
    </row>
    <row r="13" spans="1:14">
      <c r="A13" s="1210">
        <v>9</v>
      </c>
      <c r="B13" s="1422"/>
      <c r="C13" s="1417"/>
      <c r="D13" s="1418"/>
      <c r="E13" s="1411"/>
      <c r="F13" s="1216" t="s">
        <v>169</v>
      </c>
      <c r="G13" s="1175" t="s">
        <v>3057</v>
      </c>
      <c r="H13" s="1212">
        <v>26753.9</v>
      </c>
      <c r="I13" s="1212">
        <v>26787.7</v>
      </c>
      <c r="J13" s="1213">
        <f t="shared" si="0"/>
        <v>33.799999999999272</v>
      </c>
      <c r="K13" s="1214">
        <v>2000</v>
      </c>
      <c r="L13" s="1214">
        <f t="shared" si="1"/>
        <v>67599.999999998545</v>
      </c>
      <c r="M13" s="1215">
        <v>44800</v>
      </c>
      <c r="N13" s="1213">
        <f t="shared" si="2"/>
        <v>1.1239999999999855</v>
      </c>
    </row>
    <row r="14" spans="1:14">
      <c r="A14" s="1210">
        <v>10</v>
      </c>
      <c r="B14" s="1422"/>
      <c r="C14" s="1417"/>
      <c r="D14" s="1418"/>
      <c r="E14" s="1411"/>
      <c r="F14" s="1216" t="s">
        <v>174</v>
      </c>
      <c r="G14" s="1175" t="s">
        <v>3057</v>
      </c>
      <c r="H14" s="1212">
        <v>168221.7</v>
      </c>
      <c r="I14" s="1212">
        <v>171668.2</v>
      </c>
      <c r="J14" s="1213">
        <f t="shared" si="0"/>
        <v>3446.5</v>
      </c>
      <c r="K14" s="1214">
        <v>2000</v>
      </c>
      <c r="L14" s="1214">
        <f t="shared" si="1"/>
        <v>6893000</v>
      </c>
      <c r="M14" s="1215">
        <v>0</v>
      </c>
      <c r="N14" s="1213">
        <f t="shared" si="2"/>
        <v>68.930000000000007</v>
      </c>
    </row>
    <row r="15" spans="1:14">
      <c r="A15" s="1210">
        <v>11</v>
      </c>
      <c r="B15" s="1422"/>
      <c r="C15" s="1417"/>
      <c r="D15" s="1418"/>
      <c r="E15" s="1411"/>
      <c r="F15" s="1216" t="s">
        <v>176</v>
      </c>
      <c r="G15" s="1175" t="s">
        <v>3057</v>
      </c>
      <c r="H15" s="1212">
        <v>86652.9</v>
      </c>
      <c r="I15" s="1212">
        <v>87792.8</v>
      </c>
      <c r="J15" s="1213">
        <f t="shared" si="0"/>
        <v>1139.9000000000087</v>
      </c>
      <c r="K15" s="1214">
        <v>2000</v>
      </c>
      <c r="L15" s="1214">
        <f t="shared" si="1"/>
        <v>2279800.0000000177</v>
      </c>
      <c r="M15" s="1215">
        <v>0</v>
      </c>
      <c r="N15" s="1213">
        <f t="shared" si="2"/>
        <v>22.798000000000176</v>
      </c>
    </row>
    <row r="16" spans="1:14">
      <c r="A16" s="1210">
        <v>12</v>
      </c>
      <c r="B16" s="1422"/>
      <c r="C16" s="1417"/>
      <c r="D16" s="1418"/>
      <c r="E16" s="1411"/>
      <c r="F16" s="1217" t="s">
        <v>3101</v>
      </c>
      <c r="G16" s="1175" t="s">
        <v>3057</v>
      </c>
      <c r="H16" s="1212">
        <v>148349.79999999999</v>
      </c>
      <c r="I16" s="1212">
        <v>151238.9</v>
      </c>
      <c r="J16" s="1213">
        <f t="shared" si="0"/>
        <v>2889.1000000000058</v>
      </c>
      <c r="K16" s="1214">
        <v>2000</v>
      </c>
      <c r="L16" s="1214">
        <f t="shared" si="1"/>
        <v>5778200.0000000112</v>
      </c>
      <c r="M16" s="1215">
        <v>0</v>
      </c>
      <c r="N16" s="1213">
        <f>(L16+M16)/100000</f>
        <v>57.78200000000011</v>
      </c>
    </row>
    <row r="17" spans="1:14">
      <c r="A17" s="1210">
        <v>13</v>
      </c>
      <c r="B17" s="1422"/>
      <c r="C17" s="1415"/>
      <c r="D17" s="1416"/>
      <c r="E17" s="1412"/>
      <c r="F17" s="1217" t="s">
        <v>3102</v>
      </c>
      <c r="G17" s="1175" t="s">
        <v>3057</v>
      </c>
      <c r="H17" s="1212">
        <v>2564.8917000000001</v>
      </c>
      <c r="I17" s="1212">
        <v>2622.66</v>
      </c>
      <c r="J17" s="1213">
        <f t="shared" si="0"/>
        <v>57.768299999999726</v>
      </c>
      <c r="K17" s="1214">
        <v>120000</v>
      </c>
      <c r="L17" s="1214">
        <f t="shared" si="1"/>
        <v>6932195.9999999674</v>
      </c>
      <c r="M17" s="1215">
        <v>84400</v>
      </c>
      <c r="N17" s="1213">
        <f>(L17+M17)/100000</f>
        <v>70.165959999999671</v>
      </c>
    </row>
    <row r="18" spans="1:14" ht="15" customHeight="1">
      <c r="A18" s="1210">
        <v>14</v>
      </c>
      <c r="B18" s="1422"/>
      <c r="C18" s="1408" t="s">
        <v>80</v>
      </c>
      <c r="D18" s="1409"/>
      <c r="E18" s="1410" t="s">
        <v>194</v>
      </c>
      <c r="F18" s="1211" t="s">
        <v>198</v>
      </c>
      <c r="G18" s="1175" t="s">
        <v>3057</v>
      </c>
      <c r="H18" s="1212">
        <v>2122.6999999999998</v>
      </c>
      <c r="I18" s="1212">
        <v>2179.9</v>
      </c>
      <c r="J18" s="1213">
        <f t="shared" si="0"/>
        <v>57.200000000000273</v>
      </c>
      <c r="K18" s="1214">
        <v>120000</v>
      </c>
      <c r="L18" s="1214">
        <f t="shared" si="1"/>
        <v>6864000.0000000326</v>
      </c>
      <c r="M18" s="1215">
        <v>0</v>
      </c>
      <c r="N18" s="1213">
        <f t="shared" si="2"/>
        <v>68.640000000000327</v>
      </c>
    </row>
    <row r="19" spans="1:14">
      <c r="A19" s="1210">
        <v>15</v>
      </c>
      <c r="B19" s="1422"/>
      <c r="C19" s="1419" t="s">
        <v>83</v>
      </c>
      <c r="D19" s="1420"/>
      <c r="E19" s="1411"/>
      <c r="F19" s="1218" t="s">
        <v>214</v>
      </c>
      <c r="G19" s="1219" t="s">
        <v>3057</v>
      </c>
      <c r="H19" s="1212">
        <v>139369.60000000001</v>
      </c>
      <c r="I19" s="1212">
        <v>139780.5</v>
      </c>
      <c r="J19" s="1213">
        <f t="shared" si="0"/>
        <v>410.89999999999418</v>
      </c>
      <c r="K19" s="1214">
        <v>2000</v>
      </c>
      <c r="L19" s="1214">
        <f t="shared" si="1"/>
        <v>821799.99999998836</v>
      </c>
      <c r="M19" s="1215">
        <v>333.3</v>
      </c>
      <c r="N19" s="1213">
        <f t="shared" si="2"/>
        <v>8.2213329999998841</v>
      </c>
    </row>
    <row r="20" spans="1:14">
      <c r="A20" s="1210">
        <v>16</v>
      </c>
      <c r="B20" s="1422"/>
      <c r="C20" s="1408" t="s">
        <v>80</v>
      </c>
      <c r="D20" s="1409"/>
      <c r="E20" s="1411"/>
      <c r="F20" s="1211" t="s">
        <v>202</v>
      </c>
      <c r="G20" s="1175" t="s">
        <v>3057</v>
      </c>
      <c r="H20" s="1212">
        <v>2983.3</v>
      </c>
      <c r="I20" s="1212">
        <v>3028</v>
      </c>
      <c r="J20" s="1213">
        <f t="shared" si="0"/>
        <v>44.699999999999818</v>
      </c>
      <c r="K20" s="1214">
        <v>120000</v>
      </c>
      <c r="L20" s="1214">
        <f t="shared" si="1"/>
        <v>5363999.9999999786</v>
      </c>
      <c r="M20" s="1215">
        <v>132986.70000000001</v>
      </c>
      <c r="N20" s="1213">
        <f t="shared" si="2"/>
        <v>54.969866999999788</v>
      </c>
    </row>
    <row r="21" spans="1:14" ht="15" customHeight="1">
      <c r="A21" s="1210">
        <v>17</v>
      </c>
      <c r="B21" s="1422"/>
      <c r="C21" s="1413" t="s">
        <v>83</v>
      </c>
      <c r="D21" s="1414"/>
      <c r="E21" s="1411"/>
      <c r="F21" s="1211" t="s">
        <v>210</v>
      </c>
      <c r="G21" s="1175" t="s">
        <v>3057</v>
      </c>
      <c r="H21" s="1212">
        <v>2468.6</v>
      </c>
      <c r="I21" s="1212">
        <v>2519.6999999999998</v>
      </c>
      <c r="J21" s="1213">
        <f t="shared" si="0"/>
        <v>51.099999999999909</v>
      </c>
      <c r="K21" s="1214">
        <v>120000</v>
      </c>
      <c r="L21" s="1214">
        <f t="shared" si="1"/>
        <v>6131999.9999999888</v>
      </c>
      <c r="M21" s="1215">
        <v>0</v>
      </c>
      <c r="N21" s="1213">
        <f t="shared" si="2"/>
        <v>61.319999999999887</v>
      </c>
    </row>
    <row r="22" spans="1:14">
      <c r="A22" s="1210">
        <v>18</v>
      </c>
      <c r="B22" s="1422"/>
      <c r="C22" s="1415"/>
      <c r="D22" s="1416"/>
      <c r="E22" s="1411"/>
      <c r="F22" s="1211" t="s">
        <v>216</v>
      </c>
      <c r="G22" s="1175" t="s">
        <v>3057</v>
      </c>
      <c r="H22" s="1212">
        <v>2762.7</v>
      </c>
      <c r="I22" s="1212">
        <v>2806.9</v>
      </c>
      <c r="J22" s="1213">
        <f t="shared" si="0"/>
        <v>44.200000000000273</v>
      </c>
      <c r="K22" s="1214">
        <v>120000</v>
      </c>
      <c r="L22" s="1214">
        <f t="shared" si="1"/>
        <v>5304000.0000000326</v>
      </c>
      <c r="M22" s="1215">
        <v>0</v>
      </c>
      <c r="N22" s="1213">
        <f t="shared" si="2"/>
        <v>53.040000000000326</v>
      </c>
    </row>
    <row r="23" spans="1:14">
      <c r="A23" s="1210">
        <v>19</v>
      </c>
      <c r="B23" s="1422"/>
      <c r="C23" s="1408" t="s">
        <v>81</v>
      </c>
      <c r="D23" s="1409"/>
      <c r="E23" s="1411"/>
      <c r="F23" s="248" t="s">
        <v>206</v>
      </c>
      <c r="G23" s="1175" t="s">
        <v>3057</v>
      </c>
      <c r="H23" s="1212">
        <v>2924.7</v>
      </c>
      <c r="I23" s="1212">
        <v>2969</v>
      </c>
      <c r="J23" s="1213">
        <f t="shared" si="0"/>
        <v>44.300000000000182</v>
      </c>
      <c r="K23" s="1214">
        <v>120000</v>
      </c>
      <c r="L23" s="1214">
        <f t="shared" si="1"/>
        <v>5316000.0000000214</v>
      </c>
      <c r="M23" s="1215">
        <v>0</v>
      </c>
      <c r="N23" s="1213">
        <f t="shared" si="2"/>
        <v>53.160000000000217</v>
      </c>
    </row>
    <row r="24" spans="1:14">
      <c r="A24" s="1210">
        <v>20</v>
      </c>
      <c r="B24" s="1422"/>
      <c r="C24" s="1413" t="s">
        <v>83</v>
      </c>
      <c r="D24" s="1414"/>
      <c r="E24" s="1411"/>
      <c r="F24" s="1211" t="s">
        <v>218</v>
      </c>
      <c r="G24" s="1175" t="s">
        <v>3057</v>
      </c>
      <c r="H24" s="1212">
        <v>1863.6</v>
      </c>
      <c r="I24" s="1212">
        <v>1904.9</v>
      </c>
      <c r="J24" s="1213">
        <f t="shared" si="0"/>
        <v>41.300000000000182</v>
      </c>
      <c r="K24" s="1214">
        <v>120000</v>
      </c>
      <c r="L24" s="1214">
        <f t="shared" si="1"/>
        <v>4956000.0000000214</v>
      </c>
      <c r="M24" s="1215">
        <v>0</v>
      </c>
      <c r="N24" s="1213">
        <f t="shared" si="2"/>
        <v>49.560000000000215</v>
      </c>
    </row>
    <row r="25" spans="1:14" ht="15" customHeight="1">
      <c r="A25" s="1210">
        <v>21</v>
      </c>
      <c r="B25" s="1422"/>
      <c r="C25" s="1417"/>
      <c r="D25" s="1418"/>
      <c r="E25" s="1411"/>
      <c r="F25" s="1218" t="s">
        <v>220</v>
      </c>
      <c r="G25" s="1175" t="s">
        <v>3057</v>
      </c>
      <c r="H25" s="1212">
        <v>2678.1</v>
      </c>
      <c r="I25" s="1212">
        <v>2724</v>
      </c>
      <c r="J25" s="1213">
        <f t="shared" si="0"/>
        <v>45.900000000000091</v>
      </c>
      <c r="K25" s="1214">
        <v>120000</v>
      </c>
      <c r="L25" s="1214">
        <f t="shared" si="1"/>
        <v>5508000.0000000112</v>
      </c>
      <c r="M25" s="1215">
        <v>5332.8</v>
      </c>
      <c r="N25" s="1213">
        <f t="shared" si="2"/>
        <v>55.133328000000112</v>
      </c>
    </row>
    <row r="26" spans="1:14">
      <c r="A26" s="1210">
        <v>22</v>
      </c>
      <c r="B26" s="1422"/>
      <c r="C26" s="1415"/>
      <c r="D26" s="1416"/>
      <c r="E26" s="1412"/>
      <c r="F26" s="248" t="s">
        <v>222</v>
      </c>
      <c r="G26" s="1175" t="s">
        <v>3057</v>
      </c>
      <c r="H26" s="1212">
        <v>1947.8</v>
      </c>
      <c r="I26" s="1212">
        <v>1982.9</v>
      </c>
      <c r="J26" s="1213">
        <f t="shared" si="0"/>
        <v>35.100000000000136</v>
      </c>
      <c r="K26" s="1214">
        <v>120000</v>
      </c>
      <c r="L26" s="1214">
        <f t="shared" si="1"/>
        <v>4212000.0000000168</v>
      </c>
      <c r="M26" s="1215">
        <v>0</v>
      </c>
      <c r="N26" s="1213">
        <f t="shared" si="2"/>
        <v>42.120000000000168</v>
      </c>
    </row>
    <row r="27" spans="1:14" ht="15" customHeight="1">
      <c r="A27" s="1210">
        <v>23</v>
      </c>
      <c r="B27" s="1422"/>
      <c r="C27" s="1408" t="s">
        <v>82</v>
      </c>
      <c r="D27" s="1409"/>
      <c r="E27" s="1410" t="s">
        <v>231</v>
      </c>
      <c r="F27" s="1211" t="s">
        <v>242</v>
      </c>
      <c r="G27" s="1175" t="s">
        <v>3057</v>
      </c>
      <c r="H27" s="1212">
        <v>6548086</v>
      </c>
      <c r="I27" s="1212">
        <v>6612844</v>
      </c>
      <c r="J27" s="1213">
        <f t="shared" si="0"/>
        <v>64758</v>
      </c>
      <c r="K27" s="1214">
        <v>120</v>
      </c>
      <c r="L27" s="1214">
        <f t="shared" si="1"/>
        <v>7770960</v>
      </c>
      <c r="M27" s="1215">
        <v>0</v>
      </c>
      <c r="N27" s="1213">
        <f t="shared" si="2"/>
        <v>77.709599999999995</v>
      </c>
    </row>
    <row r="28" spans="1:14" ht="15" customHeight="1">
      <c r="A28" s="1210">
        <v>24</v>
      </c>
      <c r="B28" s="1422"/>
      <c r="C28" s="1413" t="s">
        <v>83</v>
      </c>
      <c r="D28" s="1414"/>
      <c r="E28" s="1411"/>
      <c r="F28" s="1211" t="s">
        <v>245</v>
      </c>
      <c r="G28" s="1175" t="s">
        <v>3057</v>
      </c>
      <c r="H28" s="1212">
        <v>310983.8</v>
      </c>
      <c r="I28" s="1212">
        <v>313615</v>
      </c>
      <c r="J28" s="1213">
        <f t="shared" si="0"/>
        <v>2631.2000000000116</v>
      </c>
      <c r="K28" s="1214">
        <v>2000</v>
      </c>
      <c r="L28" s="1214">
        <f t="shared" si="1"/>
        <v>5262400.0000000233</v>
      </c>
      <c r="M28" s="1215">
        <v>27200</v>
      </c>
      <c r="N28" s="1213">
        <f t="shared" si="2"/>
        <v>52.896000000000235</v>
      </c>
    </row>
    <row r="29" spans="1:14">
      <c r="A29" s="1210">
        <v>25</v>
      </c>
      <c r="B29" s="1422"/>
      <c r="C29" s="1415"/>
      <c r="D29" s="1416"/>
      <c r="E29" s="1411"/>
      <c r="F29" s="1211" t="s">
        <v>249</v>
      </c>
      <c r="G29" s="1175" t="s">
        <v>3057</v>
      </c>
      <c r="H29" s="1212">
        <v>2300693</v>
      </c>
      <c r="I29" s="1212">
        <v>2307298</v>
      </c>
      <c r="J29" s="1213">
        <f t="shared" si="0"/>
        <v>6605</v>
      </c>
      <c r="K29" s="1214">
        <v>60</v>
      </c>
      <c r="L29" s="1214">
        <f t="shared" si="1"/>
        <v>396300</v>
      </c>
      <c r="M29" s="1215">
        <v>0</v>
      </c>
      <c r="N29" s="1213">
        <f t="shared" si="2"/>
        <v>3.9630000000000001</v>
      </c>
    </row>
    <row r="30" spans="1:14" ht="15" customHeight="1">
      <c r="A30" s="1210">
        <v>26</v>
      </c>
      <c r="B30" s="1422"/>
      <c r="C30" s="1413" t="s">
        <v>82</v>
      </c>
      <c r="D30" s="1414"/>
      <c r="E30" s="1411"/>
      <c r="F30" s="1211" t="s">
        <v>243</v>
      </c>
      <c r="G30" s="1175" t="s">
        <v>3057</v>
      </c>
      <c r="H30" s="1212">
        <v>371.93169999999998</v>
      </c>
      <c r="I30" s="1212">
        <v>418.96409999999997</v>
      </c>
      <c r="J30" s="1213">
        <f t="shared" si="0"/>
        <v>47.032399999999996</v>
      </c>
      <c r="K30" s="1214">
        <v>120000</v>
      </c>
      <c r="L30" s="1214">
        <f t="shared" si="1"/>
        <v>5643887.9999999991</v>
      </c>
      <c r="M30" s="1215">
        <v>0</v>
      </c>
      <c r="N30" s="1213">
        <f t="shared" si="2"/>
        <v>56.43887999999999</v>
      </c>
    </row>
    <row r="31" spans="1:14">
      <c r="A31" s="1210">
        <v>27</v>
      </c>
      <c r="B31" s="1422"/>
      <c r="C31" s="1417"/>
      <c r="D31" s="1418"/>
      <c r="E31" s="1411"/>
      <c r="F31" s="1211" t="s">
        <v>3103</v>
      </c>
      <c r="G31" s="1175" t="s">
        <v>3057</v>
      </c>
      <c r="H31" s="1212">
        <v>303763.7</v>
      </c>
      <c r="I31" s="1212">
        <v>306409.40000000002</v>
      </c>
      <c r="J31" s="1213">
        <f t="shared" si="0"/>
        <v>2645.7000000000116</v>
      </c>
      <c r="K31" s="1214">
        <v>2000</v>
      </c>
      <c r="L31" s="1214">
        <f t="shared" si="1"/>
        <v>5291400.0000000233</v>
      </c>
      <c r="M31" s="1215">
        <v>0</v>
      </c>
      <c r="N31" s="1213">
        <f t="shared" si="2"/>
        <v>52.914000000000236</v>
      </c>
    </row>
    <row r="32" spans="1:14">
      <c r="A32" s="1210">
        <v>28</v>
      </c>
      <c r="B32" s="1422"/>
      <c r="C32" s="1415"/>
      <c r="D32" s="1416"/>
      <c r="E32" s="1411"/>
      <c r="F32" s="1211" t="s">
        <v>253</v>
      </c>
      <c r="G32" s="1175" t="s">
        <v>3057</v>
      </c>
      <c r="H32" s="1212">
        <v>303763.7</v>
      </c>
      <c r="I32" s="1212">
        <v>306409.40000000002</v>
      </c>
      <c r="J32" s="1213">
        <f t="shared" si="0"/>
        <v>2645.7000000000116</v>
      </c>
      <c r="K32" s="1214">
        <v>2000</v>
      </c>
      <c r="L32" s="1214">
        <f t="shared" si="1"/>
        <v>5291400.0000000233</v>
      </c>
      <c r="M32" s="1215">
        <v>0</v>
      </c>
      <c r="N32" s="1213">
        <f t="shared" si="2"/>
        <v>52.914000000000236</v>
      </c>
    </row>
    <row r="33" spans="1:14">
      <c r="A33" s="1210">
        <v>29</v>
      </c>
      <c r="B33" s="1422"/>
      <c r="C33" s="1413" t="s">
        <v>83</v>
      </c>
      <c r="D33" s="1414"/>
      <c r="E33" s="1411"/>
      <c r="F33" s="1220" t="s">
        <v>260</v>
      </c>
      <c r="G33" s="1175" t="s">
        <v>3057</v>
      </c>
      <c r="H33" s="1212">
        <v>241850</v>
      </c>
      <c r="I33" s="1212">
        <v>242386.6</v>
      </c>
      <c r="J33" s="1213">
        <f t="shared" si="0"/>
        <v>536.60000000000582</v>
      </c>
      <c r="K33" s="1214">
        <v>2000</v>
      </c>
      <c r="L33" s="1214">
        <f t="shared" si="1"/>
        <v>1073200.0000000116</v>
      </c>
      <c r="M33" s="1215">
        <v>0</v>
      </c>
      <c r="N33" s="1213">
        <f t="shared" si="2"/>
        <v>10.732000000000117</v>
      </c>
    </row>
    <row r="34" spans="1:14" ht="15" customHeight="1">
      <c r="A34" s="1210">
        <v>30</v>
      </c>
      <c r="B34" s="1422"/>
      <c r="C34" s="1415"/>
      <c r="D34" s="1416"/>
      <c r="E34" s="1412"/>
      <c r="F34" s="1211" t="s">
        <v>261</v>
      </c>
      <c r="G34" s="1175" t="s">
        <v>3057</v>
      </c>
      <c r="H34" s="1212">
        <v>206543.9</v>
      </c>
      <c r="I34" s="1212">
        <v>209158.8</v>
      </c>
      <c r="J34" s="1213">
        <f t="shared" si="0"/>
        <v>2614.8999999999942</v>
      </c>
      <c r="K34" s="1214">
        <v>2000</v>
      </c>
      <c r="L34" s="1214">
        <f t="shared" si="1"/>
        <v>5229799.9999999888</v>
      </c>
      <c r="M34" s="1215">
        <v>0</v>
      </c>
      <c r="N34" s="1213">
        <f t="shared" si="2"/>
        <v>52.297999999999888</v>
      </c>
    </row>
    <row r="35" spans="1:14" ht="15" customHeight="1">
      <c r="A35" s="1210">
        <v>31</v>
      </c>
      <c r="B35" s="1422"/>
      <c r="C35" s="1266" t="s">
        <v>81</v>
      </c>
      <c r="D35" s="1266"/>
      <c r="E35" s="1406" t="s">
        <v>3104</v>
      </c>
      <c r="F35" s="248" t="s">
        <v>3105</v>
      </c>
      <c r="G35" s="1175" t="s">
        <v>3057</v>
      </c>
      <c r="H35" s="1221">
        <v>4543926</v>
      </c>
      <c r="I35" s="1212">
        <v>4590204</v>
      </c>
      <c r="J35" s="1213">
        <f t="shared" si="0"/>
        <v>46278</v>
      </c>
      <c r="K35" s="1214">
        <v>120</v>
      </c>
      <c r="L35" s="1214">
        <f t="shared" si="1"/>
        <v>5553360</v>
      </c>
      <c r="M35" s="1215">
        <v>0</v>
      </c>
      <c r="N35" s="1213">
        <f t="shared" si="2"/>
        <v>55.5336</v>
      </c>
    </row>
    <row r="36" spans="1:14" ht="15" customHeight="1">
      <c r="A36" s="1210">
        <v>32</v>
      </c>
      <c r="B36" s="1422"/>
      <c r="C36" s="1266"/>
      <c r="D36" s="1266"/>
      <c r="E36" s="1407"/>
      <c r="F36" s="1222" t="s">
        <v>3106</v>
      </c>
      <c r="G36" s="1175" t="s">
        <v>3057</v>
      </c>
      <c r="H36" s="1221">
        <v>7045458</v>
      </c>
      <c r="I36" s="1212">
        <v>7103095</v>
      </c>
      <c r="J36" s="1213">
        <f t="shared" si="0"/>
        <v>57637</v>
      </c>
      <c r="K36" s="1214">
        <v>120</v>
      </c>
      <c r="L36" s="1214">
        <f t="shared" si="1"/>
        <v>6916440</v>
      </c>
      <c r="M36" s="1215">
        <v>0</v>
      </c>
      <c r="N36" s="1213">
        <f t="shared" si="2"/>
        <v>69.164400000000001</v>
      </c>
    </row>
    <row r="37" spans="1:14">
      <c r="A37" s="1210">
        <v>33</v>
      </c>
      <c r="B37" s="1422"/>
      <c r="C37" s="1266"/>
      <c r="D37" s="1266"/>
      <c r="E37" s="1424" t="s">
        <v>3107</v>
      </c>
      <c r="F37" s="459" t="s">
        <v>928</v>
      </c>
      <c r="G37" s="1175" t="s">
        <v>3057</v>
      </c>
      <c r="H37" s="1221">
        <v>143445.9</v>
      </c>
      <c r="I37" s="1212">
        <v>147230.39999999999</v>
      </c>
      <c r="J37" s="1213">
        <f t="shared" si="0"/>
        <v>3784.5</v>
      </c>
      <c r="K37" s="1214">
        <v>2000</v>
      </c>
      <c r="L37" s="1214">
        <f t="shared" si="1"/>
        <v>7569000</v>
      </c>
      <c r="M37" s="1215">
        <v>0</v>
      </c>
      <c r="N37" s="1213">
        <f t="shared" si="2"/>
        <v>75.69</v>
      </c>
    </row>
    <row r="38" spans="1:14">
      <c r="A38" s="1210">
        <v>34</v>
      </c>
      <c r="B38" s="1422"/>
      <c r="C38" s="1266"/>
      <c r="D38" s="1266"/>
      <c r="E38" s="1424"/>
      <c r="F38" s="1211" t="s">
        <v>3108</v>
      </c>
      <c r="G38" s="1175" t="s">
        <v>3057</v>
      </c>
      <c r="H38" s="1221">
        <v>241429.1</v>
      </c>
      <c r="I38" s="1212">
        <v>244660.4</v>
      </c>
      <c r="J38" s="1213">
        <f t="shared" si="0"/>
        <v>3231.2999999999884</v>
      </c>
      <c r="K38" s="1214">
        <v>2000</v>
      </c>
      <c r="L38" s="1214">
        <f t="shared" si="1"/>
        <v>6462599.9999999767</v>
      </c>
      <c r="M38" s="1215">
        <v>0</v>
      </c>
      <c r="N38" s="1213">
        <f t="shared" si="2"/>
        <v>64.625999999999763</v>
      </c>
    </row>
    <row r="39" spans="1:14">
      <c r="A39" s="1210">
        <v>35</v>
      </c>
      <c r="B39" s="1422"/>
      <c r="C39" s="1266"/>
      <c r="D39" s="1266"/>
      <c r="E39" s="1424"/>
      <c r="F39" s="1211" t="s">
        <v>46</v>
      </c>
      <c r="G39" s="1175" t="s">
        <v>3057</v>
      </c>
      <c r="H39" s="1221">
        <v>976</v>
      </c>
      <c r="I39" s="1212">
        <v>1155.0999999999999</v>
      </c>
      <c r="J39" s="1213">
        <f t="shared" si="0"/>
        <v>179.09999999999991</v>
      </c>
      <c r="K39" s="1214">
        <v>2000</v>
      </c>
      <c r="L39" s="1214">
        <f t="shared" si="1"/>
        <v>358199.99999999983</v>
      </c>
      <c r="M39" s="1215">
        <v>0</v>
      </c>
      <c r="N39" s="1213">
        <f t="shared" si="2"/>
        <v>3.5819999999999981</v>
      </c>
    </row>
    <row r="40" spans="1:14">
      <c r="A40" s="1210">
        <v>36</v>
      </c>
      <c r="B40" s="1423"/>
      <c r="C40" s="1266"/>
      <c r="D40" s="1266"/>
      <c r="E40" s="1424"/>
      <c r="F40" s="1211" t="s">
        <v>48</v>
      </c>
      <c r="G40" s="1175" t="s">
        <v>3057</v>
      </c>
      <c r="H40" s="1221">
        <v>7488.6</v>
      </c>
      <c r="I40" s="1212">
        <v>8673.7000000000007</v>
      </c>
      <c r="J40" s="1213">
        <f t="shared" si="0"/>
        <v>1185.1000000000004</v>
      </c>
      <c r="K40" s="1214">
        <v>2000</v>
      </c>
      <c r="L40" s="1214">
        <f t="shared" si="1"/>
        <v>2370200.0000000009</v>
      </c>
      <c r="M40" s="1215">
        <v>0</v>
      </c>
      <c r="N40" s="1213">
        <f t="shared" si="2"/>
        <v>23.702000000000009</v>
      </c>
    </row>
  </sheetData>
  <mergeCells count="31">
    <mergeCell ref="B5:B40"/>
    <mergeCell ref="C35:D40"/>
    <mergeCell ref="E37:E40"/>
    <mergeCell ref="A1:N1"/>
    <mergeCell ref="A2:A3"/>
    <mergeCell ref="B2:B3"/>
    <mergeCell ref="C2:D3"/>
    <mergeCell ref="E2:E3"/>
    <mergeCell ref="F2:F3"/>
    <mergeCell ref="G2:G3"/>
    <mergeCell ref="H2:J2"/>
    <mergeCell ref="M2:M3"/>
    <mergeCell ref="N2:N3"/>
    <mergeCell ref="C4:D4"/>
    <mergeCell ref="C5:D5"/>
    <mergeCell ref="E5:E17"/>
    <mergeCell ref="C6:D7"/>
    <mergeCell ref="C8:D17"/>
    <mergeCell ref="C18:D18"/>
    <mergeCell ref="E18:E26"/>
    <mergeCell ref="C19:D19"/>
    <mergeCell ref="C20:D20"/>
    <mergeCell ref="C21:D22"/>
    <mergeCell ref="C23:D23"/>
    <mergeCell ref="C24:D26"/>
    <mergeCell ref="E35:E36"/>
    <mergeCell ref="C27:D27"/>
    <mergeCell ref="E27:E34"/>
    <mergeCell ref="C28:D29"/>
    <mergeCell ref="C30:D32"/>
    <mergeCell ref="C33:D34"/>
  </mergeCells>
  <pageMargins left="0.7" right="0.7" top="0.75" bottom="0.75" header="0.51180555555555496" footer="0.51180555555555496"/>
  <pageSetup firstPageNumber="0" orientation="landscape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102"/>
  <sheetViews>
    <sheetView topLeftCell="C1" zoomScaleNormal="100" workbookViewId="0">
      <selection sqref="A1:I102"/>
    </sheetView>
  </sheetViews>
  <sheetFormatPr defaultRowHeight="15"/>
  <cols>
    <col min="1" max="1" width="10" customWidth="1"/>
    <col min="2" max="2" width="35.5703125" customWidth="1"/>
    <col min="3" max="3" width="12.7109375" customWidth="1"/>
    <col min="4" max="4" width="13.140625" customWidth="1"/>
    <col min="5" max="6" width="14.7109375" customWidth="1"/>
    <col min="7" max="7" width="11.5703125" customWidth="1"/>
    <col min="8" max="8" width="18.28515625" customWidth="1"/>
    <col min="9" max="9" width="11.85546875" customWidth="1"/>
    <col min="10" max="10" width="14.42578125" customWidth="1"/>
    <col min="11" max="11" width="9.140625" customWidth="1"/>
    <col min="12" max="12" width="37" customWidth="1"/>
    <col min="13" max="13" width="9.7109375" customWidth="1"/>
    <col min="14" max="14" width="13.28515625" customWidth="1"/>
    <col min="15" max="17" width="9.140625" customWidth="1"/>
    <col min="18" max="18" width="10.5703125" style="136" customWidth="1"/>
    <col min="19" max="19" width="9.140625" style="136" customWidth="1"/>
    <col min="20" max="22" width="9.140625" customWidth="1"/>
    <col min="23" max="23" width="11.42578125"/>
    <col min="24" max="24" width="17" customWidth="1"/>
    <col min="25" max="25" width="12.7109375" customWidth="1"/>
    <col min="26" max="27" width="8.7109375" customWidth="1"/>
    <col min="28" max="28" width="25.42578125" customWidth="1"/>
    <col min="29" max="1025" width="8.7109375" customWidth="1"/>
  </cols>
  <sheetData>
    <row r="1" spans="1:19" ht="21.75">
      <c r="A1" s="226" t="s">
        <v>126</v>
      </c>
      <c r="B1" s="1163"/>
      <c r="C1" s="1163"/>
      <c r="D1" s="1163"/>
      <c r="E1" s="1163"/>
      <c r="F1" s="1164"/>
      <c r="G1" s="138"/>
      <c r="H1" s="90"/>
      <c r="I1" s="139"/>
      <c r="J1" s="140"/>
      <c r="R1"/>
      <c r="S1"/>
    </row>
    <row r="2" spans="1:19">
      <c r="A2" s="1177"/>
      <c r="B2" s="1177"/>
      <c r="C2" s="1177"/>
      <c r="D2" s="1177"/>
      <c r="E2" s="142"/>
      <c r="F2" s="142"/>
      <c r="G2" s="1177"/>
      <c r="H2" s="143" t="str">
        <f>'CIRCLE INPUT'!Q3</f>
        <v>OCT.2024</v>
      </c>
      <c r="I2" s="1177"/>
      <c r="J2" s="144"/>
      <c r="R2"/>
      <c r="S2"/>
    </row>
    <row r="3" spans="1:19" ht="38.25">
      <c r="A3" s="1165" t="s">
        <v>127</v>
      </c>
      <c r="B3" s="1173" t="s">
        <v>128</v>
      </c>
      <c r="C3" s="1173" t="s">
        <v>129</v>
      </c>
      <c r="D3" s="1173" t="s">
        <v>130</v>
      </c>
      <c r="E3" s="145" t="s">
        <v>131</v>
      </c>
      <c r="F3" s="145" t="s">
        <v>131</v>
      </c>
      <c r="G3" s="1177"/>
      <c r="H3" s="1177"/>
      <c r="I3" s="1173" t="s">
        <v>132</v>
      </c>
      <c r="J3" s="146" t="s">
        <v>133</v>
      </c>
      <c r="R3"/>
      <c r="S3"/>
    </row>
    <row r="4" spans="1:19" ht="25.5">
      <c r="A4" s="1166"/>
      <c r="B4" s="1178" t="s">
        <v>6</v>
      </c>
      <c r="C4" s="1173"/>
      <c r="D4" s="1173"/>
      <c r="E4" s="148">
        <v>45504</v>
      </c>
      <c r="F4" s="148">
        <v>45535</v>
      </c>
      <c r="G4" s="1173" t="s">
        <v>135</v>
      </c>
      <c r="H4" s="1173" t="s">
        <v>136</v>
      </c>
      <c r="I4" s="1173"/>
      <c r="J4" s="1173"/>
      <c r="R4"/>
      <c r="S4"/>
    </row>
    <row r="5" spans="1:19">
      <c r="A5" s="1223"/>
      <c r="B5" s="151" t="s">
        <v>137</v>
      </c>
      <c r="C5" s="152" t="s">
        <v>138</v>
      </c>
      <c r="D5" s="152" t="s">
        <v>139</v>
      </c>
      <c r="E5" s="1179">
        <v>714.82420000000002</v>
      </c>
      <c r="F5" s="1179">
        <v>714.82420000000002</v>
      </c>
      <c r="G5" s="241">
        <v>360000</v>
      </c>
      <c r="H5" s="241">
        <f t="shared" ref="H5:H10" si="0">(F5-E5)*G5+I5+J5</f>
        <v>0</v>
      </c>
      <c r="I5" s="152"/>
      <c r="J5" s="1173"/>
      <c r="R5"/>
      <c r="S5"/>
    </row>
    <row r="6" spans="1:19">
      <c r="A6" s="1224"/>
      <c r="B6" s="151" t="s">
        <v>29</v>
      </c>
      <c r="C6" s="152" t="s">
        <v>138</v>
      </c>
      <c r="D6" s="152" t="s">
        <v>140</v>
      </c>
      <c r="E6" s="1179">
        <v>218.93899999999999</v>
      </c>
      <c r="F6" s="1179">
        <v>274.976</v>
      </c>
      <c r="G6" s="241">
        <v>360000</v>
      </c>
      <c r="H6" s="155">
        <f t="shared" si="0"/>
        <v>20173320.000000004</v>
      </c>
      <c r="I6" s="152"/>
      <c r="J6" s="1173"/>
      <c r="R6"/>
      <c r="S6"/>
    </row>
    <row r="7" spans="1:19">
      <c r="A7" s="1224"/>
      <c r="B7" s="151" t="s">
        <v>141</v>
      </c>
      <c r="C7" s="152" t="s">
        <v>138</v>
      </c>
      <c r="D7" s="152" t="s">
        <v>142</v>
      </c>
      <c r="E7" s="156">
        <v>8479308</v>
      </c>
      <c r="F7" s="156">
        <v>8479308</v>
      </c>
      <c r="G7" s="152">
        <v>360</v>
      </c>
      <c r="H7" s="241">
        <f t="shared" si="0"/>
        <v>0</v>
      </c>
      <c r="I7" s="152"/>
      <c r="J7" s="157"/>
      <c r="R7"/>
      <c r="S7"/>
    </row>
    <row r="8" spans="1:19">
      <c r="A8" s="1224"/>
      <c r="B8" s="151" t="s">
        <v>31</v>
      </c>
      <c r="C8" s="152" t="s">
        <v>138</v>
      </c>
      <c r="D8" s="152" t="s">
        <v>143</v>
      </c>
      <c r="E8" s="1179">
        <v>265.26600000000002</v>
      </c>
      <c r="F8" s="1179">
        <v>335.64800000000002</v>
      </c>
      <c r="G8" s="241">
        <v>360000</v>
      </c>
      <c r="H8" s="158">
        <f t="shared" si="0"/>
        <v>25337520</v>
      </c>
      <c r="I8" s="159"/>
      <c r="J8" s="157"/>
      <c r="R8"/>
      <c r="S8"/>
    </row>
    <row r="9" spans="1:19">
      <c r="A9" s="1224"/>
      <c r="B9" s="151" t="s">
        <v>141</v>
      </c>
      <c r="C9" s="152" t="s">
        <v>138</v>
      </c>
      <c r="D9" s="152" t="s">
        <v>144</v>
      </c>
      <c r="E9" s="156">
        <v>665.50340000000006</v>
      </c>
      <c r="F9" s="156">
        <v>665.50340000000006</v>
      </c>
      <c r="G9" s="152">
        <v>360000</v>
      </c>
      <c r="H9" s="241">
        <f t="shared" si="0"/>
        <v>0</v>
      </c>
      <c r="I9" s="152"/>
      <c r="J9" s="157"/>
      <c r="R9"/>
      <c r="S9"/>
    </row>
    <row r="10" spans="1:19">
      <c r="A10" s="1224"/>
      <c r="B10" s="151" t="s">
        <v>145</v>
      </c>
      <c r="C10" s="160" t="s">
        <v>138</v>
      </c>
      <c r="D10" s="161" t="s">
        <v>143</v>
      </c>
      <c r="E10" s="1179">
        <v>271.666</v>
      </c>
      <c r="F10" s="1179">
        <v>343.375</v>
      </c>
      <c r="G10" s="241">
        <v>360000</v>
      </c>
      <c r="H10" s="155">
        <f t="shared" si="0"/>
        <v>25815240</v>
      </c>
      <c r="I10" s="152"/>
      <c r="J10" s="157"/>
      <c r="R10"/>
      <c r="S10"/>
    </row>
    <row r="11" spans="1:19">
      <c r="A11" s="1224"/>
      <c r="B11" s="151"/>
      <c r="C11" s="152"/>
      <c r="D11" s="152"/>
      <c r="E11" s="142" t="s">
        <v>71</v>
      </c>
      <c r="F11" s="142" t="s">
        <v>71</v>
      </c>
      <c r="G11" s="152"/>
      <c r="H11" s="241">
        <f>SUM(H5:H10)</f>
        <v>71326080</v>
      </c>
      <c r="I11" s="152"/>
      <c r="J11" s="157"/>
      <c r="R11"/>
      <c r="S11"/>
    </row>
    <row r="12" spans="1:19">
      <c r="A12" s="1224"/>
      <c r="B12" s="163" t="s">
        <v>146</v>
      </c>
      <c r="C12" s="164" t="s">
        <v>147</v>
      </c>
      <c r="D12" s="165" t="s">
        <v>148</v>
      </c>
      <c r="E12" s="1179">
        <v>1741245</v>
      </c>
      <c r="F12" s="1179">
        <v>1750558</v>
      </c>
      <c r="G12" s="165">
        <v>1</v>
      </c>
      <c r="H12" s="164">
        <f>(F12-E12)*G12+I12</f>
        <v>9313</v>
      </c>
      <c r="I12" s="1177"/>
      <c r="J12" s="144"/>
      <c r="R12"/>
      <c r="S12"/>
    </row>
    <row r="13" spans="1:19">
      <c r="A13" s="1224"/>
      <c r="B13" s="163" t="s">
        <v>149</v>
      </c>
      <c r="C13" s="164" t="s">
        <v>147</v>
      </c>
      <c r="D13" s="165" t="s">
        <v>150</v>
      </c>
      <c r="E13" s="1179">
        <v>267769</v>
      </c>
      <c r="F13" s="1179">
        <v>268197</v>
      </c>
      <c r="G13" s="165">
        <v>1</v>
      </c>
      <c r="H13" s="164">
        <f>(F13-E13)*G13+I13</f>
        <v>428</v>
      </c>
      <c r="I13" s="166"/>
      <c r="J13" s="167"/>
      <c r="R13"/>
      <c r="S13"/>
    </row>
    <row r="14" spans="1:19" ht="15.75">
      <c r="A14" s="1224"/>
      <c r="B14" s="168" t="s">
        <v>151</v>
      </c>
      <c r="C14" s="152"/>
      <c r="D14" s="152"/>
      <c r="E14" s="1179"/>
      <c r="F14" s="1179"/>
      <c r="G14" s="152"/>
      <c r="H14" s="169">
        <f>(H11)-H12-H13</f>
        <v>71316339</v>
      </c>
      <c r="I14" s="315"/>
      <c r="J14" s="315"/>
      <c r="R14"/>
      <c r="S14"/>
    </row>
    <row r="15" spans="1:19">
      <c r="A15" s="1224"/>
      <c r="B15" s="151" t="s">
        <v>152</v>
      </c>
      <c r="C15" s="152" t="s">
        <v>147</v>
      </c>
      <c r="D15" s="152" t="s">
        <v>153</v>
      </c>
      <c r="E15" s="1179">
        <v>143228.29999999999</v>
      </c>
      <c r="F15" s="1179">
        <v>145467.29999999999</v>
      </c>
      <c r="G15" s="171">
        <v>2000</v>
      </c>
      <c r="H15" s="155">
        <f t="shared" ref="H15:H23" si="1">((F15-E15)*G15)+(I15+J15)</f>
        <v>4478000</v>
      </c>
      <c r="I15" s="152"/>
      <c r="J15" s="152"/>
      <c r="R15"/>
      <c r="S15"/>
    </row>
    <row r="16" spans="1:19">
      <c r="A16" s="1224"/>
      <c r="B16" s="151" t="s">
        <v>154</v>
      </c>
      <c r="C16" s="152" t="s">
        <v>147</v>
      </c>
      <c r="D16" s="152" t="s">
        <v>155</v>
      </c>
      <c r="E16" s="1179">
        <v>165931.70000000001</v>
      </c>
      <c r="F16" s="1179">
        <v>167831.8</v>
      </c>
      <c r="G16" s="171">
        <v>2000</v>
      </c>
      <c r="H16" s="155">
        <f t="shared" si="1"/>
        <v>3800199.9999999534</v>
      </c>
      <c r="I16" s="152"/>
      <c r="J16" s="152"/>
      <c r="R16"/>
      <c r="S16"/>
    </row>
    <row r="17" spans="1:19">
      <c r="A17" s="1224"/>
      <c r="B17" s="151" t="s">
        <v>156</v>
      </c>
      <c r="C17" s="152" t="s">
        <v>147</v>
      </c>
      <c r="D17" s="152" t="s">
        <v>157</v>
      </c>
      <c r="E17" s="1179">
        <v>119959.3</v>
      </c>
      <c r="F17" s="1179">
        <v>122264.3</v>
      </c>
      <c r="G17" s="171">
        <v>2000</v>
      </c>
      <c r="H17" s="155">
        <f t="shared" si="1"/>
        <v>4610000</v>
      </c>
      <c r="I17" s="1176"/>
      <c r="J17" s="1176"/>
      <c r="R17"/>
      <c r="S17"/>
    </row>
    <row r="18" spans="1:19">
      <c r="A18" s="1224"/>
      <c r="B18" s="151" t="s">
        <v>158</v>
      </c>
      <c r="C18" s="152" t="s">
        <v>147</v>
      </c>
      <c r="D18" s="152" t="s">
        <v>159</v>
      </c>
      <c r="E18" s="1179">
        <v>131643.20000000001</v>
      </c>
      <c r="F18" s="1179">
        <v>133868.20000000001</v>
      </c>
      <c r="G18" s="171">
        <v>2000</v>
      </c>
      <c r="H18" s="155">
        <f t="shared" si="1"/>
        <v>4835600</v>
      </c>
      <c r="I18" s="241">
        <v>385600</v>
      </c>
      <c r="J18" s="1176"/>
      <c r="R18"/>
      <c r="S18"/>
    </row>
    <row r="19" spans="1:19">
      <c r="A19" s="1224"/>
      <c r="B19" s="151" t="s">
        <v>160</v>
      </c>
      <c r="C19" s="152" t="s">
        <v>147</v>
      </c>
      <c r="D19" s="241" t="s">
        <v>161</v>
      </c>
      <c r="E19" s="1179">
        <v>2235.4870000000001</v>
      </c>
      <c r="F19" s="1179">
        <v>2280.98</v>
      </c>
      <c r="G19" s="171">
        <v>120000</v>
      </c>
      <c r="H19" s="155">
        <f t="shared" si="1"/>
        <v>5459159.9999999925</v>
      </c>
      <c r="I19" s="186"/>
      <c r="J19" s="241"/>
      <c r="R19"/>
      <c r="S19"/>
    </row>
    <row r="20" spans="1:19">
      <c r="A20" s="1224"/>
      <c r="B20" s="151" t="s">
        <v>162</v>
      </c>
      <c r="C20" s="152" t="s">
        <v>147</v>
      </c>
      <c r="D20" s="152" t="s">
        <v>163</v>
      </c>
      <c r="E20" s="1179">
        <v>3207.5448000000001</v>
      </c>
      <c r="F20" s="1179">
        <v>3265.01</v>
      </c>
      <c r="G20" s="171">
        <v>120000</v>
      </c>
      <c r="H20" s="155">
        <f t="shared" si="1"/>
        <v>6895824.0000000112</v>
      </c>
      <c r="I20" s="1176"/>
      <c r="J20" s="241"/>
      <c r="R20"/>
      <c r="S20"/>
    </row>
    <row r="21" spans="1:19">
      <c r="A21" s="1224"/>
      <c r="B21" s="151" t="s">
        <v>165</v>
      </c>
      <c r="C21" s="152" t="s">
        <v>147</v>
      </c>
      <c r="D21" s="152" t="s">
        <v>166</v>
      </c>
      <c r="E21" s="1179">
        <v>1974.0050000000001</v>
      </c>
      <c r="F21" s="1179">
        <v>2008.77</v>
      </c>
      <c r="G21" s="171">
        <v>120000</v>
      </c>
      <c r="H21" s="155">
        <f t="shared" si="1"/>
        <v>4171799.9999999846</v>
      </c>
      <c r="I21" s="241"/>
      <c r="J21" s="1176"/>
      <c r="R21"/>
      <c r="S21"/>
    </row>
    <row r="22" spans="1:19">
      <c r="A22" s="1224"/>
      <c r="B22" s="151" t="s">
        <v>167</v>
      </c>
      <c r="C22" s="152" t="s">
        <v>147</v>
      </c>
      <c r="D22" s="152" t="s">
        <v>168</v>
      </c>
      <c r="E22" s="1179">
        <v>291024</v>
      </c>
      <c r="F22" s="1179">
        <v>350212</v>
      </c>
      <c r="G22" s="171">
        <v>120</v>
      </c>
      <c r="H22" s="155">
        <f t="shared" si="1"/>
        <v>7112160</v>
      </c>
      <c r="I22" s="241">
        <v>9600</v>
      </c>
      <c r="J22" s="241"/>
      <c r="R22"/>
      <c r="S22"/>
    </row>
    <row r="23" spans="1:19">
      <c r="A23" s="1224"/>
      <c r="B23" s="151" t="s">
        <v>169</v>
      </c>
      <c r="C23" s="152" t="s">
        <v>147</v>
      </c>
      <c r="D23" s="152" t="s">
        <v>170</v>
      </c>
      <c r="E23" s="1179">
        <v>26753.9</v>
      </c>
      <c r="F23" s="1179">
        <v>26787.7</v>
      </c>
      <c r="G23" s="171">
        <v>2000</v>
      </c>
      <c r="H23" s="155">
        <f t="shared" si="1"/>
        <v>112399.99999999854</v>
      </c>
      <c r="I23" s="241">
        <v>44800</v>
      </c>
      <c r="J23" s="241"/>
      <c r="R23"/>
      <c r="S23"/>
    </row>
    <row r="24" spans="1:19">
      <c r="A24" s="1224"/>
      <c r="B24" s="191" t="s">
        <v>171</v>
      </c>
      <c r="C24" s="152" t="s">
        <v>147</v>
      </c>
      <c r="D24" s="152" t="s">
        <v>172</v>
      </c>
      <c r="E24" s="1179">
        <v>21383.4</v>
      </c>
      <c r="F24" s="1179">
        <v>21514.5</v>
      </c>
      <c r="G24" s="171">
        <v>4000</v>
      </c>
      <c r="H24" s="152">
        <f>I24</f>
        <v>0</v>
      </c>
      <c r="I24" s="241"/>
      <c r="J24" s="241"/>
      <c r="R24"/>
      <c r="S24"/>
    </row>
    <row r="25" spans="1:19">
      <c r="A25" s="1224"/>
      <c r="B25" s="151" t="s">
        <v>174</v>
      </c>
      <c r="C25" s="152" t="s">
        <v>147</v>
      </c>
      <c r="D25" s="152" t="s">
        <v>175</v>
      </c>
      <c r="E25" s="1179">
        <v>168221.7</v>
      </c>
      <c r="F25" s="1179">
        <v>171668.2</v>
      </c>
      <c r="G25" s="171">
        <v>2000</v>
      </c>
      <c r="H25" s="155">
        <f t="shared" ref="H25:H30" si="2">((F25-E25)*G25)+(I25+J25)</f>
        <v>6893000</v>
      </c>
      <c r="I25" s="186"/>
      <c r="J25" s="241"/>
      <c r="R25"/>
      <c r="S25"/>
    </row>
    <row r="26" spans="1:19">
      <c r="A26" s="1224"/>
      <c r="B26" s="151" t="s">
        <v>176</v>
      </c>
      <c r="C26" s="152" t="s">
        <v>147</v>
      </c>
      <c r="D26" s="152" t="s">
        <v>173</v>
      </c>
      <c r="E26" s="1179">
        <v>86652.9</v>
      </c>
      <c r="F26" s="1179">
        <v>87792.8</v>
      </c>
      <c r="G26" s="171">
        <v>2000</v>
      </c>
      <c r="H26" s="155">
        <f t="shared" si="2"/>
        <v>2279800.0000000177</v>
      </c>
      <c r="I26" s="186"/>
      <c r="J26" s="186"/>
      <c r="R26"/>
      <c r="S26"/>
    </row>
    <row r="27" spans="1:19">
      <c r="A27" s="1224"/>
      <c r="B27" s="192" t="s">
        <v>177</v>
      </c>
      <c r="C27" s="193" t="s">
        <v>147</v>
      </c>
      <c r="D27" s="193" t="s">
        <v>178</v>
      </c>
      <c r="E27" s="1179">
        <v>476.03210000000001</v>
      </c>
      <c r="F27" s="1179">
        <v>485.84190000000001</v>
      </c>
      <c r="G27" s="194">
        <v>240000</v>
      </c>
      <c r="H27" s="155">
        <f t="shared" si="2"/>
        <v>2354351.9999999991</v>
      </c>
      <c r="I27" s="195"/>
      <c r="J27" s="186"/>
      <c r="R27"/>
      <c r="S27"/>
    </row>
    <row r="28" spans="1:19">
      <c r="A28" s="1224"/>
      <c r="B28" s="197" t="s">
        <v>179</v>
      </c>
      <c r="C28" s="1180" t="s">
        <v>147</v>
      </c>
      <c r="D28" s="1180" t="s">
        <v>180</v>
      </c>
      <c r="E28" s="1179">
        <v>148349.79999999999</v>
      </c>
      <c r="F28" s="1179">
        <v>151238.9</v>
      </c>
      <c r="G28" s="198">
        <v>2000</v>
      </c>
      <c r="H28" s="155">
        <f t="shared" si="2"/>
        <v>5778200.0000000112</v>
      </c>
      <c r="I28" s="1180"/>
      <c r="J28" s="186"/>
      <c r="R28"/>
      <c r="S28"/>
    </row>
    <row r="29" spans="1:19">
      <c r="A29" s="1224"/>
      <c r="B29" s="197" t="s">
        <v>181</v>
      </c>
      <c r="C29" s="241" t="s">
        <v>147</v>
      </c>
      <c r="D29" s="1180" t="s">
        <v>182</v>
      </c>
      <c r="E29" s="1179">
        <v>2564.8917000000001</v>
      </c>
      <c r="F29" s="1179">
        <v>2622.66</v>
      </c>
      <c r="G29" s="198">
        <v>120000</v>
      </c>
      <c r="H29" s="155">
        <f t="shared" si="2"/>
        <v>7016595.9999999674</v>
      </c>
      <c r="I29" s="1180">
        <v>84400</v>
      </c>
      <c r="J29" s="1180"/>
      <c r="R29"/>
      <c r="S29"/>
    </row>
    <row r="30" spans="1:19">
      <c r="A30" s="1224"/>
      <c r="B30" s="203" t="s">
        <v>183</v>
      </c>
      <c r="C30" s="204" t="s">
        <v>147</v>
      </c>
      <c r="D30" s="195" t="s">
        <v>184</v>
      </c>
      <c r="E30" s="1179">
        <v>2482.0601999999999</v>
      </c>
      <c r="F30" s="1179">
        <v>2528.23</v>
      </c>
      <c r="G30" s="205">
        <v>120000</v>
      </c>
      <c r="H30" s="204">
        <f t="shared" si="2"/>
        <v>5540376.0000000149</v>
      </c>
      <c r="I30" s="195"/>
      <c r="J30" s="1180"/>
      <c r="R30"/>
      <c r="S30"/>
    </row>
    <row r="31" spans="1:19" ht="15.75">
      <c r="A31" s="1224"/>
      <c r="B31" s="207" t="s">
        <v>185</v>
      </c>
      <c r="C31" s="152"/>
      <c r="D31" s="152"/>
      <c r="E31" s="156"/>
      <c r="F31" s="156"/>
      <c r="G31" s="152"/>
      <c r="H31" s="169">
        <f>SUM(H15:H30)</f>
        <v>71337467.999999955</v>
      </c>
      <c r="I31" s="208">
        <f>(H14-H31)/H14</f>
        <v>-2.9627151780681416E-4</v>
      </c>
      <c r="J31" s="1180"/>
      <c r="R31"/>
      <c r="S31"/>
    </row>
    <row r="32" spans="1:19" ht="15.75">
      <c r="A32" s="1224"/>
      <c r="B32" s="151" t="s">
        <v>188</v>
      </c>
      <c r="C32" s="152"/>
      <c r="D32" s="152"/>
      <c r="E32" s="209"/>
      <c r="F32" s="209"/>
      <c r="G32" s="152"/>
      <c r="H32" s="210">
        <f>H27+H30</f>
        <v>7894728.000000014</v>
      </c>
      <c r="I32" s="208"/>
      <c r="J32" s="211"/>
      <c r="R32"/>
      <c r="S32"/>
    </row>
    <row r="33" spans="1:19" ht="15.75">
      <c r="A33" s="1224"/>
      <c r="B33" s="207" t="s">
        <v>190</v>
      </c>
      <c r="C33" s="152"/>
      <c r="D33" s="152"/>
      <c r="E33" s="156"/>
      <c r="F33" s="156"/>
      <c r="G33" s="152"/>
      <c r="H33" s="212">
        <f>H31-H32</f>
        <v>63442739.99999994</v>
      </c>
      <c r="I33" s="241"/>
      <c r="J33" s="213"/>
      <c r="R33"/>
      <c r="S33"/>
    </row>
    <row r="34" spans="1:19">
      <c r="A34" s="1224"/>
      <c r="E34" s="135"/>
      <c r="F34" s="135"/>
      <c r="R34"/>
      <c r="S34"/>
    </row>
    <row r="35" spans="1:19">
      <c r="A35" s="1224"/>
      <c r="E35" s="135"/>
      <c r="F35" s="135"/>
      <c r="R35"/>
      <c r="S35"/>
    </row>
    <row r="36" spans="1:19">
      <c r="A36" s="1224"/>
      <c r="E36" s="135"/>
      <c r="F36" s="135"/>
      <c r="R36"/>
      <c r="S36"/>
    </row>
    <row r="37" spans="1:19">
      <c r="A37" s="1224"/>
      <c r="E37" s="135"/>
      <c r="F37" s="135"/>
      <c r="J37" s="221"/>
      <c r="R37"/>
      <c r="S37"/>
    </row>
    <row r="38" spans="1:19">
      <c r="A38" s="223"/>
      <c r="E38" s="135"/>
      <c r="F38" s="135"/>
      <c r="R38"/>
      <c r="S38"/>
    </row>
    <row r="39" spans="1:19">
      <c r="A39" s="224"/>
      <c r="E39" s="135"/>
      <c r="F39" s="135"/>
      <c r="J39" s="225"/>
      <c r="R39"/>
      <c r="S39"/>
    </row>
    <row r="40" spans="1:19" ht="20.25">
      <c r="A40" s="226" t="s">
        <v>191</v>
      </c>
      <c r="B40" s="227"/>
      <c r="C40" s="227"/>
      <c r="D40" s="227"/>
      <c r="E40" s="228"/>
      <c r="F40" s="228"/>
      <c r="G40" s="227"/>
      <c r="H40" s="229"/>
      <c r="I40" s="227"/>
      <c r="J40" s="227"/>
      <c r="R40"/>
      <c r="S40"/>
    </row>
    <row r="41" spans="1:19">
      <c r="A41" s="1177"/>
      <c r="B41" s="1177"/>
      <c r="C41" s="1177"/>
      <c r="D41" s="1177"/>
      <c r="E41" s="142"/>
      <c r="F41" s="142"/>
      <c r="G41" s="1177"/>
      <c r="H41" s="1181" t="str">
        <f>H2</f>
        <v>OCT.2024</v>
      </c>
      <c r="I41" s="1177"/>
      <c r="J41" s="146"/>
      <c r="R41"/>
      <c r="S41"/>
    </row>
    <row r="42" spans="1:19" ht="38.25">
      <c r="A42" s="1167" t="s">
        <v>192</v>
      </c>
      <c r="B42" s="1173" t="s">
        <v>128</v>
      </c>
      <c r="C42" s="1173" t="s">
        <v>129</v>
      </c>
      <c r="D42" s="1173" t="s">
        <v>130</v>
      </c>
      <c r="E42" s="145" t="s">
        <v>193</v>
      </c>
      <c r="F42" s="145" t="s">
        <v>193</v>
      </c>
      <c r="G42" s="1177"/>
      <c r="H42" s="1177"/>
      <c r="I42" s="1173" t="s">
        <v>132</v>
      </c>
      <c r="J42" s="146"/>
      <c r="R42"/>
      <c r="S42"/>
    </row>
    <row r="43" spans="1:19" ht="25.5">
      <c r="A43" s="1168"/>
      <c r="B43" s="1178" t="s">
        <v>6</v>
      </c>
      <c r="C43" s="1173"/>
      <c r="D43" s="1173"/>
      <c r="E43" s="148">
        <v>45504</v>
      </c>
      <c r="F43" s="148">
        <v>45535</v>
      </c>
      <c r="G43" s="1173" t="s">
        <v>135</v>
      </c>
      <c r="H43" s="1173" t="s">
        <v>136</v>
      </c>
      <c r="I43" s="231"/>
      <c r="J43" s="146"/>
      <c r="R43"/>
      <c r="S43"/>
    </row>
    <row r="44" spans="1:19" ht="15" customHeight="1">
      <c r="A44" s="1225" t="s">
        <v>194</v>
      </c>
      <c r="B44" s="151" t="s">
        <v>195</v>
      </c>
      <c r="C44" s="232" t="s">
        <v>196</v>
      </c>
      <c r="D44" s="232" t="s">
        <v>197</v>
      </c>
      <c r="E44" s="1179">
        <v>5901270</v>
      </c>
      <c r="F44" s="1179">
        <v>5901270</v>
      </c>
      <c r="G44" s="232">
        <v>360</v>
      </c>
      <c r="H44" s="155">
        <f t="shared" ref="H44:H49" si="3">((F44-E44)*G44)+(I44+J44)</f>
        <v>0</v>
      </c>
      <c r="I44" s="233"/>
      <c r="J44" s="234"/>
      <c r="R44"/>
      <c r="S44"/>
    </row>
    <row r="45" spans="1:19">
      <c r="A45" s="1226"/>
      <c r="B45" s="151" t="s">
        <v>200</v>
      </c>
      <c r="C45" s="232" t="s">
        <v>196</v>
      </c>
      <c r="D45" s="232" t="s">
        <v>201</v>
      </c>
      <c r="E45" s="1179">
        <v>2001424</v>
      </c>
      <c r="F45" s="1179">
        <v>2001424</v>
      </c>
      <c r="G45" s="232">
        <v>240</v>
      </c>
      <c r="H45" s="155">
        <f t="shared" si="3"/>
        <v>0</v>
      </c>
      <c r="I45" s="232"/>
      <c r="J45" s="235"/>
      <c r="R45"/>
      <c r="S45"/>
    </row>
    <row r="46" spans="1:19">
      <c r="A46" s="1226"/>
      <c r="B46" s="151" t="s">
        <v>200</v>
      </c>
      <c r="C46" s="232" t="s">
        <v>196</v>
      </c>
      <c r="D46" s="232" t="s">
        <v>204</v>
      </c>
      <c r="E46" s="1179">
        <v>1985854</v>
      </c>
      <c r="F46" s="1179">
        <v>1985854</v>
      </c>
      <c r="G46" s="232">
        <v>240</v>
      </c>
      <c r="H46" s="155">
        <f t="shared" si="3"/>
        <v>0</v>
      </c>
      <c r="I46" s="232"/>
      <c r="J46" s="235"/>
      <c r="R46"/>
      <c r="S46"/>
    </row>
    <row r="47" spans="1:19">
      <c r="A47" s="1226"/>
      <c r="B47" s="151" t="s">
        <v>200</v>
      </c>
      <c r="C47" s="232" t="s">
        <v>196</v>
      </c>
      <c r="D47" s="232" t="s">
        <v>205</v>
      </c>
      <c r="E47" s="156">
        <v>258.12</v>
      </c>
      <c r="F47" s="1179">
        <v>321.91399999999999</v>
      </c>
      <c r="G47" s="232">
        <v>360000</v>
      </c>
      <c r="H47" s="155">
        <f t="shared" si="3"/>
        <v>22965839.999999993</v>
      </c>
      <c r="I47" s="232"/>
      <c r="J47" s="235"/>
      <c r="R47"/>
      <c r="S47"/>
    </row>
    <row r="48" spans="1:19">
      <c r="A48" s="1226"/>
      <c r="B48" s="151" t="s">
        <v>208</v>
      </c>
      <c r="C48" s="232" t="s">
        <v>196</v>
      </c>
      <c r="D48" s="232" t="s">
        <v>209</v>
      </c>
      <c r="E48" s="156">
        <v>219.49199999999999</v>
      </c>
      <c r="F48" s="1179">
        <v>274.21800000000002</v>
      </c>
      <c r="G48" s="232">
        <v>240000</v>
      </c>
      <c r="H48" s="155">
        <f t="shared" si="3"/>
        <v>13134240.000000007</v>
      </c>
      <c r="I48" s="232"/>
      <c r="J48" s="235"/>
      <c r="R48"/>
      <c r="S48"/>
    </row>
    <row r="49" spans="1:19">
      <c r="A49" s="1226"/>
      <c r="B49" s="151" t="s">
        <v>212</v>
      </c>
      <c r="C49" s="232" t="s">
        <v>196</v>
      </c>
      <c r="D49" s="232" t="s">
        <v>213</v>
      </c>
      <c r="E49" s="156">
        <v>219.874</v>
      </c>
      <c r="F49" s="1179">
        <v>272.97399999999999</v>
      </c>
      <c r="G49" s="232">
        <v>240000</v>
      </c>
      <c r="H49" s="155">
        <f t="shared" si="3"/>
        <v>12743999.999999998</v>
      </c>
      <c r="I49" s="232"/>
      <c r="J49" s="237"/>
      <c r="R49"/>
      <c r="S49"/>
    </row>
    <row r="50" spans="1:19">
      <c r="A50" s="1226"/>
      <c r="B50" s="197" t="s">
        <v>146</v>
      </c>
      <c r="C50" s="238" t="s">
        <v>196</v>
      </c>
      <c r="D50" s="239">
        <v>3721481</v>
      </c>
      <c r="E50" s="1179">
        <v>232759.9</v>
      </c>
      <c r="F50" s="1179">
        <v>235199.7</v>
      </c>
      <c r="G50" s="239">
        <v>1</v>
      </c>
      <c r="H50" s="159">
        <f>((F50-E50)*G50)+(I50+J49)</f>
        <v>3659.7000000000276</v>
      </c>
      <c r="I50" s="159">
        <v>1219.9000000000101</v>
      </c>
      <c r="J50" s="240"/>
      <c r="R50"/>
      <c r="S50"/>
    </row>
    <row r="51" spans="1:19">
      <c r="A51" s="1226"/>
      <c r="B51" s="197"/>
      <c r="C51" s="238"/>
      <c r="D51" s="239"/>
      <c r="E51" s="243"/>
      <c r="F51" s="243"/>
      <c r="G51" s="239"/>
      <c r="H51" s="244">
        <f>SUM(H44:H49)</f>
        <v>48844080</v>
      </c>
      <c r="I51" s="152"/>
      <c r="J51" s="235"/>
      <c r="R51"/>
      <c r="S51"/>
    </row>
    <row r="52" spans="1:19" ht="15.75">
      <c r="A52" s="1226"/>
      <c r="B52" s="168" t="s">
        <v>151</v>
      </c>
      <c r="C52" s="232"/>
      <c r="D52" s="232"/>
      <c r="E52" s="243"/>
      <c r="F52" s="243"/>
      <c r="G52" s="232"/>
      <c r="H52" s="245">
        <f>H51-H50</f>
        <v>48840420.299999997</v>
      </c>
      <c r="I52" s="152"/>
      <c r="J52" s="235"/>
      <c r="R52"/>
      <c r="S52"/>
    </row>
    <row r="53" spans="1:19">
      <c r="A53" s="1226"/>
      <c r="B53" s="232" t="s">
        <v>198</v>
      </c>
      <c r="C53" s="232" t="s">
        <v>196</v>
      </c>
      <c r="D53" s="232" t="s">
        <v>199</v>
      </c>
      <c r="E53" s="1179">
        <v>2122.6999999999998</v>
      </c>
      <c r="F53" s="1179">
        <v>2179.9</v>
      </c>
      <c r="G53" s="232">
        <v>120000</v>
      </c>
      <c r="H53" s="155">
        <f t="shared" ref="H53:H61" si="4">((F53-E53)*G53)+(I53+J52)</f>
        <v>6864000.0000000326</v>
      </c>
      <c r="I53" s="247"/>
      <c r="J53" s="235"/>
      <c r="R53"/>
      <c r="S53"/>
    </row>
    <row r="54" spans="1:19">
      <c r="A54" s="1226"/>
      <c r="B54" s="232" t="s">
        <v>214</v>
      </c>
      <c r="C54" s="232" t="s">
        <v>196</v>
      </c>
      <c r="D54" s="238" t="s">
        <v>215</v>
      </c>
      <c r="E54" s="1179">
        <v>139369.60000000001</v>
      </c>
      <c r="F54" s="1179">
        <v>139780.5</v>
      </c>
      <c r="G54" s="238">
        <v>2000</v>
      </c>
      <c r="H54" s="158">
        <f t="shared" si="4"/>
        <v>822133.29999998841</v>
      </c>
      <c r="I54" s="249">
        <v>333.3</v>
      </c>
      <c r="J54" s="235"/>
      <c r="R54"/>
      <c r="S54"/>
    </row>
    <row r="55" spans="1:19">
      <c r="A55" s="1226"/>
      <c r="B55" s="232" t="s">
        <v>202</v>
      </c>
      <c r="C55" s="232" t="s">
        <v>196</v>
      </c>
      <c r="D55" s="232" t="s">
        <v>203</v>
      </c>
      <c r="E55" s="1179">
        <v>2983.3</v>
      </c>
      <c r="F55" s="1179">
        <v>3028</v>
      </c>
      <c r="G55" s="232">
        <v>120000</v>
      </c>
      <c r="H55" s="158">
        <f t="shared" si="4"/>
        <v>5496986.6999999788</v>
      </c>
      <c r="I55" s="249">
        <v>132986.70000000001</v>
      </c>
      <c r="J55" s="235"/>
      <c r="R55"/>
      <c r="S55"/>
    </row>
    <row r="56" spans="1:19">
      <c r="A56" s="1226"/>
      <c r="B56" s="232" t="s">
        <v>210</v>
      </c>
      <c r="C56" s="232" t="s">
        <v>196</v>
      </c>
      <c r="D56" s="232" t="s">
        <v>211</v>
      </c>
      <c r="E56" s="1179">
        <v>2468.6</v>
      </c>
      <c r="F56" s="1179">
        <v>2519.6999999999998</v>
      </c>
      <c r="G56" s="232">
        <v>120000</v>
      </c>
      <c r="H56" s="155">
        <f t="shared" si="4"/>
        <v>6131999.9999999888</v>
      </c>
      <c r="I56" s="249"/>
      <c r="J56" s="232"/>
      <c r="R56"/>
      <c r="S56"/>
    </row>
    <row r="57" spans="1:19">
      <c r="A57" s="1226"/>
      <c r="B57" s="232" t="s">
        <v>216</v>
      </c>
      <c r="C57" s="232" t="s">
        <v>196</v>
      </c>
      <c r="D57" s="232" t="s">
        <v>217</v>
      </c>
      <c r="E57" s="1179">
        <v>2762.7</v>
      </c>
      <c r="F57" s="1179">
        <v>2806.9</v>
      </c>
      <c r="G57" s="232">
        <v>120000</v>
      </c>
      <c r="H57" s="158">
        <f t="shared" si="4"/>
        <v>5304000.0000000326</v>
      </c>
      <c r="I57" s="249"/>
      <c r="J57" s="232"/>
      <c r="R57"/>
      <c r="S57"/>
    </row>
    <row r="58" spans="1:19">
      <c r="A58" s="1226"/>
      <c r="B58" s="256" t="s">
        <v>206</v>
      </c>
      <c r="C58" s="232" t="s">
        <v>196</v>
      </c>
      <c r="D58" s="232" t="s">
        <v>207</v>
      </c>
      <c r="E58" s="1179">
        <v>2924.7</v>
      </c>
      <c r="F58" s="1179">
        <v>2969</v>
      </c>
      <c r="G58" s="232">
        <v>120000</v>
      </c>
      <c r="H58" s="158">
        <f t="shared" si="4"/>
        <v>5316000.0000000214</v>
      </c>
      <c r="I58" s="159"/>
      <c r="J58" s="232"/>
      <c r="R58"/>
      <c r="S58"/>
    </row>
    <row r="59" spans="1:19">
      <c r="A59" s="1226"/>
      <c r="B59" s="232" t="s">
        <v>218</v>
      </c>
      <c r="C59" s="232" t="s">
        <v>196</v>
      </c>
      <c r="D59" s="232" t="s">
        <v>219</v>
      </c>
      <c r="E59" s="1179">
        <v>1863.6</v>
      </c>
      <c r="F59" s="1179">
        <v>1904.9</v>
      </c>
      <c r="G59" s="232">
        <v>120000</v>
      </c>
      <c r="H59" s="155">
        <f t="shared" si="4"/>
        <v>4956000.0000000214</v>
      </c>
      <c r="I59" s="249"/>
      <c r="J59" s="258"/>
      <c r="R59"/>
      <c r="S59"/>
    </row>
    <row r="60" spans="1:19">
      <c r="A60" s="1226"/>
      <c r="B60" s="238" t="s">
        <v>220</v>
      </c>
      <c r="C60" s="232" t="s">
        <v>196</v>
      </c>
      <c r="D60" s="238" t="s">
        <v>221</v>
      </c>
      <c r="E60" s="1179">
        <v>2678.1</v>
      </c>
      <c r="F60" s="1179">
        <v>2724</v>
      </c>
      <c r="G60" s="238">
        <v>120000</v>
      </c>
      <c r="H60" s="155">
        <f t="shared" si="4"/>
        <v>5513332.800000011</v>
      </c>
      <c r="I60" s="244">
        <v>5332.8</v>
      </c>
      <c r="J60" s="260"/>
      <c r="R60"/>
      <c r="S60"/>
    </row>
    <row r="61" spans="1:19">
      <c r="A61" s="1226"/>
      <c r="B61" s="315" t="s">
        <v>222</v>
      </c>
      <c r="C61" s="232" t="s">
        <v>196</v>
      </c>
      <c r="D61" s="315" t="s">
        <v>223</v>
      </c>
      <c r="E61" s="1179">
        <v>1947.8</v>
      </c>
      <c r="F61" s="1179">
        <v>1982.9</v>
      </c>
      <c r="G61" s="232">
        <v>120000</v>
      </c>
      <c r="H61" s="155">
        <f t="shared" si="4"/>
        <v>4212000.0000000168</v>
      </c>
      <c r="I61" s="261"/>
      <c r="J61" s="315"/>
      <c r="R61"/>
      <c r="S61"/>
    </row>
    <row r="62" spans="1:19">
      <c r="A62" s="1226"/>
      <c r="B62" s="238" t="s">
        <v>171</v>
      </c>
      <c r="C62" s="232" t="s">
        <v>196</v>
      </c>
      <c r="D62" s="238" t="s">
        <v>226</v>
      </c>
      <c r="E62" s="1179">
        <v>99330</v>
      </c>
      <c r="F62" s="1179">
        <v>100730</v>
      </c>
      <c r="G62" s="238">
        <v>333.3</v>
      </c>
      <c r="H62" s="152">
        <v>0</v>
      </c>
      <c r="I62" s="1176"/>
      <c r="J62" s="263"/>
      <c r="R62"/>
      <c r="S62"/>
    </row>
    <row r="63" spans="1:19">
      <c r="A63" s="1226"/>
      <c r="B63" s="265" t="s">
        <v>224</v>
      </c>
      <c r="C63" s="266" t="s">
        <v>196</v>
      </c>
      <c r="D63" s="265" t="s">
        <v>227</v>
      </c>
      <c r="E63" s="1179">
        <v>3219.3</v>
      </c>
      <c r="F63" s="1179">
        <v>3251.2</v>
      </c>
      <c r="G63" s="265">
        <v>120000</v>
      </c>
      <c r="H63" s="158">
        <f>((F63-E63)*G63)+(I63+J62)</f>
        <v>4155967.1999999564</v>
      </c>
      <c r="I63" s="267">
        <v>327967.2</v>
      </c>
      <c r="J63" s="239"/>
      <c r="R63"/>
      <c r="S63"/>
    </row>
    <row r="64" spans="1:19" ht="15.75">
      <c r="A64" s="1226"/>
      <c r="B64" s="268" t="s">
        <v>228</v>
      </c>
      <c r="C64" s="268"/>
      <c r="D64" s="268"/>
      <c r="E64" s="269"/>
      <c r="F64" s="269"/>
      <c r="G64" s="268"/>
      <c r="H64" s="270">
        <f>SUM(H53:H63)</f>
        <v>48772420.000000052</v>
      </c>
      <c r="I64" s="271">
        <f>(H52-H64)/H52</f>
        <v>1.3922955531966393E-3</v>
      </c>
      <c r="J64" s="272"/>
      <c r="R64"/>
      <c r="S64"/>
    </row>
    <row r="65" spans="1:19">
      <c r="A65" s="1226"/>
      <c r="B65" s="239" t="s">
        <v>188</v>
      </c>
      <c r="C65" s="239"/>
      <c r="D65" s="239"/>
      <c r="E65" s="142"/>
      <c r="F65" s="142"/>
      <c r="G65" s="239"/>
      <c r="H65" s="274">
        <f>H50+H63</f>
        <v>4159626.8999999566</v>
      </c>
      <c r="I65" s="239"/>
      <c r="J65" s="275"/>
      <c r="R65"/>
      <c r="S65"/>
    </row>
    <row r="66" spans="1:19" ht="15.75">
      <c r="A66" s="1226"/>
      <c r="B66" s="239" t="s">
        <v>229</v>
      </c>
      <c r="C66" s="239"/>
      <c r="D66" s="239"/>
      <c r="E66" s="142"/>
      <c r="F66" s="142"/>
      <c r="G66" s="239"/>
      <c r="H66" s="276">
        <f>H64-H65</f>
        <v>44612793.100000098</v>
      </c>
      <c r="I66" s="239"/>
      <c r="J66" s="275"/>
      <c r="R66"/>
      <c r="S66"/>
    </row>
    <row r="67" spans="1:19">
      <c r="A67" s="1226"/>
      <c r="E67" s="135"/>
      <c r="F67" s="135"/>
      <c r="R67"/>
      <c r="S67"/>
    </row>
    <row r="68" spans="1:19">
      <c r="A68" s="1226"/>
      <c r="E68" s="135"/>
      <c r="F68" s="135"/>
      <c r="R68"/>
      <c r="S68"/>
    </row>
    <row r="69" spans="1:19">
      <c r="A69" s="1226"/>
      <c r="E69" s="135"/>
      <c r="F69" s="135"/>
      <c r="J69" s="87"/>
      <c r="R69"/>
      <c r="S69"/>
    </row>
    <row r="70" spans="1:19">
      <c r="A70" s="1226"/>
      <c r="E70" s="135"/>
      <c r="F70" s="135"/>
      <c r="R70"/>
      <c r="S70"/>
    </row>
    <row r="71" spans="1:19">
      <c r="A71" s="1226"/>
      <c r="E71" s="135"/>
      <c r="F71" s="135"/>
      <c r="R71"/>
      <c r="S71"/>
    </row>
    <row r="72" spans="1:19">
      <c r="A72" s="1226"/>
      <c r="E72" s="135"/>
      <c r="F72" s="135"/>
      <c r="R72"/>
      <c r="S72"/>
    </row>
    <row r="73" spans="1:19">
      <c r="A73" s="1226"/>
      <c r="E73" s="135"/>
      <c r="F73" s="135"/>
      <c r="R73"/>
      <c r="S73"/>
    </row>
    <row r="74" spans="1:19">
      <c r="A74" s="1227"/>
      <c r="E74" s="135"/>
      <c r="F74" s="135"/>
      <c r="R74"/>
      <c r="S74"/>
    </row>
    <row r="75" spans="1:19" ht="15.75">
      <c r="A75" s="278" t="s">
        <v>230</v>
      </c>
      <c r="E75" s="135"/>
      <c r="F75" s="135"/>
      <c r="J75" s="277"/>
      <c r="R75"/>
      <c r="S75"/>
    </row>
    <row r="76" spans="1:19" ht="15.75">
      <c r="A76" s="1174"/>
      <c r="B76" s="1174"/>
      <c r="C76" s="1174"/>
      <c r="D76" s="1174"/>
      <c r="E76" s="279"/>
      <c r="F76" s="279"/>
      <c r="G76" s="1174"/>
      <c r="H76" s="280" t="str">
        <f>H2</f>
        <v>OCT.2024</v>
      </c>
      <c r="I76" s="1174"/>
      <c r="J76" s="277"/>
      <c r="R76"/>
      <c r="S76"/>
    </row>
    <row r="77" spans="1:19" ht="15.75" customHeight="1">
      <c r="A77" s="1169" t="s">
        <v>192</v>
      </c>
      <c r="E77" s="135"/>
      <c r="F77" s="135"/>
      <c r="H77" s="152"/>
      <c r="I77" s="1174"/>
      <c r="J77" s="281"/>
      <c r="R77"/>
      <c r="S77"/>
    </row>
    <row r="78" spans="1:19" ht="38.25">
      <c r="A78" s="1170"/>
      <c r="B78" s="1173" t="s">
        <v>128</v>
      </c>
      <c r="C78" s="1173" t="s">
        <v>129</v>
      </c>
      <c r="D78" s="1173" t="s">
        <v>130</v>
      </c>
      <c r="E78" s="283" t="s">
        <v>193</v>
      </c>
      <c r="F78" s="283" t="s">
        <v>193</v>
      </c>
      <c r="G78" s="1177"/>
      <c r="H78" s="1177"/>
      <c r="I78" s="231" t="s">
        <v>132</v>
      </c>
      <c r="J78" s="281"/>
      <c r="R78"/>
      <c r="S78"/>
    </row>
    <row r="79" spans="1:19" ht="15" customHeight="1">
      <c r="A79" s="1228" t="s">
        <v>231</v>
      </c>
      <c r="B79" s="1178" t="s">
        <v>6</v>
      </c>
      <c r="C79" s="1173"/>
      <c r="D79" s="1173"/>
      <c r="E79" s="148">
        <v>45504</v>
      </c>
      <c r="F79" s="148">
        <v>45535</v>
      </c>
      <c r="G79" s="1173" t="s">
        <v>135</v>
      </c>
      <c r="H79" s="1173" t="s">
        <v>136</v>
      </c>
      <c r="I79" s="231"/>
      <c r="J79" s="285"/>
      <c r="R79"/>
      <c r="S79"/>
    </row>
    <row r="80" spans="1:19">
      <c r="A80" s="1229"/>
      <c r="B80" s="151" t="s">
        <v>195</v>
      </c>
      <c r="C80" s="151" t="s">
        <v>232</v>
      </c>
      <c r="D80" s="151" t="s">
        <v>233</v>
      </c>
      <c r="E80" s="287">
        <v>7905454</v>
      </c>
      <c r="F80" s="287">
        <v>7905454</v>
      </c>
      <c r="G80" s="241">
        <v>360</v>
      </c>
      <c r="H80" s="152">
        <f>((F80-E80)*G80)+(I80+J79)</f>
        <v>0</v>
      </c>
      <c r="I80" s="151"/>
      <c r="J80" s="285"/>
      <c r="R80"/>
      <c r="S80"/>
    </row>
    <row r="81" spans="1:19">
      <c r="A81" s="1229"/>
      <c r="B81" s="151" t="s">
        <v>195</v>
      </c>
      <c r="C81" s="151" t="s">
        <v>232</v>
      </c>
      <c r="D81" s="152" t="s">
        <v>234</v>
      </c>
      <c r="E81" s="287">
        <v>243.31</v>
      </c>
      <c r="F81" s="1179">
        <v>310.31099999999998</v>
      </c>
      <c r="G81" s="241">
        <v>360000</v>
      </c>
      <c r="H81" s="152">
        <f>((F81-E81)*G81)+(I81+J80)</f>
        <v>24120359.999999993</v>
      </c>
      <c r="I81" s="288"/>
      <c r="J81" s="285"/>
      <c r="R81"/>
      <c r="S81"/>
    </row>
    <row r="82" spans="1:19">
      <c r="A82" s="1229"/>
      <c r="B82" s="151" t="s">
        <v>195</v>
      </c>
      <c r="C82" s="151" t="s">
        <v>232</v>
      </c>
      <c r="D82" s="151" t="s">
        <v>235</v>
      </c>
      <c r="E82" s="289">
        <v>1353.6</v>
      </c>
      <c r="F82" s="289">
        <v>1353.6</v>
      </c>
      <c r="G82" s="241">
        <v>360000</v>
      </c>
      <c r="H82" s="152">
        <f>((F82-E82)*G82)+(I82+J81)</f>
        <v>0</v>
      </c>
      <c r="I82" s="288"/>
      <c r="J82" s="285"/>
      <c r="R82"/>
      <c r="S82"/>
    </row>
    <row r="83" spans="1:19">
      <c r="A83" s="1229"/>
      <c r="B83" s="151" t="s">
        <v>195</v>
      </c>
      <c r="C83" s="151" t="s">
        <v>232</v>
      </c>
      <c r="D83" s="151" t="s">
        <v>236</v>
      </c>
      <c r="E83" s="287">
        <v>263.58199999999999</v>
      </c>
      <c r="F83" s="1179">
        <v>335.65100000000001</v>
      </c>
      <c r="G83" s="241">
        <v>360000</v>
      </c>
      <c r="H83" s="152">
        <f>((F83-E83)*G83)+(I83+J82)</f>
        <v>25944840.000000007</v>
      </c>
      <c r="I83" s="290"/>
      <c r="J83" s="285"/>
      <c r="R83"/>
      <c r="S83"/>
    </row>
    <row r="84" spans="1:19">
      <c r="A84" s="1229"/>
      <c r="B84" s="151" t="s">
        <v>237</v>
      </c>
      <c r="C84" s="151" t="s">
        <v>232</v>
      </c>
      <c r="D84" s="151" t="s">
        <v>238</v>
      </c>
      <c r="E84" s="287">
        <v>333744</v>
      </c>
      <c r="F84" s="1179">
        <v>335989</v>
      </c>
      <c r="G84" s="152">
        <v>2</v>
      </c>
      <c r="H84" s="152">
        <f>((F84-E84)*G84)+(I84+J83)</f>
        <v>4490</v>
      </c>
      <c r="I84" s="291"/>
      <c r="J84" s="285"/>
      <c r="R84"/>
      <c r="S84"/>
    </row>
    <row r="85" spans="1:19" ht="15.75">
      <c r="A85" s="1229"/>
      <c r="B85" s="151" t="s">
        <v>71</v>
      </c>
      <c r="C85" s="151"/>
      <c r="D85" s="151"/>
      <c r="E85" s="287"/>
      <c r="F85" s="287"/>
      <c r="G85" s="152"/>
      <c r="H85" s="292">
        <f>H80+H82+H81+H83-H84</f>
        <v>50060710</v>
      </c>
      <c r="I85" s="293"/>
      <c r="J85" s="285"/>
      <c r="R85"/>
      <c r="S85"/>
    </row>
    <row r="86" spans="1:19" ht="15.75">
      <c r="A86" s="1229"/>
      <c r="B86" s="207" t="s">
        <v>239</v>
      </c>
      <c r="C86" s="151"/>
      <c r="D86" s="151"/>
      <c r="E86" s="287"/>
      <c r="F86" s="287"/>
      <c r="G86" s="152"/>
      <c r="H86" s="1174"/>
      <c r="I86" s="151"/>
      <c r="J86" s="294"/>
      <c r="R86"/>
      <c r="S86"/>
    </row>
    <row r="87" spans="1:19">
      <c r="A87" s="1229"/>
      <c r="B87" s="151" t="s">
        <v>242</v>
      </c>
      <c r="C87" s="151" t="s">
        <v>232</v>
      </c>
      <c r="D87" s="151" t="s">
        <v>241</v>
      </c>
      <c r="E87" s="287">
        <v>6548086</v>
      </c>
      <c r="F87" s="1179">
        <v>6612844</v>
      </c>
      <c r="G87" s="152">
        <v>120</v>
      </c>
      <c r="H87" s="241">
        <f t="shared" ref="H87:H95" si="5">((F87-E87)*G87)+(I87+J86)</f>
        <v>7770960</v>
      </c>
      <c r="I87" s="152"/>
      <c r="J87" s="294"/>
      <c r="R87"/>
      <c r="S87"/>
    </row>
    <row r="88" spans="1:19">
      <c r="A88" s="1229"/>
      <c r="B88" s="151" t="s">
        <v>245</v>
      </c>
      <c r="C88" s="151" t="s">
        <v>232</v>
      </c>
      <c r="D88" s="151" t="s">
        <v>246</v>
      </c>
      <c r="E88" s="287">
        <v>310983.8</v>
      </c>
      <c r="F88" s="1179">
        <v>313615</v>
      </c>
      <c r="G88" s="152">
        <v>2000</v>
      </c>
      <c r="H88" s="241">
        <f t="shared" si="5"/>
        <v>5289600.0000000233</v>
      </c>
      <c r="I88" s="152">
        <v>27200</v>
      </c>
      <c r="J88" s="294"/>
      <c r="R88"/>
      <c r="S88"/>
    </row>
    <row r="89" spans="1:19">
      <c r="A89" s="1229"/>
      <c r="B89" s="151" t="s">
        <v>249</v>
      </c>
      <c r="C89" s="151" t="s">
        <v>232</v>
      </c>
      <c r="D89" s="151" t="s">
        <v>250</v>
      </c>
      <c r="E89" s="287">
        <v>2300693</v>
      </c>
      <c r="F89" s="1179">
        <v>2307298</v>
      </c>
      <c r="G89" s="152">
        <v>60</v>
      </c>
      <c r="H89" s="241">
        <f t="shared" si="5"/>
        <v>396300</v>
      </c>
      <c r="I89" s="152"/>
      <c r="J89" s="294"/>
      <c r="R89"/>
      <c r="S89"/>
    </row>
    <row r="90" spans="1:19">
      <c r="A90" s="1229"/>
      <c r="B90" s="151" t="s">
        <v>243</v>
      </c>
      <c r="C90" s="151" t="s">
        <v>232</v>
      </c>
      <c r="D90" s="151" t="s">
        <v>244</v>
      </c>
      <c r="E90" s="287">
        <v>371.93169999999998</v>
      </c>
      <c r="F90" s="287">
        <v>418.96409999999997</v>
      </c>
      <c r="G90" s="152">
        <v>120000</v>
      </c>
      <c r="H90" s="241">
        <f t="shared" si="5"/>
        <v>5643887.9999999991</v>
      </c>
      <c r="I90" s="152"/>
      <c r="J90" s="294"/>
      <c r="R90"/>
      <c r="S90"/>
    </row>
    <row r="91" spans="1:19">
      <c r="A91" s="1229"/>
      <c r="B91" s="151" t="s">
        <v>247</v>
      </c>
      <c r="C91" s="151" t="s">
        <v>232</v>
      </c>
      <c r="D91" s="151" t="s">
        <v>248</v>
      </c>
      <c r="E91" s="287">
        <v>303763.7</v>
      </c>
      <c r="F91" s="1179">
        <v>306409.40000000002</v>
      </c>
      <c r="G91" s="152">
        <v>2000</v>
      </c>
      <c r="H91" s="241">
        <f t="shared" si="5"/>
        <v>5291400.0000000233</v>
      </c>
      <c r="I91" s="152"/>
      <c r="J91" s="294"/>
      <c r="R91"/>
      <c r="S91"/>
    </row>
    <row r="92" spans="1:19">
      <c r="A92" s="1229"/>
      <c r="B92" s="151" t="s">
        <v>253</v>
      </c>
      <c r="C92" s="151" t="s">
        <v>232</v>
      </c>
      <c r="D92" s="151" t="s">
        <v>254</v>
      </c>
      <c r="E92" s="287">
        <v>288094.7</v>
      </c>
      <c r="F92" s="1179">
        <v>291073.59999999998</v>
      </c>
      <c r="G92" s="152">
        <v>2000</v>
      </c>
      <c r="H92" s="241">
        <f t="shared" si="5"/>
        <v>5957799.9999999302</v>
      </c>
      <c r="I92" s="152"/>
      <c r="J92" s="294"/>
      <c r="R92"/>
      <c r="S92"/>
    </row>
    <row r="93" spans="1:19">
      <c r="A93" s="1229"/>
      <c r="B93" s="151" t="s">
        <v>258</v>
      </c>
      <c r="C93" s="151" t="s">
        <v>232</v>
      </c>
      <c r="D93" s="151" t="s">
        <v>259</v>
      </c>
      <c r="E93" s="287">
        <v>241850</v>
      </c>
      <c r="F93" s="1179">
        <v>242386.6</v>
      </c>
      <c r="G93" s="152">
        <v>2000</v>
      </c>
      <c r="H93" s="241">
        <f t="shared" si="5"/>
        <v>1073200.0000000116</v>
      </c>
      <c r="I93" s="152"/>
      <c r="J93" s="294"/>
      <c r="R93"/>
      <c r="S93"/>
    </row>
    <row r="94" spans="1:19">
      <c r="A94" s="1229"/>
      <c r="B94" s="151" t="s">
        <v>261</v>
      </c>
      <c r="C94" s="151" t="s">
        <v>232</v>
      </c>
      <c r="D94" s="151" t="s">
        <v>262</v>
      </c>
      <c r="E94" s="287">
        <v>206543.9</v>
      </c>
      <c r="F94" s="1179">
        <v>209158.8</v>
      </c>
      <c r="G94" s="152">
        <v>2000</v>
      </c>
      <c r="H94" s="241">
        <f t="shared" si="5"/>
        <v>5229799.9999999888</v>
      </c>
      <c r="I94" s="152"/>
      <c r="J94" s="298"/>
      <c r="R94"/>
      <c r="S94"/>
    </row>
    <row r="95" spans="1:19">
      <c r="A95" s="1229"/>
      <c r="B95" s="151" t="s">
        <v>256</v>
      </c>
      <c r="C95" s="151" t="s">
        <v>232</v>
      </c>
      <c r="D95" s="151" t="s">
        <v>265</v>
      </c>
      <c r="E95" s="287">
        <v>24717.1</v>
      </c>
      <c r="F95" s="1179">
        <v>27120.400000000001</v>
      </c>
      <c r="G95" s="152">
        <v>2000</v>
      </c>
      <c r="H95" s="241">
        <f t="shared" si="5"/>
        <v>4806600.0000000056</v>
      </c>
      <c r="I95" s="152"/>
      <c r="J95" s="298"/>
      <c r="R95"/>
      <c r="S95"/>
    </row>
    <row r="96" spans="1:19">
      <c r="A96" s="1229"/>
      <c r="B96" s="300" t="s">
        <v>263</v>
      </c>
      <c r="C96" s="300" t="s">
        <v>232</v>
      </c>
      <c r="D96" s="300" t="s">
        <v>264</v>
      </c>
      <c r="E96" s="287">
        <v>201795.20000000001</v>
      </c>
      <c r="F96" s="1179">
        <v>203446.7</v>
      </c>
      <c r="G96" s="204">
        <v>2000</v>
      </c>
      <c r="H96" s="204">
        <f>((F96-E96)*G96)+(I96+J94)</f>
        <v>3398200</v>
      </c>
      <c r="I96" s="204">
        <v>95200</v>
      </c>
      <c r="J96" s="238"/>
      <c r="R96"/>
      <c r="S96"/>
    </row>
    <row r="97" spans="1:19">
      <c r="A97" s="1229"/>
      <c r="B97" s="300" t="s">
        <v>266</v>
      </c>
      <c r="C97" s="300" t="s">
        <v>232</v>
      </c>
      <c r="D97" s="300" t="s">
        <v>267</v>
      </c>
      <c r="E97" s="287">
        <v>790007</v>
      </c>
      <c r="F97" s="1179">
        <v>795244</v>
      </c>
      <c r="G97" s="204">
        <v>1000</v>
      </c>
      <c r="H97" s="204">
        <f>((F97-E97)*G97)+(I97+J95)</f>
        <v>5237000</v>
      </c>
      <c r="I97" s="204"/>
      <c r="R97"/>
      <c r="S97"/>
    </row>
    <row r="98" spans="1:19">
      <c r="A98" s="1229"/>
      <c r="B98" s="238" t="s">
        <v>268</v>
      </c>
      <c r="C98" s="238" t="s">
        <v>232</v>
      </c>
      <c r="D98" s="238" t="s">
        <v>269</v>
      </c>
      <c r="E98" s="287">
        <v>12140.2</v>
      </c>
      <c r="F98" s="1179">
        <v>12201.4</v>
      </c>
      <c r="G98" s="1179">
        <v>2000</v>
      </c>
      <c r="H98" s="238"/>
      <c r="I98" s="238"/>
      <c r="R98"/>
      <c r="S98"/>
    </row>
    <row r="99" spans="1:19">
      <c r="A99" s="1229"/>
      <c r="B99" s="300" t="s">
        <v>270</v>
      </c>
      <c r="C99" s="300" t="s">
        <v>232</v>
      </c>
      <c r="D99" s="300"/>
      <c r="E99" s="243">
        <v>810012</v>
      </c>
      <c r="F99" s="243">
        <v>823922</v>
      </c>
      <c r="G99" s="204">
        <v>80</v>
      </c>
      <c r="H99" s="204">
        <f>((F99-E99)*G99)+(I99+J97)</f>
        <v>1112800</v>
      </c>
      <c r="I99" s="315"/>
      <c r="J99" s="285"/>
      <c r="R99"/>
      <c r="S99"/>
    </row>
    <row r="100" spans="1:19" ht="15.75">
      <c r="A100" s="1229"/>
      <c r="B100" s="151" t="s">
        <v>71</v>
      </c>
      <c r="C100" s="151"/>
      <c r="D100" s="151"/>
      <c r="E100" s="156"/>
      <c r="F100" s="156"/>
      <c r="G100" s="151"/>
      <c r="H100" s="1174">
        <f>SUM(H87:H97)</f>
        <v>50094747.999999978</v>
      </c>
      <c r="I100" s="315"/>
      <c r="J100" s="303"/>
      <c r="R100"/>
      <c r="S100"/>
    </row>
    <row r="101" spans="1:19">
      <c r="A101" s="305"/>
      <c r="B101" s="239" t="s">
        <v>188</v>
      </c>
      <c r="C101" s="151"/>
      <c r="D101" s="151"/>
      <c r="E101" s="156"/>
      <c r="F101" s="156"/>
      <c r="G101" s="151"/>
      <c r="H101" s="152">
        <f>H84+H96+H97-H99</f>
        <v>7526890</v>
      </c>
      <c r="I101" s="151"/>
      <c r="R101"/>
      <c r="S101"/>
    </row>
    <row r="102" spans="1:19" ht="15.75">
      <c r="A102" s="306"/>
      <c r="B102" s="207" t="s">
        <v>271</v>
      </c>
      <c r="C102" s="151"/>
      <c r="D102" s="151"/>
      <c r="E102" s="156"/>
      <c r="F102" s="156"/>
      <c r="G102" s="151"/>
      <c r="H102" s="1174">
        <f>H100-H101</f>
        <v>42567857.999999978</v>
      </c>
      <c r="I102" s="208">
        <f>(H85-H100)/H85</f>
        <v>-6.7993442362239062E-4</v>
      </c>
      <c r="R102"/>
      <c r="S102"/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E188"/>
  <sheetViews>
    <sheetView topLeftCell="A181" zoomScaleNormal="100" workbookViewId="0">
      <selection activeCell="G188" sqref="G188"/>
    </sheetView>
  </sheetViews>
  <sheetFormatPr defaultRowHeight="15"/>
  <cols>
    <col min="1" max="1" width="9.7109375" customWidth="1"/>
    <col min="2" max="3" width="7" customWidth="1"/>
    <col min="4" max="5" width="4" customWidth="1"/>
    <col min="6" max="6" width="7" customWidth="1"/>
    <col min="7" max="7" width="10.5703125" customWidth="1"/>
    <col min="8" max="8" width="7" customWidth="1"/>
    <col min="9" max="9" width="8" customWidth="1"/>
    <col min="10" max="10" width="6" customWidth="1"/>
    <col min="11" max="11" width="4" customWidth="1"/>
    <col min="12" max="12" width="5.140625" customWidth="1"/>
    <col min="13" max="13" width="6.42578125" customWidth="1"/>
    <col min="14" max="16" width="4" customWidth="1"/>
    <col min="17" max="17" width="6.140625" customWidth="1"/>
    <col min="18" max="18" width="5.42578125" customWidth="1"/>
    <col min="19" max="31" width="4" customWidth="1"/>
    <col min="32" max="1025" width="8.7109375" customWidth="1"/>
  </cols>
  <sheetData>
    <row r="2" spans="1:19">
      <c r="A2" t="s">
        <v>3109</v>
      </c>
      <c r="G2" t="s">
        <v>3110</v>
      </c>
      <c r="L2" t="s">
        <v>167</v>
      </c>
      <c r="Q2" t="s">
        <v>1769</v>
      </c>
    </row>
    <row r="3" spans="1:19">
      <c r="A3">
        <v>53</v>
      </c>
      <c r="B3">
        <v>68</v>
      </c>
      <c r="C3">
        <v>48</v>
      </c>
      <c r="G3">
        <v>149</v>
      </c>
      <c r="H3">
        <v>176</v>
      </c>
      <c r="I3">
        <v>134</v>
      </c>
      <c r="L3">
        <v>119</v>
      </c>
      <c r="M3">
        <v>140</v>
      </c>
      <c r="N3">
        <v>114</v>
      </c>
      <c r="Q3">
        <v>49</v>
      </c>
      <c r="R3">
        <v>60</v>
      </c>
      <c r="S3">
        <v>45</v>
      </c>
    </row>
    <row r="4" spans="1:19">
      <c r="A4">
        <v>52</v>
      </c>
      <c r="B4">
        <v>62</v>
      </c>
      <c r="C4">
        <v>44</v>
      </c>
      <c r="G4">
        <v>142</v>
      </c>
      <c r="H4">
        <v>162</v>
      </c>
      <c r="I4">
        <v>124</v>
      </c>
      <c r="L4">
        <v>117</v>
      </c>
      <c r="M4">
        <v>138</v>
      </c>
      <c r="N4">
        <v>108</v>
      </c>
      <c r="Q4">
        <v>46</v>
      </c>
      <c r="R4">
        <v>58</v>
      </c>
      <c r="S4">
        <v>43</v>
      </c>
    </row>
    <row r="5" spans="1:19">
      <c r="A5">
        <v>50</v>
      </c>
      <c r="B5">
        <v>62</v>
      </c>
      <c r="C5">
        <v>44</v>
      </c>
      <c r="G5">
        <v>139</v>
      </c>
      <c r="H5">
        <v>162</v>
      </c>
      <c r="I5">
        <v>124</v>
      </c>
      <c r="L5">
        <v>114</v>
      </c>
      <c r="M5">
        <v>135</v>
      </c>
      <c r="N5">
        <v>106</v>
      </c>
      <c r="Q5">
        <v>45</v>
      </c>
      <c r="R5">
        <v>57</v>
      </c>
      <c r="S5">
        <v>42</v>
      </c>
    </row>
    <row r="6" spans="1:19">
      <c r="A6">
        <v>47</v>
      </c>
      <c r="B6">
        <v>53</v>
      </c>
      <c r="C6">
        <v>33</v>
      </c>
      <c r="G6">
        <v>134</v>
      </c>
      <c r="H6">
        <v>154</v>
      </c>
      <c r="I6">
        <v>96</v>
      </c>
      <c r="L6">
        <v>112</v>
      </c>
      <c r="M6">
        <v>132</v>
      </c>
      <c r="N6">
        <v>103</v>
      </c>
      <c r="Q6">
        <v>43</v>
      </c>
      <c r="R6">
        <v>56</v>
      </c>
      <c r="S6">
        <v>41</v>
      </c>
    </row>
    <row r="7" spans="1:19">
      <c r="A7">
        <v>44</v>
      </c>
      <c r="B7">
        <v>53</v>
      </c>
      <c r="C7">
        <v>33</v>
      </c>
      <c r="G7">
        <v>131</v>
      </c>
      <c r="H7">
        <v>154</v>
      </c>
      <c r="I7">
        <v>103</v>
      </c>
      <c r="L7">
        <v>110</v>
      </c>
      <c r="M7">
        <v>128</v>
      </c>
      <c r="N7">
        <v>100</v>
      </c>
      <c r="Q7">
        <v>1</v>
      </c>
      <c r="R7">
        <v>54</v>
      </c>
      <c r="S7">
        <v>40</v>
      </c>
    </row>
    <row r="8" spans="1:19">
      <c r="A8">
        <v>41</v>
      </c>
      <c r="B8">
        <v>52</v>
      </c>
      <c r="C8">
        <v>33</v>
      </c>
      <c r="G8">
        <v>126</v>
      </c>
      <c r="H8">
        <v>153</v>
      </c>
      <c r="I8">
        <v>103</v>
      </c>
      <c r="L8">
        <v>117</v>
      </c>
      <c r="M8">
        <v>134</v>
      </c>
      <c r="N8">
        <v>108</v>
      </c>
      <c r="Q8">
        <v>1</v>
      </c>
      <c r="R8">
        <v>1</v>
      </c>
      <c r="S8">
        <v>42</v>
      </c>
    </row>
    <row r="9" spans="1:19">
      <c r="A9">
        <v>43</v>
      </c>
      <c r="B9">
        <v>49</v>
      </c>
      <c r="C9">
        <v>44</v>
      </c>
      <c r="G9">
        <v>130</v>
      </c>
      <c r="H9">
        <v>152</v>
      </c>
      <c r="I9">
        <v>122</v>
      </c>
      <c r="L9">
        <v>124</v>
      </c>
      <c r="M9">
        <v>144</v>
      </c>
      <c r="N9">
        <v>114</v>
      </c>
      <c r="Q9">
        <v>58</v>
      </c>
      <c r="R9">
        <v>2</v>
      </c>
      <c r="S9">
        <v>46</v>
      </c>
    </row>
    <row r="10" spans="1:19">
      <c r="A10">
        <v>45</v>
      </c>
      <c r="B10">
        <v>50</v>
      </c>
      <c r="C10">
        <v>44</v>
      </c>
      <c r="G10">
        <v>132</v>
      </c>
      <c r="H10">
        <v>153</v>
      </c>
      <c r="I10">
        <v>122</v>
      </c>
      <c r="L10">
        <v>125</v>
      </c>
      <c r="M10">
        <v>140</v>
      </c>
      <c r="N10">
        <v>120</v>
      </c>
      <c r="Q10">
        <v>61</v>
      </c>
      <c r="R10">
        <v>71</v>
      </c>
      <c r="S10">
        <v>49</v>
      </c>
    </row>
    <row r="11" spans="1:19">
      <c r="A11">
        <v>0</v>
      </c>
      <c r="B11">
        <v>45</v>
      </c>
      <c r="C11">
        <v>39</v>
      </c>
      <c r="G11">
        <v>126</v>
      </c>
      <c r="H11">
        <v>141</v>
      </c>
      <c r="I11">
        <v>123</v>
      </c>
      <c r="L11">
        <v>120</v>
      </c>
      <c r="M11">
        <v>130</v>
      </c>
      <c r="N11">
        <v>109</v>
      </c>
      <c r="Q11">
        <v>50</v>
      </c>
      <c r="R11">
        <v>70</v>
      </c>
      <c r="S11">
        <v>42</v>
      </c>
    </row>
    <row r="12" spans="1:19">
      <c r="A12">
        <v>0</v>
      </c>
      <c r="B12">
        <v>45</v>
      </c>
      <c r="C12">
        <v>39</v>
      </c>
      <c r="G12">
        <v>126</v>
      </c>
      <c r="H12">
        <v>141</v>
      </c>
      <c r="I12">
        <v>123</v>
      </c>
      <c r="L12">
        <v>112</v>
      </c>
      <c r="M12">
        <v>130</v>
      </c>
      <c r="N12">
        <v>108</v>
      </c>
      <c r="Q12">
        <v>46</v>
      </c>
      <c r="R12">
        <v>65</v>
      </c>
      <c r="S12">
        <v>35</v>
      </c>
    </row>
    <row r="13" spans="1:19">
      <c r="A13">
        <v>0</v>
      </c>
      <c r="B13">
        <v>45</v>
      </c>
      <c r="C13">
        <v>36</v>
      </c>
      <c r="G13">
        <v>123</v>
      </c>
      <c r="H13">
        <v>141</v>
      </c>
      <c r="I13">
        <v>117</v>
      </c>
      <c r="L13">
        <v>110</v>
      </c>
      <c r="M13">
        <v>126</v>
      </c>
      <c r="N13">
        <v>102</v>
      </c>
      <c r="Q13">
        <v>48</v>
      </c>
      <c r="R13">
        <v>65</v>
      </c>
      <c r="S13">
        <v>38</v>
      </c>
    </row>
    <row r="14" spans="1:19">
      <c r="A14">
        <v>0</v>
      </c>
      <c r="B14">
        <v>51</v>
      </c>
      <c r="C14">
        <v>33</v>
      </c>
      <c r="G14">
        <v>120</v>
      </c>
      <c r="H14">
        <v>147</v>
      </c>
      <c r="I14">
        <v>114</v>
      </c>
      <c r="L14">
        <v>105</v>
      </c>
      <c r="M14">
        <v>128</v>
      </c>
      <c r="N14">
        <v>106</v>
      </c>
      <c r="Q14">
        <v>45</v>
      </c>
      <c r="R14">
        <v>65</v>
      </c>
      <c r="S14">
        <v>38</v>
      </c>
    </row>
    <row r="15" spans="1:19">
      <c r="A15">
        <v>0</v>
      </c>
      <c r="B15">
        <v>51</v>
      </c>
      <c r="C15">
        <v>36</v>
      </c>
      <c r="G15">
        <v>126</v>
      </c>
      <c r="H15">
        <v>153</v>
      </c>
      <c r="I15">
        <v>114</v>
      </c>
      <c r="L15">
        <v>113</v>
      </c>
      <c r="M15">
        <v>135</v>
      </c>
      <c r="N15">
        <v>108</v>
      </c>
      <c r="Q15">
        <v>46</v>
      </c>
      <c r="R15">
        <v>64</v>
      </c>
      <c r="S15">
        <v>44</v>
      </c>
    </row>
    <row r="16" spans="1:19">
      <c r="A16">
        <v>63</v>
      </c>
      <c r="B16">
        <v>60</v>
      </c>
      <c r="C16">
        <v>36</v>
      </c>
      <c r="G16">
        <v>132</v>
      </c>
      <c r="H16">
        <v>177</v>
      </c>
      <c r="I16">
        <v>114</v>
      </c>
      <c r="L16">
        <v>124</v>
      </c>
      <c r="M16">
        <v>145</v>
      </c>
      <c r="N16">
        <v>116</v>
      </c>
      <c r="Q16">
        <v>48</v>
      </c>
      <c r="R16">
        <v>71</v>
      </c>
      <c r="S16">
        <v>45</v>
      </c>
    </row>
    <row r="17" spans="1:19">
      <c r="A17">
        <v>66</v>
      </c>
      <c r="B17">
        <v>63</v>
      </c>
      <c r="C17">
        <v>33</v>
      </c>
      <c r="G17">
        <v>135</v>
      </c>
      <c r="H17">
        <v>174</v>
      </c>
      <c r="I17">
        <v>117</v>
      </c>
      <c r="L17">
        <v>127</v>
      </c>
      <c r="M17">
        <v>146</v>
      </c>
      <c r="N17">
        <v>114</v>
      </c>
      <c r="Q17">
        <v>47</v>
      </c>
      <c r="R17">
        <v>71</v>
      </c>
      <c r="S17">
        <v>45</v>
      </c>
    </row>
    <row r="18" spans="1:19">
      <c r="A18">
        <v>60</v>
      </c>
      <c r="B18">
        <v>63</v>
      </c>
      <c r="C18">
        <v>33</v>
      </c>
      <c r="G18">
        <v>132</v>
      </c>
      <c r="H18">
        <v>171</v>
      </c>
      <c r="I18">
        <v>111</v>
      </c>
      <c r="L18">
        <v>122</v>
      </c>
      <c r="M18">
        <v>144</v>
      </c>
      <c r="N18">
        <v>114</v>
      </c>
      <c r="Q18">
        <v>52</v>
      </c>
      <c r="R18">
        <v>71</v>
      </c>
      <c r="S18">
        <v>47</v>
      </c>
    </row>
    <row r="19" spans="1:19">
      <c r="A19">
        <v>56</v>
      </c>
      <c r="B19">
        <v>53</v>
      </c>
      <c r="C19">
        <v>39</v>
      </c>
      <c r="G19">
        <v>127</v>
      </c>
      <c r="H19">
        <v>154</v>
      </c>
      <c r="I19">
        <v>111</v>
      </c>
      <c r="L19">
        <v>125</v>
      </c>
      <c r="M19">
        <v>113</v>
      </c>
      <c r="N19">
        <v>113</v>
      </c>
      <c r="Q19">
        <v>54</v>
      </c>
      <c r="R19">
        <v>68</v>
      </c>
      <c r="S19">
        <v>46</v>
      </c>
    </row>
    <row r="20" spans="1:19">
      <c r="A20">
        <v>47</v>
      </c>
      <c r="B20">
        <v>50</v>
      </c>
      <c r="C20">
        <v>39</v>
      </c>
      <c r="G20">
        <v>124</v>
      </c>
      <c r="H20">
        <v>149</v>
      </c>
      <c r="I20">
        <v>121</v>
      </c>
      <c r="L20">
        <v>126</v>
      </c>
      <c r="M20">
        <v>112</v>
      </c>
      <c r="N20">
        <v>113</v>
      </c>
      <c r="Q20">
        <v>56</v>
      </c>
      <c r="R20">
        <v>58</v>
      </c>
      <c r="S20">
        <v>46</v>
      </c>
    </row>
    <row r="21" spans="1:19">
      <c r="A21">
        <v>45</v>
      </c>
      <c r="B21">
        <v>48</v>
      </c>
      <c r="C21">
        <v>39</v>
      </c>
      <c r="G21">
        <v>147</v>
      </c>
      <c r="H21">
        <v>158</v>
      </c>
      <c r="I21">
        <v>129</v>
      </c>
      <c r="L21">
        <v>130</v>
      </c>
      <c r="M21">
        <v>118</v>
      </c>
      <c r="N21">
        <v>133</v>
      </c>
      <c r="Q21">
        <v>59</v>
      </c>
      <c r="R21">
        <v>60</v>
      </c>
      <c r="S21">
        <v>52</v>
      </c>
    </row>
    <row r="22" spans="1:19">
      <c r="A22">
        <v>48</v>
      </c>
      <c r="B22">
        <v>51</v>
      </c>
      <c r="C22">
        <v>43</v>
      </c>
      <c r="G22">
        <v>137</v>
      </c>
      <c r="H22">
        <v>167</v>
      </c>
      <c r="I22">
        <v>143</v>
      </c>
      <c r="L22">
        <v>131</v>
      </c>
      <c r="M22">
        <v>152</v>
      </c>
      <c r="N22">
        <v>142</v>
      </c>
      <c r="Q22">
        <v>64</v>
      </c>
      <c r="R22">
        <v>68</v>
      </c>
      <c r="S22">
        <v>57</v>
      </c>
    </row>
    <row r="23" spans="1:19">
      <c r="A23">
        <v>50</v>
      </c>
      <c r="B23">
        <v>57</v>
      </c>
      <c r="C23">
        <v>47</v>
      </c>
      <c r="G23">
        <v>142</v>
      </c>
      <c r="H23">
        <v>175</v>
      </c>
      <c r="I23">
        <v>145</v>
      </c>
      <c r="L23">
        <v>130</v>
      </c>
      <c r="M23">
        <v>145</v>
      </c>
      <c r="N23">
        <v>145</v>
      </c>
      <c r="Q23">
        <v>61</v>
      </c>
      <c r="R23">
        <v>0</v>
      </c>
      <c r="S23">
        <v>60</v>
      </c>
    </row>
    <row r="24" spans="1:19">
      <c r="A24">
        <v>58</v>
      </c>
      <c r="B24">
        <v>66</v>
      </c>
      <c r="C24">
        <v>52</v>
      </c>
      <c r="G24">
        <v>159</v>
      </c>
      <c r="H24">
        <v>184</v>
      </c>
      <c r="I24">
        <v>148</v>
      </c>
      <c r="L24">
        <v>132</v>
      </c>
      <c r="M24">
        <v>147</v>
      </c>
      <c r="N24">
        <v>148</v>
      </c>
      <c r="Q24">
        <v>59</v>
      </c>
      <c r="R24">
        <v>69</v>
      </c>
      <c r="S24">
        <v>63</v>
      </c>
    </row>
    <row r="25" spans="1:19">
      <c r="A25">
        <v>62</v>
      </c>
      <c r="B25">
        <v>76</v>
      </c>
      <c r="C25">
        <v>60</v>
      </c>
      <c r="G25">
        <v>159</v>
      </c>
      <c r="H25">
        <v>198</v>
      </c>
      <c r="I25">
        <v>150</v>
      </c>
      <c r="L25">
        <v>137</v>
      </c>
      <c r="M25">
        <v>145</v>
      </c>
      <c r="N25">
        <v>145</v>
      </c>
      <c r="Q25">
        <v>57</v>
      </c>
      <c r="R25">
        <v>68</v>
      </c>
      <c r="S25">
        <v>60</v>
      </c>
    </row>
    <row r="26" spans="1:19">
      <c r="A26">
        <v>68</v>
      </c>
      <c r="B26">
        <v>79</v>
      </c>
      <c r="C26">
        <v>60</v>
      </c>
      <c r="G26">
        <v>156</v>
      </c>
      <c r="H26">
        <v>198</v>
      </c>
      <c r="I26">
        <v>160</v>
      </c>
      <c r="L26">
        <v>145</v>
      </c>
      <c r="M26">
        <v>149</v>
      </c>
      <c r="N26">
        <v>143</v>
      </c>
      <c r="Q26">
        <v>57</v>
      </c>
      <c r="R26">
        <v>68</v>
      </c>
      <c r="S26">
        <v>60</v>
      </c>
    </row>
    <row r="28" spans="1:19">
      <c r="C28">
        <v>46.35</v>
      </c>
      <c r="G28">
        <v>140.5</v>
      </c>
      <c r="M28">
        <v>125.208</v>
      </c>
      <c r="R28">
        <v>50.540999999999997</v>
      </c>
    </row>
    <row r="29" spans="1:19">
      <c r="C29">
        <v>12500</v>
      </c>
      <c r="G29">
        <v>12500</v>
      </c>
      <c r="M29">
        <v>12500</v>
      </c>
      <c r="R29">
        <v>12500</v>
      </c>
    </row>
    <row r="30" spans="1:19">
      <c r="C30">
        <f>C29*C28</f>
        <v>579375</v>
      </c>
      <c r="G30">
        <f>G29*G28</f>
        <v>1756250</v>
      </c>
      <c r="M30">
        <f>M29*M28</f>
        <v>1565100</v>
      </c>
      <c r="R30">
        <f>R29*R28</f>
        <v>631762.5</v>
      </c>
    </row>
    <row r="32" spans="1:19">
      <c r="A32" t="s">
        <v>1665</v>
      </c>
      <c r="G32" t="s">
        <v>1129</v>
      </c>
      <c r="L32" t="s">
        <v>3111</v>
      </c>
    </row>
    <row r="33" spans="1:15">
      <c r="A33">
        <v>64</v>
      </c>
      <c r="B33">
        <v>84</v>
      </c>
      <c r="C33">
        <v>59</v>
      </c>
      <c r="G33">
        <v>36</v>
      </c>
      <c r="H33">
        <v>40</v>
      </c>
      <c r="I33">
        <v>30</v>
      </c>
      <c r="L33">
        <v>52</v>
      </c>
      <c r="M33">
        <v>86</v>
      </c>
      <c r="N33">
        <v>118</v>
      </c>
      <c r="O33">
        <v>80</v>
      </c>
    </row>
    <row r="34" spans="1:15">
      <c r="A34">
        <v>65</v>
      </c>
      <c r="B34">
        <v>81</v>
      </c>
      <c r="C34">
        <v>57</v>
      </c>
      <c r="G34">
        <v>35</v>
      </c>
      <c r="H34">
        <v>41</v>
      </c>
      <c r="I34">
        <v>29</v>
      </c>
      <c r="L34">
        <v>50</v>
      </c>
      <c r="M34">
        <v>82</v>
      </c>
      <c r="N34">
        <v>110</v>
      </c>
      <c r="O34">
        <v>78</v>
      </c>
    </row>
    <row r="35" spans="1:15">
      <c r="A35">
        <v>60</v>
      </c>
      <c r="B35">
        <v>80</v>
      </c>
      <c r="C35">
        <v>54</v>
      </c>
      <c r="G35">
        <v>34</v>
      </c>
      <c r="H35">
        <v>42</v>
      </c>
      <c r="I35">
        <v>28</v>
      </c>
      <c r="L35">
        <v>48</v>
      </c>
      <c r="M35">
        <v>80</v>
      </c>
      <c r="N35">
        <v>106</v>
      </c>
      <c r="O35">
        <v>76</v>
      </c>
    </row>
    <row r="36" spans="1:15">
      <c r="A36">
        <v>60</v>
      </c>
      <c r="B36">
        <v>76</v>
      </c>
      <c r="C36">
        <v>50</v>
      </c>
      <c r="G36">
        <v>32</v>
      </c>
      <c r="H36">
        <v>39</v>
      </c>
      <c r="I36">
        <v>26</v>
      </c>
      <c r="L36">
        <v>48</v>
      </c>
      <c r="M36">
        <v>78</v>
      </c>
      <c r="N36">
        <v>96</v>
      </c>
      <c r="O36">
        <v>72</v>
      </c>
    </row>
    <row r="37" spans="1:15">
      <c r="A37">
        <v>56</v>
      </c>
      <c r="B37">
        <v>74</v>
      </c>
      <c r="C37">
        <v>49</v>
      </c>
      <c r="G37">
        <v>30</v>
      </c>
      <c r="H37">
        <v>36</v>
      </c>
      <c r="I37">
        <v>27</v>
      </c>
      <c r="L37">
        <v>52</v>
      </c>
      <c r="M37">
        <v>76</v>
      </c>
      <c r="N37">
        <v>90</v>
      </c>
      <c r="O37">
        <v>68</v>
      </c>
    </row>
    <row r="38" spans="1:15">
      <c r="A38">
        <v>54</v>
      </c>
      <c r="B38">
        <v>69</v>
      </c>
      <c r="C38">
        <v>52</v>
      </c>
      <c r="G38">
        <v>29</v>
      </c>
      <c r="H38">
        <v>36</v>
      </c>
      <c r="I38">
        <v>28</v>
      </c>
      <c r="L38">
        <v>58</v>
      </c>
      <c r="M38">
        <v>74</v>
      </c>
      <c r="N38">
        <v>86</v>
      </c>
      <c r="O38">
        <v>66</v>
      </c>
    </row>
    <row r="39" spans="1:15">
      <c r="A39">
        <v>56</v>
      </c>
      <c r="B39">
        <v>65</v>
      </c>
      <c r="C39">
        <v>60</v>
      </c>
      <c r="G39">
        <v>28</v>
      </c>
      <c r="H39">
        <v>37</v>
      </c>
      <c r="I39">
        <v>29</v>
      </c>
      <c r="L39">
        <v>60</v>
      </c>
      <c r="M39">
        <v>70</v>
      </c>
      <c r="N39">
        <v>84</v>
      </c>
      <c r="O39">
        <v>60</v>
      </c>
    </row>
    <row r="40" spans="1:15">
      <c r="A40">
        <v>55</v>
      </c>
      <c r="B40">
        <v>66</v>
      </c>
      <c r="C40">
        <v>62</v>
      </c>
      <c r="G40">
        <v>27</v>
      </c>
      <c r="H40">
        <v>35</v>
      </c>
      <c r="I40">
        <v>30</v>
      </c>
      <c r="L40">
        <v>58</v>
      </c>
      <c r="M40">
        <v>68</v>
      </c>
      <c r="N40">
        <v>82</v>
      </c>
      <c r="O40">
        <v>58</v>
      </c>
    </row>
    <row r="41" spans="1:15">
      <c r="A41">
        <v>54</v>
      </c>
      <c r="B41">
        <v>65</v>
      </c>
      <c r="C41">
        <v>58</v>
      </c>
      <c r="G41">
        <v>28</v>
      </c>
      <c r="H41">
        <v>34</v>
      </c>
      <c r="I41">
        <v>30</v>
      </c>
      <c r="L41">
        <v>60</v>
      </c>
      <c r="M41">
        <v>64</v>
      </c>
      <c r="N41">
        <v>82</v>
      </c>
      <c r="O41">
        <v>60</v>
      </c>
    </row>
    <row r="42" spans="1:15">
      <c r="A42">
        <v>53</v>
      </c>
      <c r="B42">
        <v>64</v>
      </c>
      <c r="C42">
        <v>54</v>
      </c>
      <c r="G42">
        <v>27</v>
      </c>
      <c r="H42">
        <v>32</v>
      </c>
      <c r="I42">
        <v>29</v>
      </c>
      <c r="L42">
        <v>58</v>
      </c>
      <c r="M42">
        <v>70</v>
      </c>
      <c r="N42">
        <v>82</v>
      </c>
      <c r="O42">
        <v>70</v>
      </c>
    </row>
    <row r="43" spans="1:15">
      <c r="A43">
        <v>55</v>
      </c>
      <c r="B43">
        <v>65</v>
      </c>
      <c r="C43">
        <v>60</v>
      </c>
      <c r="G43">
        <v>25</v>
      </c>
      <c r="H43">
        <v>34</v>
      </c>
      <c r="I43">
        <v>31</v>
      </c>
      <c r="L43">
        <v>56</v>
      </c>
      <c r="M43">
        <v>66</v>
      </c>
      <c r="N43">
        <v>82</v>
      </c>
      <c r="O43">
        <v>64</v>
      </c>
    </row>
    <row r="44" spans="1:15">
      <c r="A44">
        <v>58</v>
      </c>
      <c r="B44">
        <v>67</v>
      </c>
      <c r="C44">
        <v>64</v>
      </c>
      <c r="G44">
        <v>25</v>
      </c>
      <c r="H44">
        <v>35</v>
      </c>
      <c r="I44">
        <v>32</v>
      </c>
      <c r="L44">
        <v>54</v>
      </c>
      <c r="M44">
        <v>64</v>
      </c>
      <c r="N44">
        <v>80</v>
      </c>
      <c r="O44">
        <v>52</v>
      </c>
    </row>
    <row r="45" spans="1:15">
      <c r="A45">
        <v>56</v>
      </c>
      <c r="B45">
        <v>70</v>
      </c>
      <c r="C45">
        <v>65</v>
      </c>
      <c r="G45">
        <v>27</v>
      </c>
      <c r="H45">
        <v>37</v>
      </c>
      <c r="I45">
        <v>35</v>
      </c>
      <c r="L45">
        <v>50</v>
      </c>
      <c r="M45">
        <v>66</v>
      </c>
      <c r="N45">
        <v>97</v>
      </c>
      <c r="O45">
        <v>54</v>
      </c>
    </row>
    <row r="46" spans="1:15">
      <c r="A46">
        <v>56</v>
      </c>
      <c r="B46">
        <v>74</v>
      </c>
      <c r="C46">
        <v>64</v>
      </c>
      <c r="G46">
        <v>27</v>
      </c>
      <c r="H46">
        <v>39</v>
      </c>
      <c r="I46">
        <v>34</v>
      </c>
      <c r="L46">
        <v>48</v>
      </c>
      <c r="M46">
        <v>68</v>
      </c>
      <c r="N46">
        <v>99</v>
      </c>
      <c r="O46">
        <v>60</v>
      </c>
    </row>
    <row r="47" spans="1:15">
      <c r="A47">
        <v>56</v>
      </c>
      <c r="B47">
        <v>75</v>
      </c>
      <c r="C47">
        <v>65</v>
      </c>
      <c r="G47">
        <v>27</v>
      </c>
      <c r="H47">
        <v>40</v>
      </c>
      <c r="I47">
        <v>32</v>
      </c>
      <c r="L47">
        <v>46</v>
      </c>
      <c r="M47">
        <v>70</v>
      </c>
      <c r="N47">
        <v>99</v>
      </c>
      <c r="O47">
        <v>70</v>
      </c>
    </row>
    <row r="48" spans="1:15">
      <c r="A48">
        <v>59</v>
      </c>
      <c r="B48">
        <v>76</v>
      </c>
      <c r="C48">
        <v>69</v>
      </c>
      <c r="G48">
        <v>28</v>
      </c>
      <c r="H48">
        <v>41</v>
      </c>
      <c r="I48">
        <v>36</v>
      </c>
      <c r="L48">
        <v>42</v>
      </c>
      <c r="M48">
        <v>76</v>
      </c>
      <c r="N48">
        <v>98</v>
      </c>
      <c r="O48">
        <v>62</v>
      </c>
    </row>
    <row r="49" spans="1:19">
      <c r="A49">
        <v>59</v>
      </c>
      <c r="B49">
        <v>79</v>
      </c>
      <c r="C49">
        <v>71</v>
      </c>
      <c r="G49">
        <v>28</v>
      </c>
      <c r="H49">
        <v>36</v>
      </c>
      <c r="I49">
        <v>35</v>
      </c>
      <c r="L49">
        <v>42</v>
      </c>
      <c r="M49">
        <v>70</v>
      </c>
      <c r="N49">
        <v>96</v>
      </c>
      <c r="O49">
        <v>60</v>
      </c>
    </row>
    <row r="50" spans="1:19">
      <c r="A50">
        <v>61</v>
      </c>
      <c r="B50">
        <v>80</v>
      </c>
      <c r="C50">
        <v>72</v>
      </c>
      <c r="G50">
        <v>29</v>
      </c>
      <c r="H50">
        <v>32</v>
      </c>
      <c r="I50">
        <v>34</v>
      </c>
      <c r="L50">
        <v>42</v>
      </c>
      <c r="M50">
        <v>66</v>
      </c>
      <c r="N50">
        <v>92</v>
      </c>
      <c r="O50">
        <v>58</v>
      </c>
    </row>
    <row r="51" spans="1:19">
      <c r="A51">
        <v>63</v>
      </c>
      <c r="B51">
        <v>81</v>
      </c>
      <c r="C51">
        <v>69</v>
      </c>
      <c r="G51">
        <v>29</v>
      </c>
      <c r="H51">
        <v>32</v>
      </c>
      <c r="I51">
        <v>33</v>
      </c>
      <c r="L51">
        <v>44</v>
      </c>
      <c r="M51">
        <v>64</v>
      </c>
      <c r="N51">
        <v>90</v>
      </c>
      <c r="O51">
        <v>62</v>
      </c>
    </row>
    <row r="52" spans="1:19">
      <c r="A52">
        <v>63</v>
      </c>
      <c r="B52">
        <v>82</v>
      </c>
      <c r="C52">
        <v>62</v>
      </c>
      <c r="G52">
        <v>28</v>
      </c>
      <c r="H52">
        <v>36</v>
      </c>
      <c r="I52">
        <v>32</v>
      </c>
      <c r="L52">
        <v>64</v>
      </c>
      <c r="M52">
        <v>68</v>
      </c>
      <c r="N52">
        <v>86</v>
      </c>
      <c r="O52">
        <v>80</v>
      </c>
    </row>
    <row r="53" spans="1:19">
      <c r="A53">
        <v>63</v>
      </c>
      <c r="B53">
        <v>80</v>
      </c>
      <c r="C53">
        <v>64</v>
      </c>
      <c r="G53">
        <v>28</v>
      </c>
      <c r="H53">
        <v>40</v>
      </c>
      <c r="I53">
        <v>29</v>
      </c>
      <c r="L53">
        <v>50</v>
      </c>
      <c r="M53">
        <v>74</v>
      </c>
      <c r="N53">
        <v>92</v>
      </c>
      <c r="O53">
        <v>90</v>
      </c>
    </row>
    <row r="54" spans="1:19">
      <c r="A54">
        <v>63</v>
      </c>
      <c r="B54">
        <v>82</v>
      </c>
      <c r="C54">
        <v>62</v>
      </c>
      <c r="G54">
        <v>30</v>
      </c>
      <c r="H54">
        <v>42</v>
      </c>
      <c r="I54">
        <v>32</v>
      </c>
      <c r="L54">
        <v>50</v>
      </c>
      <c r="M54">
        <v>98</v>
      </c>
      <c r="N54">
        <v>100</v>
      </c>
      <c r="O54">
        <v>95</v>
      </c>
    </row>
    <row r="55" spans="1:19">
      <c r="A55">
        <v>65</v>
      </c>
      <c r="B55">
        <v>84</v>
      </c>
      <c r="C55">
        <v>65</v>
      </c>
      <c r="G55">
        <v>33</v>
      </c>
      <c r="H55">
        <v>41</v>
      </c>
      <c r="I55">
        <v>34</v>
      </c>
      <c r="L55">
        <v>48</v>
      </c>
      <c r="M55">
        <v>102</v>
      </c>
      <c r="N55">
        <v>102</v>
      </c>
      <c r="O55">
        <v>100</v>
      </c>
    </row>
    <row r="56" spans="1:19">
      <c r="A56">
        <v>63</v>
      </c>
      <c r="B56">
        <v>83</v>
      </c>
      <c r="C56">
        <v>66</v>
      </c>
      <c r="G56">
        <v>32</v>
      </c>
      <c r="H56">
        <v>42</v>
      </c>
      <c r="I56">
        <v>35</v>
      </c>
      <c r="L56">
        <v>48</v>
      </c>
      <c r="M56">
        <v>100</v>
      </c>
      <c r="N56">
        <v>112</v>
      </c>
      <c r="O56">
        <v>98</v>
      </c>
    </row>
    <row r="58" spans="1:19">
      <c r="B58">
        <v>65.2</v>
      </c>
      <c r="H58">
        <v>32.65</v>
      </c>
      <c r="M58">
        <v>72.72</v>
      </c>
    </row>
    <row r="59" spans="1:19">
      <c r="B59">
        <v>12500</v>
      </c>
      <c r="H59">
        <v>12500</v>
      </c>
      <c r="M59">
        <v>12500</v>
      </c>
    </row>
    <row r="60" spans="1:19">
      <c r="B60">
        <f>B59*B58</f>
        <v>815000</v>
      </c>
      <c r="H60">
        <f>H59*H58</f>
        <v>408125</v>
      </c>
      <c r="M60">
        <f>M59*M58</f>
        <v>909000</v>
      </c>
    </row>
    <row r="61" spans="1:19">
      <c r="A61" t="s">
        <v>3112</v>
      </c>
    </row>
    <row r="62" spans="1:19">
      <c r="A62">
        <v>49</v>
      </c>
      <c r="B62">
        <v>48</v>
      </c>
      <c r="C62">
        <v>58</v>
      </c>
      <c r="D62">
        <v>48</v>
      </c>
      <c r="E62">
        <v>62</v>
      </c>
      <c r="F62">
        <v>78</v>
      </c>
      <c r="G62">
        <v>88</v>
      </c>
      <c r="H62">
        <v>95</v>
      </c>
      <c r="I62">
        <v>90</v>
      </c>
      <c r="J62">
        <v>88</v>
      </c>
      <c r="K62">
        <v>97</v>
      </c>
      <c r="L62">
        <v>85</v>
      </c>
      <c r="M62">
        <v>95</v>
      </c>
      <c r="N62">
        <v>37</v>
      </c>
      <c r="O62">
        <v>30</v>
      </c>
      <c r="P62">
        <v>37</v>
      </c>
      <c r="Q62">
        <v>30</v>
      </c>
      <c r="R62">
        <v>37</v>
      </c>
      <c r="S62">
        <v>30</v>
      </c>
    </row>
    <row r="63" spans="1:19">
      <c r="A63">
        <v>47</v>
      </c>
      <c r="B63">
        <v>47</v>
      </c>
      <c r="C63">
        <v>57</v>
      </c>
      <c r="D63">
        <v>47</v>
      </c>
      <c r="E63">
        <v>60</v>
      </c>
      <c r="F63">
        <v>73</v>
      </c>
      <c r="G63">
        <v>80</v>
      </c>
      <c r="H63">
        <v>90</v>
      </c>
      <c r="I63">
        <v>75</v>
      </c>
      <c r="J63">
        <v>82</v>
      </c>
      <c r="K63">
        <v>91</v>
      </c>
      <c r="L63">
        <v>78</v>
      </c>
      <c r="M63">
        <v>96</v>
      </c>
      <c r="N63">
        <v>39</v>
      </c>
      <c r="O63">
        <v>28</v>
      </c>
      <c r="P63">
        <v>39</v>
      </c>
      <c r="Q63">
        <v>28</v>
      </c>
      <c r="R63">
        <v>39</v>
      </c>
      <c r="S63">
        <v>28</v>
      </c>
    </row>
    <row r="64" spans="1:19">
      <c r="A64">
        <v>45</v>
      </c>
      <c r="B64">
        <v>46</v>
      </c>
      <c r="C64">
        <v>56</v>
      </c>
      <c r="D64">
        <v>46</v>
      </c>
      <c r="E64">
        <v>58</v>
      </c>
      <c r="F64">
        <v>70</v>
      </c>
      <c r="G64">
        <v>76</v>
      </c>
      <c r="H64">
        <v>84</v>
      </c>
      <c r="I64">
        <v>72</v>
      </c>
      <c r="J64">
        <v>78</v>
      </c>
      <c r="K64">
        <v>85</v>
      </c>
      <c r="L64">
        <v>72</v>
      </c>
      <c r="M64">
        <v>82</v>
      </c>
      <c r="N64">
        <v>36</v>
      </c>
      <c r="O64">
        <v>26</v>
      </c>
      <c r="P64">
        <v>36</v>
      </c>
      <c r="Q64">
        <v>26</v>
      </c>
      <c r="R64">
        <v>36</v>
      </c>
      <c r="S64">
        <v>26</v>
      </c>
    </row>
    <row r="65" spans="1:19">
      <c r="A65">
        <v>45</v>
      </c>
      <c r="B65">
        <v>46</v>
      </c>
      <c r="C65">
        <v>55</v>
      </c>
      <c r="D65">
        <v>45</v>
      </c>
      <c r="E65">
        <v>56</v>
      </c>
      <c r="F65">
        <v>66</v>
      </c>
      <c r="G65">
        <v>72</v>
      </c>
      <c r="H65">
        <v>75</v>
      </c>
      <c r="I65">
        <v>69</v>
      </c>
      <c r="J65">
        <v>75</v>
      </c>
      <c r="K65">
        <v>80</v>
      </c>
      <c r="L65">
        <v>68</v>
      </c>
      <c r="M65">
        <v>75</v>
      </c>
      <c r="N65">
        <v>33</v>
      </c>
      <c r="O65">
        <v>24</v>
      </c>
      <c r="P65">
        <v>33</v>
      </c>
      <c r="Q65">
        <v>24</v>
      </c>
      <c r="R65">
        <v>33</v>
      </c>
      <c r="S65">
        <v>24</v>
      </c>
    </row>
    <row r="66" spans="1:19">
      <c r="A66">
        <v>45</v>
      </c>
      <c r="B66">
        <v>45</v>
      </c>
      <c r="C66">
        <v>55</v>
      </c>
      <c r="D66">
        <v>44</v>
      </c>
      <c r="E66">
        <v>53</v>
      </c>
      <c r="F66">
        <v>62</v>
      </c>
      <c r="G66">
        <v>68</v>
      </c>
      <c r="H66">
        <v>72</v>
      </c>
      <c r="I66">
        <v>68</v>
      </c>
      <c r="J66">
        <v>72</v>
      </c>
      <c r="K66">
        <v>74</v>
      </c>
      <c r="L66">
        <v>64</v>
      </c>
      <c r="M66">
        <v>74</v>
      </c>
      <c r="N66">
        <v>29</v>
      </c>
      <c r="O66">
        <v>24</v>
      </c>
      <c r="P66">
        <v>29</v>
      </c>
      <c r="Q66">
        <v>24</v>
      </c>
      <c r="R66">
        <v>29</v>
      </c>
      <c r="S66">
        <v>24</v>
      </c>
    </row>
    <row r="67" spans="1:19">
      <c r="A67">
        <v>45</v>
      </c>
      <c r="B67">
        <v>46</v>
      </c>
      <c r="C67">
        <v>55</v>
      </c>
      <c r="D67">
        <v>44</v>
      </c>
      <c r="E67">
        <v>50</v>
      </c>
      <c r="F67">
        <v>60</v>
      </c>
      <c r="G67">
        <v>64</v>
      </c>
      <c r="H67">
        <v>69</v>
      </c>
      <c r="I67">
        <v>62</v>
      </c>
      <c r="J67">
        <v>70</v>
      </c>
      <c r="K67">
        <v>70</v>
      </c>
      <c r="L67">
        <v>60</v>
      </c>
      <c r="M67">
        <v>70</v>
      </c>
      <c r="N67">
        <v>26</v>
      </c>
      <c r="O67">
        <v>20</v>
      </c>
      <c r="P67">
        <v>26</v>
      </c>
      <c r="Q67">
        <v>20</v>
      </c>
      <c r="R67">
        <v>26</v>
      </c>
      <c r="S67">
        <v>20</v>
      </c>
    </row>
    <row r="68" spans="1:19">
      <c r="A68">
        <v>48</v>
      </c>
      <c r="B68">
        <v>47</v>
      </c>
      <c r="C68">
        <v>55</v>
      </c>
      <c r="D68">
        <v>48</v>
      </c>
      <c r="E68">
        <v>48</v>
      </c>
      <c r="F68">
        <v>62</v>
      </c>
      <c r="G68">
        <v>62</v>
      </c>
      <c r="H68">
        <v>68</v>
      </c>
      <c r="I68">
        <v>62</v>
      </c>
      <c r="J68">
        <v>66</v>
      </c>
      <c r="K68">
        <v>64</v>
      </c>
      <c r="L68">
        <v>62</v>
      </c>
      <c r="M68">
        <v>71</v>
      </c>
      <c r="N68">
        <v>24</v>
      </c>
      <c r="O68">
        <v>19</v>
      </c>
      <c r="P68">
        <v>24</v>
      </c>
      <c r="Q68">
        <v>19</v>
      </c>
      <c r="R68">
        <v>24</v>
      </c>
      <c r="S68">
        <v>19</v>
      </c>
    </row>
    <row r="69" spans="1:19">
      <c r="A69">
        <v>51</v>
      </c>
      <c r="B69">
        <v>48</v>
      </c>
      <c r="C69">
        <v>52</v>
      </c>
      <c r="D69">
        <v>50</v>
      </c>
      <c r="E69">
        <v>56</v>
      </c>
      <c r="F69">
        <v>64</v>
      </c>
      <c r="G69">
        <v>66</v>
      </c>
      <c r="H69">
        <v>70</v>
      </c>
      <c r="I69">
        <v>64</v>
      </c>
      <c r="J69">
        <v>66</v>
      </c>
      <c r="K69">
        <v>63</v>
      </c>
      <c r="L69">
        <v>55</v>
      </c>
      <c r="M69">
        <v>73</v>
      </c>
      <c r="N69">
        <v>27</v>
      </c>
      <c r="O69">
        <v>16</v>
      </c>
      <c r="P69">
        <v>27</v>
      </c>
      <c r="Q69">
        <v>16</v>
      </c>
      <c r="R69">
        <v>27</v>
      </c>
      <c r="S69">
        <v>16</v>
      </c>
    </row>
    <row r="70" spans="1:19">
      <c r="A70">
        <v>47</v>
      </c>
      <c r="B70">
        <v>48</v>
      </c>
      <c r="C70">
        <v>49</v>
      </c>
      <c r="D70">
        <v>47</v>
      </c>
      <c r="E70">
        <v>52</v>
      </c>
      <c r="F70">
        <v>57</v>
      </c>
      <c r="G70">
        <v>66</v>
      </c>
      <c r="H70">
        <v>60</v>
      </c>
      <c r="I70">
        <v>60</v>
      </c>
      <c r="J70">
        <v>57</v>
      </c>
      <c r="K70">
        <v>61</v>
      </c>
      <c r="L70">
        <v>55</v>
      </c>
      <c r="M70">
        <v>66</v>
      </c>
      <c r="N70">
        <v>18</v>
      </c>
      <c r="O70">
        <v>18</v>
      </c>
      <c r="P70">
        <v>18</v>
      </c>
      <c r="Q70">
        <v>18</v>
      </c>
      <c r="R70">
        <v>18</v>
      </c>
      <c r="S70">
        <v>18</v>
      </c>
    </row>
    <row r="71" spans="1:19">
      <c r="A71">
        <v>46</v>
      </c>
      <c r="B71">
        <v>46</v>
      </c>
      <c r="C71">
        <v>51</v>
      </c>
      <c r="D71">
        <v>42</v>
      </c>
      <c r="E71">
        <v>0</v>
      </c>
      <c r="F71">
        <v>58</v>
      </c>
      <c r="G71">
        <v>64</v>
      </c>
      <c r="H71">
        <v>60</v>
      </c>
      <c r="I71">
        <v>60</v>
      </c>
      <c r="J71">
        <v>52</v>
      </c>
      <c r="K71">
        <v>61</v>
      </c>
      <c r="L71">
        <v>55</v>
      </c>
      <c r="M71">
        <v>66</v>
      </c>
      <c r="N71">
        <v>22</v>
      </c>
      <c r="O71">
        <v>17</v>
      </c>
      <c r="P71">
        <v>22</v>
      </c>
      <c r="Q71">
        <v>17</v>
      </c>
      <c r="R71">
        <v>22</v>
      </c>
      <c r="S71">
        <v>17</v>
      </c>
    </row>
    <row r="72" spans="1:19">
      <c r="A72">
        <v>45</v>
      </c>
      <c r="B72">
        <v>67</v>
      </c>
      <c r="C72">
        <v>53</v>
      </c>
      <c r="D72">
        <v>40</v>
      </c>
      <c r="E72">
        <v>55</v>
      </c>
      <c r="F72">
        <v>60</v>
      </c>
      <c r="G72">
        <v>50</v>
      </c>
      <c r="H72">
        <v>61</v>
      </c>
      <c r="I72">
        <v>65</v>
      </c>
      <c r="J72">
        <v>54</v>
      </c>
      <c r="K72">
        <v>62</v>
      </c>
      <c r="L72">
        <v>57</v>
      </c>
      <c r="M72">
        <v>68</v>
      </c>
      <c r="N72">
        <v>25</v>
      </c>
      <c r="O72">
        <v>17</v>
      </c>
      <c r="P72">
        <v>25</v>
      </c>
      <c r="Q72">
        <v>17</v>
      </c>
      <c r="R72">
        <v>25</v>
      </c>
      <c r="S72">
        <v>17</v>
      </c>
    </row>
    <row r="73" spans="1:19">
      <c r="A73">
        <v>40</v>
      </c>
      <c r="B73">
        <v>55</v>
      </c>
      <c r="C73">
        <v>0</v>
      </c>
      <c r="D73">
        <v>40</v>
      </c>
      <c r="E73">
        <v>51</v>
      </c>
      <c r="F73">
        <v>66</v>
      </c>
      <c r="G73">
        <v>97</v>
      </c>
      <c r="H73">
        <v>60</v>
      </c>
      <c r="I73">
        <v>75</v>
      </c>
      <c r="J73">
        <v>58</v>
      </c>
      <c r="K73">
        <v>64</v>
      </c>
      <c r="L73">
        <v>60</v>
      </c>
      <c r="M73">
        <v>68</v>
      </c>
      <c r="N73">
        <v>27</v>
      </c>
      <c r="O73">
        <v>18</v>
      </c>
      <c r="P73">
        <v>27</v>
      </c>
      <c r="Q73">
        <v>18</v>
      </c>
      <c r="R73">
        <v>27</v>
      </c>
      <c r="S73">
        <v>18</v>
      </c>
    </row>
    <row r="74" spans="1:19">
      <c r="A74">
        <v>42</v>
      </c>
      <c r="B74">
        <v>55</v>
      </c>
      <c r="C74">
        <v>64</v>
      </c>
      <c r="D74">
        <v>42</v>
      </c>
      <c r="E74">
        <v>54</v>
      </c>
      <c r="F74">
        <v>68</v>
      </c>
      <c r="G74">
        <v>99</v>
      </c>
      <c r="H74">
        <v>69</v>
      </c>
      <c r="I74">
        <v>81</v>
      </c>
      <c r="J74">
        <v>64</v>
      </c>
      <c r="K74">
        <v>83</v>
      </c>
      <c r="L74">
        <v>65</v>
      </c>
      <c r="M74">
        <v>81</v>
      </c>
      <c r="N74">
        <v>29</v>
      </c>
      <c r="O74">
        <v>21</v>
      </c>
      <c r="P74">
        <v>29</v>
      </c>
      <c r="Q74">
        <v>21</v>
      </c>
      <c r="R74">
        <v>29</v>
      </c>
      <c r="S74">
        <v>21</v>
      </c>
    </row>
    <row r="75" spans="1:19">
      <c r="A75">
        <v>45</v>
      </c>
      <c r="B75">
        <v>56</v>
      </c>
      <c r="C75">
        <v>54</v>
      </c>
      <c r="D75">
        <v>39</v>
      </c>
      <c r="E75">
        <v>57</v>
      </c>
      <c r="F75">
        <v>72</v>
      </c>
      <c r="G75">
        <v>99</v>
      </c>
      <c r="H75">
        <v>70</v>
      </c>
      <c r="I75">
        <v>78</v>
      </c>
      <c r="J75">
        <v>73</v>
      </c>
      <c r="K75">
        <v>81</v>
      </c>
      <c r="L75">
        <v>71</v>
      </c>
      <c r="M75">
        <v>91</v>
      </c>
      <c r="N75">
        <v>32</v>
      </c>
      <c r="O75">
        <v>22</v>
      </c>
      <c r="P75">
        <v>32</v>
      </c>
      <c r="Q75">
        <v>22</v>
      </c>
      <c r="R75">
        <v>32</v>
      </c>
      <c r="S75">
        <v>22</v>
      </c>
    </row>
    <row r="76" spans="1:19">
      <c r="A76">
        <v>48</v>
      </c>
      <c r="B76">
        <v>58</v>
      </c>
      <c r="C76">
        <v>48</v>
      </c>
      <c r="D76">
        <v>39</v>
      </c>
      <c r="E76">
        <v>57</v>
      </c>
      <c r="F76">
        <v>72</v>
      </c>
      <c r="G76">
        <v>105</v>
      </c>
      <c r="H76">
        <v>81</v>
      </c>
      <c r="I76">
        <v>70</v>
      </c>
      <c r="J76">
        <v>73</v>
      </c>
      <c r="K76">
        <v>82</v>
      </c>
      <c r="L76">
        <v>77</v>
      </c>
      <c r="M76">
        <v>91</v>
      </c>
      <c r="N76">
        <v>34</v>
      </c>
      <c r="O76">
        <v>26</v>
      </c>
      <c r="P76">
        <v>34</v>
      </c>
      <c r="Q76">
        <v>26</v>
      </c>
      <c r="R76">
        <v>34</v>
      </c>
      <c r="S76">
        <v>26</v>
      </c>
    </row>
    <row r="77" spans="1:19">
      <c r="A77">
        <v>51</v>
      </c>
      <c r="B77">
        <v>61</v>
      </c>
      <c r="C77">
        <v>45</v>
      </c>
      <c r="D77">
        <v>40</v>
      </c>
      <c r="E77">
        <v>56</v>
      </c>
      <c r="F77">
        <v>67</v>
      </c>
      <c r="G77">
        <v>111</v>
      </c>
      <c r="H77">
        <v>80</v>
      </c>
      <c r="I77">
        <v>71</v>
      </c>
      <c r="J77">
        <v>73</v>
      </c>
      <c r="K77">
        <v>84</v>
      </c>
      <c r="L77">
        <v>75</v>
      </c>
      <c r="M77">
        <v>94</v>
      </c>
      <c r="N77">
        <v>30</v>
      </c>
      <c r="O77">
        <v>26</v>
      </c>
      <c r="P77">
        <v>30</v>
      </c>
      <c r="Q77">
        <v>26</v>
      </c>
      <c r="R77">
        <v>30</v>
      </c>
      <c r="S77">
        <v>26</v>
      </c>
    </row>
    <row r="78" spans="1:19">
      <c r="A78">
        <v>45</v>
      </c>
      <c r="B78">
        <v>60</v>
      </c>
      <c r="C78">
        <v>48</v>
      </c>
      <c r="D78">
        <v>40</v>
      </c>
      <c r="E78">
        <v>56</v>
      </c>
      <c r="F78">
        <v>67</v>
      </c>
      <c r="G78">
        <v>103</v>
      </c>
      <c r="H78">
        <v>82</v>
      </c>
      <c r="I78">
        <v>67</v>
      </c>
      <c r="J78">
        <v>67</v>
      </c>
      <c r="K78">
        <v>84</v>
      </c>
      <c r="L78">
        <v>70</v>
      </c>
      <c r="M78">
        <v>98</v>
      </c>
      <c r="N78">
        <v>25</v>
      </c>
      <c r="O78">
        <v>22</v>
      </c>
      <c r="P78">
        <v>25</v>
      </c>
      <c r="Q78">
        <v>22</v>
      </c>
      <c r="R78">
        <v>25</v>
      </c>
      <c r="S78">
        <v>22</v>
      </c>
    </row>
    <row r="79" spans="1:19">
      <c r="A79">
        <v>43</v>
      </c>
      <c r="B79">
        <v>60</v>
      </c>
      <c r="C79">
        <v>51</v>
      </c>
      <c r="D79">
        <v>40</v>
      </c>
      <c r="E79">
        <v>58</v>
      </c>
      <c r="F79">
        <v>58</v>
      </c>
      <c r="H79">
        <v>88</v>
      </c>
      <c r="I79">
        <v>63</v>
      </c>
      <c r="J79">
        <v>67</v>
      </c>
      <c r="K79">
        <v>86</v>
      </c>
      <c r="L79">
        <v>70</v>
      </c>
      <c r="M79">
        <v>102</v>
      </c>
      <c r="N79">
        <v>21</v>
      </c>
      <c r="O79">
        <v>20</v>
      </c>
      <c r="P79">
        <v>21</v>
      </c>
      <c r="Q79">
        <v>20</v>
      </c>
      <c r="R79">
        <v>21</v>
      </c>
      <c r="S79">
        <v>20</v>
      </c>
    </row>
    <row r="80" spans="1:19">
      <c r="A80">
        <v>47</v>
      </c>
      <c r="C80">
        <v>53</v>
      </c>
      <c r="D80">
        <v>57</v>
      </c>
      <c r="E80">
        <v>62</v>
      </c>
      <c r="F80">
        <v>66</v>
      </c>
      <c r="H80">
        <v>94</v>
      </c>
      <c r="I80">
        <v>70</v>
      </c>
      <c r="J80">
        <v>63</v>
      </c>
      <c r="K80">
        <v>88</v>
      </c>
      <c r="L80">
        <v>96</v>
      </c>
      <c r="M80">
        <v>102</v>
      </c>
      <c r="N80">
        <v>25</v>
      </c>
      <c r="O80">
        <v>23</v>
      </c>
      <c r="P80">
        <v>25</v>
      </c>
      <c r="Q80">
        <v>23</v>
      </c>
      <c r="R80">
        <v>25</v>
      </c>
      <c r="S80">
        <v>23</v>
      </c>
    </row>
    <row r="81" spans="1:27">
      <c r="A81">
        <v>51</v>
      </c>
      <c r="C81">
        <v>57</v>
      </c>
      <c r="D81">
        <v>58</v>
      </c>
      <c r="E81">
        <v>67</v>
      </c>
      <c r="F81">
        <v>70</v>
      </c>
      <c r="H81">
        <v>94</v>
      </c>
      <c r="I81">
        <v>76</v>
      </c>
      <c r="J81">
        <v>69</v>
      </c>
      <c r="K81">
        <v>88</v>
      </c>
      <c r="L81">
        <v>91</v>
      </c>
      <c r="M81">
        <v>102</v>
      </c>
      <c r="N81">
        <v>27</v>
      </c>
      <c r="O81">
        <v>24</v>
      </c>
      <c r="P81">
        <v>27</v>
      </c>
      <c r="Q81">
        <v>24</v>
      </c>
      <c r="R81">
        <v>27</v>
      </c>
      <c r="S81">
        <v>24</v>
      </c>
    </row>
    <row r="82" spans="1:27">
      <c r="A82">
        <v>51</v>
      </c>
      <c r="C82">
        <v>57</v>
      </c>
      <c r="D82">
        <v>59</v>
      </c>
      <c r="E82">
        <v>76</v>
      </c>
      <c r="F82">
        <v>80</v>
      </c>
      <c r="H82">
        <v>96</v>
      </c>
      <c r="I82">
        <v>93</v>
      </c>
      <c r="J82">
        <v>73</v>
      </c>
      <c r="K82">
        <v>89</v>
      </c>
      <c r="L82">
        <v>100</v>
      </c>
      <c r="M82">
        <v>115</v>
      </c>
      <c r="N82">
        <v>30</v>
      </c>
      <c r="O82">
        <v>27</v>
      </c>
      <c r="P82">
        <v>30</v>
      </c>
      <c r="Q82">
        <v>27</v>
      </c>
      <c r="R82">
        <v>30</v>
      </c>
      <c r="S82">
        <v>27</v>
      </c>
    </row>
    <row r="83" spans="1:27">
      <c r="A83">
        <v>50</v>
      </c>
      <c r="C83">
        <v>56</v>
      </c>
      <c r="D83">
        <v>58</v>
      </c>
      <c r="E83">
        <v>82</v>
      </c>
      <c r="F83">
        <v>84</v>
      </c>
      <c r="H83">
        <v>97</v>
      </c>
      <c r="I83">
        <v>97</v>
      </c>
      <c r="J83">
        <v>86</v>
      </c>
      <c r="K83">
        <v>105</v>
      </c>
      <c r="L83">
        <v>100</v>
      </c>
      <c r="N83">
        <v>33</v>
      </c>
      <c r="O83">
        <v>32</v>
      </c>
      <c r="P83">
        <v>33</v>
      </c>
      <c r="Q83">
        <v>32</v>
      </c>
      <c r="R83">
        <v>33</v>
      </c>
      <c r="S83">
        <v>32</v>
      </c>
    </row>
    <row r="84" spans="1:27">
      <c r="A84">
        <v>50</v>
      </c>
      <c r="C84">
        <v>55</v>
      </c>
      <c r="D84">
        <v>61</v>
      </c>
      <c r="E84">
        <v>84</v>
      </c>
      <c r="F84">
        <v>93</v>
      </c>
      <c r="I84">
        <v>94</v>
      </c>
      <c r="J84">
        <v>90</v>
      </c>
      <c r="K84">
        <v>102</v>
      </c>
      <c r="L84">
        <v>102</v>
      </c>
      <c r="N84">
        <v>35</v>
      </c>
      <c r="O84">
        <v>33</v>
      </c>
      <c r="P84">
        <v>35</v>
      </c>
      <c r="Q84">
        <v>33</v>
      </c>
      <c r="R84">
        <v>35</v>
      </c>
      <c r="S84">
        <v>33</v>
      </c>
    </row>
    <row r="85" spans="1:27">
      <c r="A85">
        <v>50</v>
      </c>
      <c r="E85">
        <v>78</v>
      </c>
      <c r="F85">
        <v>88</v>
      </c>
      <c r="J85">
        <v>90</v>
      </c>
      <c r="K85">
        <v>103</v>
      </c>
      <c r="L85">
        <v>93</v>
      </c>
      <c r="N85">
        <v>31</v>
      </c>
      <c r="P85">
        <v>31</v>
      </c>
      <c r="R85">
        <v>31</v>
      </c>
    </row>
    <row r="88" spans="1:27">
      <c r="L88">
        <v>54</v>
      </c>
      <c r="M88">
        <v>12500</v>
      </c>
    </row>
    <row r="89" spans="1:27">
      <c r="L89">
        <f>L88*M88</f>
        <v>675000</v>
      </c>
    </row>
    <row r="90" spans="1:27">
      <c r="L90">
        <f>L89/31</f>
        <v>21774.193548387098</v>
      </c>
    </row>
    <row r="91" spans="1:27">
      <c r="L91">
        <f>L90*21</f>
        <v>457258.06451612909</v>
      </c>
    </row>
    <row r="94" spans="1:27">
      <c r="A94" t="s">
        <v>3113</v>
      </c>
    </row>
    <row r="95" spans="1:27">
      <c r="A95">
        <v>43</v>
      </c>
      <c r="B95">
        <v>42</v>
      </c>
      <c r="C95">
        <v>52</v>
      </c>
      <c r="D95">
        <v>48</v>
      </c>
      <c r="E95">
        <v>57</v>
      </c>
      <c r="F95">
        <v>68</v>
      </c>
      <c r="G95">
        <v>76</v>
      </c>
      <c r="H95">
        <v>81</v>
      </c>
      <c r="I95">
        <v>74</v>
      </c>
      <c r="J95">
        <v>70</v>
      </c>
      <c r="K95">
        <v>83</v>
      </c>
      <c r="L95">
        <v>99</v>
      </c>
      <c r="M95">
        <v>93</v>
      </c>
      <c r="N95">
        <v>88</v>
      </c>
      <c r="O95">
        <v>90</v>
      </c>
      <c r="P95">
        <v>81</v>
      </c>
      <c r="Q95">
        <v>91</v>
      </c>
      <c r="R95">
        <v>98</v>
      </c>
      <c r="S95">
        <v>105</v>
      </c>
      <c r="T95">
        <v>100</v>
      </c>
      <c r="U95">
        <v>83</v>
      </c>
      <c r="V95">
        <v>84</v>
      </c>
      <c r="W95">
        <v>80</v>
      </c>
      <c r="X95">
        <v>74</v>
      </c>
      <c r="Y95">
        <v>67</v>
      </c>
      <c r="Z95">
        <v>72</v>
      </c>
      <c r="AA95">
        <v>68</v>
      </c>
    </row>
    <row r="96" spans="1:27">
      <c r="A96">
        <v>42</v>
      </c>
      <c r="B96">
        <v>42</v>
      </c>
      <c r="C96">
        <v>52</v>
      </c>
      <c r="D96">
        <v>47</v>
      </c>
      <c r="E96">
        <v>56</v>
      </c>
      <c r="F96">
        <v>62</v>
      </c>
      <c r="G96">
        <v>73</v>
      </c>
      <c r="H96">
        <v>80</v>
      </c>
      <c r="I96">
        <v>74</v>
      </c>
      <c r="J96">
        <v>66</v>
      </c>
      <c r="K96">
        <v>88</v>
      </c>
      <c r="L96">
        <v>94</v>
      </c>
      <c r="M96">
        <v>90</v>
      </c>
      <c r="N96">
        <v>84</v>
      </c>
      <c r="O96">
        <v>86</v>
      </c>
      <c r="P96">
        <v>83</v>
      </c>
      <c r="Q96">
        <v>86</v>
      </c>
      <c r="R96">
        <v>91</v>
      </c>
      <c r="S96">
        <v>101</v>
      </c>
      <c r="T96">
        <v>100</v>
      </c>
      <c r="U96">
        <v>82</v>
      </c>
      <c r="V96">
        <v>78</v>
      </c>
      <c r="W96">
        <v>76</v>
      </c>
      <c r="X96">
        <v>72</v>
      </c>
      <c r="Y96">
        <v>65</v>
      </c>
      <c r="Z96">
        <v>72</v>
      </c>
      <c r="AA96">
        <v>64</v>
      </c>
    </row>
    <row r="97" spans="1:27">
      <c r="A97">
        <v>40</v>
      </c>
      <c r="B97">
        <v>41</v>
      </c>
      <c r="C97">
        <v>52</v>
      </c>
      <c r="D97">
        <v>46</v>
      </c>
      <c r="E97">
        <v>54</v>
      </c>
      <c r="F97">
        <v>58</v>
      </c>
      <c r="G97">
        <v>70</v>
      </c>
      <c r="H97">
        <v>77</v>
      </c>
      <c r="I97">
        <v>70</v>
      </c>
      <c r="J97">
        <v>64</v>
      </c>
      <c r="K97">
        <v>80</v>
      </c>
      <c r="L97">
        <v>88</v>
      </c>
      <c r="M97">
        <v>106</v>
      </c>
      <c r="N97">
        <v>80</v>
      </c>
      <c r="O97">
        <v>82</v>
      </c>
      <c r="P97">
        <v>80</v>
      </c>
      <c r="Q97">
        <v>82</v>
      </c>
      <c r="R97">
        <v>89</v>
      </c>
      <c r="S97">
        <v>96</v>
      </c>
      <c r="T97">
        <v>95</v>
      </c>
      <c r="U97">
        <v>80</v>
      </c>
      <c r="V97">
        <v>71</v>
      </c>
      <c r="W97">
        <v>73</v>
      </c>
      <c r="X97">
        <v>68</v>
      </c>
      <c r="Y97">
        <v>62</v>
      </c>
      <c r="Z97">
        <v>70</v>
      </c>
      <c r="AA97">
        <v>60</v>
      </c>
    </row>
    <row r="98" spans="1:27">
      <c r="A98">
        <v>40</v>
      </c>
      <c r="B98">
        <v>40</v>
      </c>
      <c r="C98">
        <v>51</v>
      </c>
      <c r="D98">
        <v>45</v>
      </c>
      <c r="E98">
        <v>52</v>
      </c>
      <c r="F98">
        <v>55</v>
      </c>
      <c r="G98">
        <v>66</v>
      </c>
      <c r="H98">
        <v>74</v>
      </c>
      <c r="I98">
        <v>64</v>
      </c>
      <c r="J98">
        <v>62</v>
      </c>
      <c r="K98">
        <v>75</v>
      </c>
      <c r="L98">
        <v>82</v>
      </c>
      <c r="M98">
        <v>85</v>
      </c>
      <c r="N98">
        <v>72</v>
      </c>
      <c r="O98">
        <v>78</v>
      </c>
      <c r="P98">
        <v>75</v>
      </c>
      <c r="Q98">
        <v>78</v>
      </c>
      <c r="R98">
        <v>84</v>
      </c>
      <c r="S98">
        <v>90</v>
      </c>
      <c r="T98">
        <v>90</v>
      </c>
      <c r="U98">
        <v>77</v>
      </c>
      <c r="V98">
        <v>65</v>
      </c>
      <c r="W98">
        <v>70</v>
      </c>
      <c r="X98">
        <v>66</v>
      </c>
      <c r="Y98">
        <v>58</v>
      </c>
      <c r="Z98">
        <v>66</v>
      </c>
      <c r="AA98">
        <v>58</v>
      </c>
    </row>
    <row r="99" spans="1:27">
      <c r="A99">
        <v>42</v>
      </c>
      <c r="B99">
        <v>40</v>
      </c>
      <c r="C99">
        <v>51</v>
      </c>
      <c r="D99">
        <v>44</v>
      </c>
      <c r="E99">
        <v>50</v>
      </c>
      <c r="F99">
        <v>54</v>
      </c>
      <c r="G99">
        <v>62</v>
      </c>
      <c r="H99">
        <v>70</v>
      </c>
      <c r="I99">
        <v>61</v>
      </c>
      <c r="J99">
        <v>60</v>
      </c>
      <c r="K99">
        <v>70</v>
      </c>
      <c r="L99">
        <v>76</v>
      </c>
      <c r="M99">
        <v>76</v>
      </c>
      <c r="N99">
        <v>64</v>
      </c>
      <c r="O99">
        <v>74</v>
      </c>
      <c r="P99">
        <v>70</v>
      </c>
      <c r="Q99">
        <v>74</v>
      </c>
      <c r="R99">
        <v>81</v>
      </c>
      <c r="S99">
        <v>83</v>
      </c>
      <c r="T99">
        <v>84</v>
      </c>
      <c r="U99">
        <v>72</v>
      </c>
      <c r="V99">
        <v>62</v>
      </c>
      <c r="W99">
        <v>65</v>
      </c>
      <c r="X99">
        <v>64</v>
      </c>
      <c r="Y99">
        <v>56</v>
      </c>
      <c r="Z99">
        <v>63</v>
      </c>
      <c r="AA99">
        <v>52</v>
      </c>
    </row>
    <row r="100" spans="1:27">
      <c r="A100">
        <v>44</v>
      </c>
      <c r="B100">
        <v>42</v>
      </c>
      <c r="C100">
        <v>51</v>
      </c>
      <c r="D100">
        <v>44</v>
      </c>
      <c r="E100">
        <v>50</v>
      </c>
      <c r="F100">
        <v>53</v>
      </c>
      <c r="G100">
        <v>58</v>
      </c>
      <c r="H100">
        <v>69</v>
      </c>
      <c r="I100">
        <v>60</v>
      </c>
      <c r="J100">
        <v>58</v>
      </c>
      <c r="K100">
        <v>67</v>
      </c>
      <c r="L100">
        <v>73</v>
      </c>
      <c r="M100">
        <v>69</v>
      </c>
      <c r="N100">
        <v>60</v>
      </c>
      <c r="O100">
        <v>70</v>
      </c>
      <c r="P100">
        <v>64</v>
      </c>
      <c r="Q100">
        <v>70</v>
      </c>
      <c r="R100">
        <v>77</v>
      </c>
      <c r="S100">
        <v>78</v>
      </c>
      <c r="T100">
        <v>78</v>
      </c>
      <c r="U100">
        <v>67</v>
      </c>
      <c r="V100">
        <v>53</v>
      </c>
      <c r="W100">
        <v>60</v>
      </c>
      <c r="X100">
        <v>61</v>
      </c>
      <c r="Y100">
        <v>56</v>
      </c>
      <c r="Z100">
        <v>60</v>
      </c>
      <c r="AA100">
        <v>53</v>
      </c>
    </row>
    <row r="101" spans="1:27">
      <c r="A101">
        <v>50</v>
      </c>
      <c r="B101">
        <v>46</v>
      </c>
      <c r="C101">
        <v>51</v>
      </c>
      <c r="D101">
        <v>48</v>
      </c>
      <c r="E101">
        <v>50</v>
      </c>
      <c r="F101">
        <v>52</v>
      </c>
      <c r="G101">
        <v>60</v>
      </c>
      <c r="H101">
        <v>61</v>
      </c>
      <c r="I101">
        <v>60</v>
      </c>
      <c r="J101">
        <v>58</v>
      </c>
      <c r="K101">
        <v>63</v>
      </c>
      <c r="L101">
        <v>71</v>
      </c>
      <c r="M101">
        <v>69</v>
      </c>
      <c r="N101">
        <v>60</v>
      </c>
      <c r="O101">
        <v>70</v>
      </c>
      <c r="P101">
        <v>60</v>
      </c>
      <c r="Q101">
        <v>67</v>
      </c>
      <c r="R101">
        <v>70</v>
      </c>
      <c r="S101">
        <v>72</v>
      </c>
      <c r="T101">
        <v>73</v>
      </c>
      <c r="U101">
        <v>63</v>
      </c>
      <c r="V101">
        <v>61</v>
      </c>
      <c r="W101">
        <v>62</v>
      </c>
      <c r="X101">
        <v>58</v>
      </c>
      <c r="Y101">
        <v>56</v>
      </c>
      <c r="Z101">
        <v>58</v>
      </c>
      <c r="AA101">
        <v>53</v>
      </c>
    </row>
    <row r="102" spans="1:27">
      <c r="A102">
        <v>53</v>
      </c>
      <c r="B102">
        <v>48</v>
      </c>
      <c r="C102">
        <v>52</v>
      </c>
      <c r="D102">
        <v>50</v>
      </c>
      <c r="E102">
        <v>56</v>
      </c>
      <c r="F102">
        <v>52</v>
      </c>
      <c r="G102">
        <v>64</v>
      </c>
      <c r="H102">
        <v>60</v>
      </c>
      <c r="I102">
        <v>61</v>
      </c>
      <c r="J102">
        <v>58</v>
      </c>
      <c r="K102">
        <v>60</v>
      </c>
      <c r="L102">
        <v>64</v>
      </c>
      <c r="M102">
        <v>69</v>
      </c>
      <c r="N102">
        <v>60</v>
      </c>
      <c r="O102">
        <v>67</v>
      </c>
      <c r="P102">
        <v>60</v>
      </c>
      <c r="Q102">
        <v>70</v>
      </c>
      <c r="R102">
        <v>71</v>
      </c>
      <c r="S102">
        <v>70</v>
      </c>
      <c r="T102">
        <v>73</v>
      </c>
      <c r="U102">
        <v>69</v>
      </c>
      <c r="V102">
        <v>60</v>
      </c>
      <c r="W102">
        <v>64</v>
      </c>
      <c r="X102">
        <v>57</v>
      </c>
      <c r="Y102">
        <v>60</v>
      </c>
      <c r="Z102">
        <v>58</v>
      </c>
      <c r="AA102">
        <v>54</v>
      </c>
    </row>
    <row r="103" spans="1:27">
      <c r="A103">
        <v>50</v>
      </c>
      <c r="B103">
        <v>50</v>
      </c>
      <c r="C103">
        <v>46</v>
      </c>
      <c r="D103">
        <v>47</v>
      </c>
      <c r="E103">
        <v>50</v>
      </c>
      <c r="F103">
        <v>50</v>
      </c>
      <c r="G103">
        <v>52</v>
      </c>
      <c r="H103">
        <v>56</v>
      </c>
      <c r="I103">
        <v>54</v>
      </c>
      <c r="J103">
        <v>54</v>
      </c>
      <c r="K103">
        <v>59</v>
      </c>
      <c r="L103">
        <v>63</v>
      </c>
      <c r="M103">
        <v>63</v>
      </c>
      <c r="N103">
        <v>57</v>
      </c>
      <c r="O103">
        <v>64</v>
      </c>
      <c r="P103">
        <v>57</v>
      </c>
      <c r="Q103">
        <v>66</v>
      </c>
      <c r="R103">
        <v>68</v>
      </c>
      <c r="S103">
        <v>66</v>
      </c>
      <c r="T103">
        <v>61</v>
      </c>
      <c r="U103">
        <v>58</v>
      </c>
      <c r="V103">
        <v>61</v>
      </c>
      <c r="W103">
        <v>59</v>
      </c>
      <c r="X103">
        <v>51</v>
      </c>
      <c r="Y103">
        <v>54</v>
      </c>
      <c r="Z103">
        <v>50</v>
      </c>
      <c r="AA103">
        <v>54</v>
      </c>
    </row>
    <row r="104" spans="1:27">
      <c r="A104">
        <v>42</v>
      </c>
      <c r="B104">
        <v>53</v>
      </c>
      <c r="C104">
        <v>44</v>
      </c>
      <c r="D104">
        <v>42</v>
      </c>
      <c r="E104">
        <v>54</v>
      </c>
      <c r="F104">
        <v>48</v>
      </c>
      <c r="G104">
        <v>54</v>
      </c>
      <c r="H104">
        <v>54</v>
      </c>
      <c r="I104">
        <v>54</v>
      </c>
      <c r="J104">
        <v>50</v>
      </c>
      <c r="K104">
        <v>60</v>
      </c>
      <c r="L104">
        <v>60</v>
      </c>
      <c r="M104">
        <v>60</v>
      </c>
      <c r="N104">
        <v>57</v>
      </c>
      <c r="O104">
        <v>62</v>
      </c>
      <c r="P104">
        <v>56</v>
      </c>
      <c r="Q104">
        <v>60</v>
      </c>
      <c r="R104">
        <v>63</v>
      </c>
      <c r="S104">
        <v>74</v>
      </c>
      <c r="T104">
        <v>63</v>
      </c>
      <c r="U104">
        <v>58</v>
      </c>
      <c r="V104">
        <v>62</v>
      </c>
      <c r="W104">
        <v>50</v>
      </c>
      <c r="X104">
        <v>48</v>
      </c>
      <c r="Y104">
        <v>51</v>
      </c>
      <c r="Z104">
        <v>50</v>
      </c>
      <c r="AA104">
        <v>54</v>
      </c>
    </row>
    <row r="105" spans="1:27">
      <c r="A105">
        <v>40</v>
      </c>
      <c r="B105">
        <v>54</v>
      </c>
      <c r="C105">
        <v>42</v>
      </c>
      <c r="D105">
        <v>40</v>
      </c>
      <c r="E105">
        <v>50</v>
      </c>
      <c r="F105">
        <v>47</v>
      </c>
      <c r="G105">
        <v>51</v>
      </c>
      <c r="H105">
        <v>53</v>
      </c>
      <c r="I105">
        <v>50</v>
      </c>
      <c r="J105">
        <v>50</v>
      </c>
      <c r="K105">
        <v>57</v>
      </c>
      <c r="L105">
        <v>61</v>
      </c>
      <c r="M105">
        <v>59</v>
      </c>
      <c r="N105">
        <v>59</v>
      </c>
      <c r="O105">
        <v>60</v>
      </c>
      <c r="P105">
        <v>52</v>
      </c>
      <c r="Q105">
        <v>61</v>
      </c>
      <c r="R105">
        <v>62</v>
      </c>
      <c r="S105">
        <v>81</v>
      </c>
      <c r="T105">
        <v>68</v>
      </c>
      <c r="U105">
        <v>56</v>
      </c>
      <c r="V105">
        <v>86</v>
      </c>
      <c r="W105">
        <v>50</v>
      </c>
      <c r="X105">
        <v>46</v>
      </c>
      <c r="Y105">
        <v>50</v>
      </c>
      <c r="Z105">
        <v>50</v>
      </c>
      <c r="AA105">
        <v>52</v>
      </c>
    </row>
    <row r="106" spans="1:27">
      <c r="A106">
        <v>33</v>
      </c>
      <c r="B106">
        <v>48</v>
      </c>
      <c r="C106">
        <v>40</v>
      </c>
      <c r="D106">
        <v>40</v>
      </c>
      <c r="E106">
        <v>44</v>
      </c>
      <c r="F106">
        <v>48</v>
      </c>
      <c r="G106">
        <v>51</v>
      </c>
      <c r="H106">
        <v>51</v>
      </c>
      <c r="I106">
        <v>52</v>
      </c>
      <c r="J106">
        <v>50</v>
      </c>
      <c r="K106">
        <v>59</v>
      </c>
      <c r="L106">
        <v>63</v>
      </c>
      <c r="M106">
        <v>61</v>
      </c>
      <c r="N106">
        <v>67</v>
      </c>
      <c r="O106">
        <v>64</v>
      </c>
      <c r="P106">
        <v>57</v>
      </c>
      <c r="Q106">
        <v>61</v>
      </c>
      <c r="R106">
        <v>73</v>
      </c>
      <c r="S106">
        <v>89</v>
      </c>
      <c r="T106">
        <v>70</v>
      </c>
      <c r="U106">
        <v>58</v>
      </c>
      <c r="V106">
        <v>87</v>
      </c>
      <c r="W106">
        <v>47</v>
      </c>
      <c r="X106">
        <v>43</v>
      </c>
      <c r="Y106">
        <v>49</v>
      </c>
      <c r="Z106">
        <v>52</v>
      </c>
      <c r="AA106">
        <v>52</v>
      </c>
    </row>
    <row r="107" spans="1:27">
      <c r="A107">
        <v>32</v>
      </c>
      <c r="B107">
        <v>48</v>
      </c>
      <c r="C107">
        <v>37</v>
      </c>
      <c r="D107">
        <v>42</v>
      </c>
      <c r="E107">
        <v>43</v>
      </c>
      <c r="F107">
        <v>50</v>
      </c>
      <c r="G107">
        <v>51</v>
      </c>
      <c r="H107">
        <v>54</v>
      </c>
      <c r="I107">
        <v>55</v>
      </c>
      <c r="J107">
        <v>49</v>
      </c>
      <c r="K107">
        <v>61</v>
      </c>
      <c r="L107">
        <v>71</v>
      </c>
      <c r="M107">
        <v>68</v>
      </c>
      <c r="N107">
        <v>70</v>
      </c>
      <c r="O107">
        <v>70</v>
      </c>
      <c r="P107">
        <v>63</v>
      </c>
      <c r="Q107">
        <v>78</v>
      </c>
      <c r="R107">
        <v>80</v>
      </c>
      <c r="S107">
        <v>89</v>
      </c>
      <c r="T107">
        <v>76</v>
      </c>
      <c r="U107">
        <v>61</v>
      </c>
      <c r="V107">
        <v>89</v>
      </c>
      <c r="W107">
        <v>52</v>
      </c>
      <c r="X107">
        <v>40</v>
      </c>
      <c r="Y107">
        <v>49</v>
      </c>
      <c r="Z107">
        <v>52</v>
      </c>
      <c r="AA107">
        <v>49</v>
      </c>
    </row>
    <row r="108" spans="1:27">
      <c r="A108">
        <v>34</v>
      </c>
      <c r="B108">
        <v>53</v>
      </c>
      <c r="C108">
        <v>37</v>
      </c>
      <c r="D108">
        <v>39</v>
      </c>
      <c r="E108">
        <v>42</v>
      </c>
      <c r="F108">
        <v>51</v>
      </c>
      <c r="G108">
        <v>60</v>
      </c>
      <c r="H108">
        <v>59</v>
      </c>
      <c r="I108">
        <v>59</v>
      </c>
      <c r="J108">
        <v>53</v>
      </c>
      <c r="K108">
        <v>86</v>
      </c>
      <c r="L108">
        <v>72</v>
      </c>
      <c r="M108">
        <v>73</v>
      </c>
      <c r="N108">
        <v>72</v>
      </c>
      <c r="O108">
        <v>75</v>
      </c>
      <c r="P108">
        <v>68</v>
      </c>
      <c r="Q108">
        <v>80</v>
      </c>
      <c r="R108">
        <v>87</v>
      </c>
      <c r="S108">
        <v>89</v>
      </c>
      <c r="T108">
        <v>80</v>
      </c>
      <c r="U108">
        <v>67</v>
      </c>
      <c r="V108">
        <v>89</v>
      </c>
      <c r="W108">
        <v>49</v>
      </c>
      <c r="X108">
        <v>40</v>
      </c>
      <c r="Y108">
        <v>48</v>
      </c>
      <c r="Z108">
        <v>50</v>
      </c>
      <c r="AA108">
        <v>49</v>
      </c>
    </row>
    <row r="109" spans="1:27">
      <c r="A109">
        <v>38</v>
      </c>
      <c r="B109">
        <v>53</v>
      </c>
      <c r="C109">
        <v>37</v>
      </c>
      <c r="D109">
        <v>39</v>
      </c>
      <c r="E109">
        <v>44</v>
      </c>
      <c r="F109">
        <v>51</v>
      </c>
      <c r="G109">
        <v>60</v>
      </c>
      <c r="H109">
        <v>60</v>
      </c>
      <c r="I109">
        <v>60</v>
      </c>
      <c r="J109">
        <v>53</v>
      </c>
      <c r="K109">
        <v>88</v>
      </c>
      <c r="L109">
        <v>93</v>
      </c>
      <c r="M109">
        <v>79</v>
      </c>
      <c r="N109">
        <v>73</v>
      </c>
      <c r="O109">
        <v>78</v>
      </c>
      <c r="P109">
        <v>73</v>
      </c>
      <c r="Q109">
        <v>82</v>
      </c>
      <c r="R109">
        <v>84</v>
      </c>
      <c r="S109">
        <v>78</v>
      </c>
      <c r="T109">
        <v>86</v>
      </c>
      <c r="U109">
        <v>73</v>
      </c>
      <c r="W109">
        <v>49</v>
      </c>
      <c r="X109">
        <v>41</v>
      </c>
      <c r="Y109">
        <v>47</v>
      </c>
      <c r="Z109">
        <v>48</v>
      </c>
      <c r="AA109">
        <v>50</v>
      </c>
    </row>
    <row r="110" spans="1:27">
      <c r="A110">
        <v>40</v>
      </c>
      <c r="B110">
        <v>52</v>
      </c>
      <c r="C110">
        <v>36</v>
      </c>
      <c r="D110">
        <v>40</v>
      </c>
      <c r="E110">
        <v>40</v>
      </c>
      <c r="F110">
        <v>51</v>
      </c>
      <c r="G110">
        <v>60</v>
      </c>
      <c r="H110">
        <v>57</v>
      </c>
      <c r="I110">
        <v>57</v>
      </c>
      <c r="J110">
        <v>53</v>
      </c>
      <c r="K110">
        <v>90</v>
      </c>
      <c r="L110">
        <v>80</v>
      </c>
      <c r="M110">
        <v>77</v>
      </c>
      <c r="N110">
        <v>76</v>
      </c>
      <c r="O110">
        <v>61</v>
      </c>
      <c r="P110">
        <v>71</v>
      </c>
      <c r="Q110">
        <v>79</v>
      </c>
      <c r="R110">
        <v>83</v>
      </c>
      <c r="S110">
        <v>69</v>
      </c>
      <c r="T110">
        <v>79</v>
      </c>
      <c r="U110">
        <v>72</v>
      </c>
      <c r="W110">
        <v>49</v>
      </c>
      <c r="X110">
        <v>43</v>
      </c>
      <c r="Y110">
        <v>50</v>
      </c>
      <c r="Z110">
        <v>50</v>
      </c>
      <c r="AA110">
        <v>52</v>
      </c>
    </row>
    <row r="111" spans="1:27">
      <c r="A111">
        <v>37</v>
      </c>
      <c r="B111">
        <v>54</v>
      </c>
      <c r="C111">
        <v>38</v>
      </c>
      <c r="D111">
        <v>40</v>
      </c>
      <c r="E111">
        <v>40</v>
      </c>
      <c r="F111">
        <v>51</v>
      </c>
      <c r="G111">
        <v>59</v>
      </c>
      <c r="H111">
        <v>54</v>
      </c>
      <c r="I111">
        <v>53</v>
      </c>
      <c r="J111">
        <v>50</v>
      </c>
      <c r="K111">
        <v>98</v>
      </c>
      <c r="L111">
        <v>70</v>
      </c>
      <c r="M111">
        <v>61</v>
      </c>
      <c r="N111">
        <v>64</v>
      </c>
      <c r="O111">
        <v>64</v>
      </c>
      <c r="P111">
        <v>69</v>
      </c>
      <c r="Q111">
        <v>72</v>
      </c>
      <c r="R111">
        <v>68</v>
      </c>
      <c r="S111">
        <v>67</v>
      </c>
      <c r="T111">
        <v>62</v>
      </c>
      <c r="U111">
        <v>68</v>
      </c>
      <c r="W111">
        <v>52</v>
      </c>
      <c r="X111">
        <v>44</v>
      </c>
      <c r="Y111">
        <v>50</v>
      </c>
      <c r="Z111">
        <v>63</v>
      </c>
      <c r="AA111">
        <v>44</v>
      </c>
    </row>
    <row r="112" spans="1:27">
      <c r="A112">
        <v>36</v>
      </c>
      <c r="B112">
        <v>51</v>
      </c>
      <c r="C112">
        <v>43</v>
      </c>
      <c r="D112">
        <v>40</v>
      </c>
      <c r="E112">
        <v>46</v>
      </c>
      <c r="F112">
        <v>51</v>
      </c>
      <c r="G112">
        <v>52</v>
      </c>
      <c r="H112">
        <v>56</v>
      </c>
      <c r="I112">
        <v>50</v>
      </c>
      <c r="J112">
        <v>50</v>
      </c>
      <c r="K112">
        <v>100</v>
      </c>
      <c r="L112">
        <v>71</v>
      </c>
      <c r="M112">
        <v>61</v>
      </c>
      <c r="N112">
        <v>71</v>
      </c>
      <c r="O112">
        <v>71</v>
      </c>
      <c r="P112">
        <v>61</v>
      </c>
      <c r="Q112">
        <v>69</v>
      </c>
      <c r="R112">
        <v>66</v>
      </c>
      <c r="S112">
        <v>88</v>
      </c>
      <c r="T112">
        <v>59</v>
      </c>
      <c r="U112">
        <v>53</v>
      </c>
      <c r="W112">
        <v>32</v>
      </c>
      <c r="X112">
        <v>44</v>
      </c>
      <c r="Y112">
        <v>66</v>
      </c>
      <c r="Z112">
        <v>64</v>
      </c>
      <c r="AA112">
        <v>44</v>
      </c>
    </row>
    <row r="113" spans="1:27">
      <c r="A113">
        <v>42</v>
      </c>
      <c r="C113">
        <v>46</v>
      </c>
      <c r="D113">
        <v>57</v>
      </c>
      <c r="E113">
        <v>54</v>
      </c>
      <c r="F113">
        <v>68</v>
      </c>
      <c r="G113">
        <v>58</v>
      </c>
      <c r="H113">
        <v>56</v>
      </c>
      <c r="I113">
        <v>49</v>
      </c>
      <c r="J113">
        <v>46</v>
      </c>
      <c r="K113">
        <v>103</v>
      </c>
      <c r="L113">
        <v>71</v>
      </c>
      <c r="M113">
        <v>65</v>
      </c>
      <c r="N113">
        <v>77</v>
      </c>
      <c r="O113">
        <v>70</v>
      </c>
      <c r="P113">
        <v>60</v>
      </c>
      <c r="Q113">
        <v>67</v>
      </c>
      <c r="R113">
        <v>69</v>
      </c>
      <c r="S113">
        <v>93</v>
      </c>
      <c r="T113">
        <v>68</v>
      </c>
      <c r="U113">
        <v>70</v>
      </c>
      <c r="W113">
        <v>63</v>
      </c>
      <c r="X113">
        <v>50</v>
      </c>
      <c r="Y113">
        <v>54</v>
      </c>
      <c r="Z113">
        <v>70</v>
      </c>
      <c r="AA113">
        <v>64</v>
      </c>
    </row>
    <row r="114" spans="1:27">
      <c r="A114">
        <v>44</v>
      </c>
      <c r="C114">
        <v>52</v>
      </c>
      <c r="D114">
        <v>58</v>
      </c>
      <c r="E114">
        <v>60</v>
      </c>
      <c r="F114">
        <v>86</v>
      </c>
      <c r="G114">
        <v>70</v>
      </c>
      <c r="H114">
        <v>63</v>
      </c>
      <c r="I114">
        <v>56</v>
      </c>
      <c r="J114">
        <v>59</v>
      </c>
      <c r="K114">
        <v>94</v>
      </c>
      <c r="L114">
        <v>86</v>
      </c>
      <c r="M114">
        <v>72</v>
      </c>
      <c r="N114">
        <v>82</v>
      </c>
      <c r="O114">
        <v>76</v>
      </c>
      <c r="P114">
        <v>74</v>
      </c>
      <c r="Q114">
        <v>82</v>
      </c>
      <c r="R114">
        <v>89</v>
      </c>
      <c r="S114">
        <v>106</v>
      </c>
      <c r="T114">
        <v>78</v>
      </c>
      <c r="U114">
        <v>74</v>
      </c>
      <c r="W114">
        <v>67</v>
      </c>
      <c r="X114">
        <v>60</v>
      </c>
      <c r="Y114">
        <v>62</v>
      </c>
      <c r="Z114">
        <v>71</v>
      </c>
      <c r="AA114">
        <v>73</v>
      </c>
    </row>
    <row r="115" spans="1:27">
      <c r="A115">
        <v>44</v>
      </c>
      <c r="C115">
        <v>48</v>
      </c>
      <c r="D115">
        <v>59</v>
      </c>
      <c r="E115">
        <v>60</v>
      </c>
      <c r="F115">
        <v>87</v>
      </c>
      <c r="G115">
        <v>70</v>
      </c>
      <c r="H115">
        <v>69</v>
      </c>
      <c r="I115">
        <v>62</v>
      </c>
      <c r="J115">
        <v>61</v>
      </c>
      <c r="L115">
        <v>88</v>
      </c>
      <c r="M115">
        <v>80</v>
      </c>
      <c r="N115">
        <v>90</v>
      </c>
      <c r="O115">
        <v>83</v>
      </c>
      <c r="P115">
        <v>83</v>
      </c>
      <c r="Q115">
        <v>90</v>
      </c>
      <c r="R115">
        <v>97</v>
      </c>
      <c r="S115">
        <v>107</v>
      </c>
      <c r="T115">
        <v>82</v>
      </c>
      <c r="U115">
        <v>76</v>
      </c>
      <c r="W115">
        <v>71</v>
      </c>
      <c r="X115">
        <v>70</v>
      </c>
      <c r="Y115">
        <v>69</v>
      </c>
      <c r="Z115">
        <v>70</v>
      </c>
      <c r="AA115">
        <v>77</v>
      </c>
    </row>
    <row r="116" spans="1:27">
      <c r="A116">
        <v>44</v>
      </c>
      <c r="C116">
        <v>49</v>
      </c>
      <c r="D116">
        <v>58</v>
      </c>
      <c r="E116">
        <v>68</v>
      </c>
      <c r="F116">
        <v>81</v>
      </c>
      <c r="G116">
        <v>82</v>
      </c>
      <c r="H116">
        <v>72</v>
      </c>
      <c r="I116">
        <v>70</v>
      </c>
      <c r="J116">
        <v>73</v>
      </c>
      <c r="L116">
        <v>90</v>
      </c>
      <c r="M116">
        <v>80</v>
      </c>
      <c r="N116">
        <v>98</v>
      </c>
      <c r="O116">
        <v>89</v>
      </c>
      <c r="P116">
        <v>90</v>
      </c>
      <c r="Q116">
        <v>90</v>
      </c>
      <c r="R116">
        <v>103</v>
      </c>
      <c r="S116">
        <v>107</v>
      </c>
      <c r="T116">
        <v>93</v>
      </c>
      <c r="U116">
        <v>90</v>
      </c>
      <c r="W116">
        <v>81</v>
      </c>
      <c r="X116">
        <v>71</v>
      </c>
      <c r="Y116">
        <v>72</v>
      </c>
      <c r="AA116">
        <v>82</v>
      </c>
    </row>
    <row r="117" spans="1:27">
      <c r="A117">
        <v>44</v>
      </c>
      <c r="C117">
        <v>48</v>
      </c>
      <c r="D117">
        <v>61</v>
      </c>
      <c r="E117">
        <v>69</v>
      </c>
      <c r="F117">
        <v>77</v>
      </c>
      <c r="G117">
        <v>83</v>
      </c>
      <c r="H117">
        <v>79</v>
      </c>
      <c r="I117">
        <v>77</v>
      </c>
      <c r="J117">
        <v>77</v>
      </c>
      <c r="L117">
        <v>100</v>
      </c>
      <c r="M117">
        <v>84</v>
      </c>
      <c r="N117">
        <v>93</v>
      </c>
      <c r="O117">
        <v>91</v>
      </c>
      <c r="P117">
        <v>93</v>
      </c>
      <c r="Q117">
        <v>90</v>
      </c>
      <c r="T117">
        <v>94</v>
      </c>
      <c r="U117">
        <v>94</v>
      </c>
      <c r="W117">
        <v>81</v>
      </c>
      <c r="X117">
        <v>72</v>
      </c>
      <c r="Y117">
        <v>80</v>
      </c>
      <c r="AA117">
        <v>84</v>
      </c>
    </row>
    <row r="118" spans="1:27">
      <c r="A118">
        <v>44</v>
      </c>
      <c r="E118">
        <v>68</v>
      </c>
      <c r="G118">
        <v>82</v>
      </c>
      <c r="H118">
        <v>80</v>
      </c>
      <c r="I118">
        <v>74</v>
      </c>
      <c r="J118">
        <v>76</v>
      </c>
      <c r="L118">
        <v>98</v>
      </c>
      <c r="M118">
        <v>91</v>
      </c>
      <c r="O118">
        <v>89</v>
      </c>
      <c r="P118">
        <v>94</v>
      </c>
      <c r="T118">
        <v>89</v>
      </c>
      <c r="X118">
        <v>71</v>
      </c>
      <c r="AA118">
        <v>81</v>
      </c>
    </row>
    <row r="121" spans="1:27">
      <c r="F121">
        <v>65</v>
      </c>
    </row>
    <row r="122" spans="1:27">
      <c r="F122">
        <v>12500</v>
      </c>
    </row>
    <row r="123" spans="1:27">
      <c r="F123">
        <f>F121*F122</f>
        <v>812500</v>
      </c>
    </row>
    <row r="124" spans="1:27">
      <c r="I124">
        <v>1.732</v>
      </c>
      <c r="J124">
        <v>11000</v>
      </c>
      <c r="K124">
        <v>10</v>
      </c>
      <c r="L124">
        <v>0.95</v>
      </c>
      <c r="M124">
        <v>30</v>
      </c>
    </row>
    <row r="126" spans="1:27">
      <c r="I126">
        <f>I124*J124*K124*L124*30</f>
        <v>5429820</v>
      </c>
    </row>
    <row r="127" spans="1:27">
      <c r="I127">
        <f>I126/100</f>
        <v>54298.2</v>
      </c>
    </row>
    <row r="131" spans="1:31">
      <c r="A131" t="s">
        <v>1947</v>
      </c>
    </row>
    <row r="132" spans="1:31">
      <c r="A132">
        <v>78</v>
      </c>
      <c r="B132">
        <v>84</v>
      </c>
      <c r="C132">
        <v>87</v>
      </c>
      <c r="D132">
        <v>90</v>
      </c>
      <c r="E132">
        <v>96</v>
      </c>
      <c r="F132">
        <v>117</v>
      </c>
      <c r="G132">
        <v>132</v>
      </c>
      <c r="H132">
        <v>144</v>
      </c>
      <c r="I132">
        <v>156</v>
      </c>
      <c r="J132">
        <v>153</v>
      </c>
      <c r="K132">
        <v>142</v>
      </c>
      <c r="L132">
        <v>152</v>
      </c>
      <c r="M132">
        <v>163</v>
      </c>
      <c r="N132">
        <v>177</v>
      </c>
      <c r="O132">
        <v>173</v>
      </c>
      <c r="P132">
        <v>162</v>
      </c>
      <c r="Q132">
        <v>178</v>
      </c>
      <c r="R132">
        <v>171</v>
      </c>
      <c r="S132">
        <v>186</v>
      </c>
      <c r="T132">
        <v>186</v>
      </c>
      <c r="U132">
        <v>187</v>
      </c>
      <c r="V132">
        <v>200</v>
      </c>
      <c r="W132">
        <v>214</v>
      </c>
      <c r="X132">
        <v>216</v>
      </c>
      <c r="Y132">
        <v>168</v>
      </c>
      <c r="Z132">
        <v>160</v>
      </c>
      <c r="AA132">
        <v>153</v>
      </c>
      <c r="AB132">
        <v>144</v>
      </c>
      <c r="AC132">
        <v>122</v>
      </c>
      <c r="AD132">
        <v>140</v>
      </c>
      <c r="AE132">
        <v>120</v>
      </c>
    </row>
    <row r="133" spans="1:31">
      <c r="A133">
        <v>78</v>
      </c>
      <c r="B133">
        <v>84</v>
      </c>
      <c r="C133">
        <v>84</v>
      </c>
      <c r="D133">
        <v>87</v>
      </c>
      <c r="E133">
        <v>96</v>
      </c>
      <c r="F133">
        <v>111</v>
      </c>
      <c r="G133">
        <v>132</v>
      </c>
      <c r="H133">
        <v>138</v>
      </c>
      <c r="I133">
        <v>150</v>
      </c>
      <c r="J133">
        <v>153</v>
      </c>
      <c r="K133">
        <v>134</v>
      </c>
      <c r="L133">
        <v>140</v>
      </c>
      <c r="M133">
        <v>149</v>
      </c>
      <c r="N133">
        <v>165</v>
      </c>
      <c r="O133">
        <v>165</v>
      </c>
      <c r="P133">
        <v>153</v>
      </c>
      <c r="Q133">
        <v>174</v>
      </c>
      <c r="R133">
        <v>167</v>
      </c>
      <c r="S133">
        <v>184</v>
      </c>
      <c r="T133">
        <v>184</v>
      </c>
      <c r="U133">
        <v>184</v>
      </c>
      <c r="V133">
        <v>195</v>
      </c>
      <c r="W133">
        <v>210</v>
      </c>
      <c r="X133">
        <v>210</v>
      </c>
      <c r="Y133">
        <v>165</v>
      </c>
      <c r="Z133">
        <v>142</v>
      </c>
      <c r="AA133">
        <v>147</v>
      </c>
      <c r="AB133">
        <v>138</v>
      </c>
      <c r="AC133">
        <v>120</v>
      </c>
      <c r="AD133">
        <v>138</v>
      </c>
      <c r="AE133">
        <v>117</v>
      </c>
    </row>
    <row r="134" spans="1:31">
      <c r="A134">
        <v>75</v>
      </c>
      <c r="B134">
        <v>84</v>
      </c>
      <c r="C134">
        <v>84</v>
      </c>
      <c r="D134">
        <v>87</v>
      </c>
      <c r="E134">
        <v>90</v>
      </c>
      <c r="F134">
        <v>105</v>
      </c>
      <c r="G134">
        <v>129</v>
      </c>
      <c r="H134">
        <v>132</v>
      </c>
      <c r="I134">
        <v>144</v>
      </c>
      <c r="J134">
        <v>150</v>
      </c>
      <c r="K134">
        <v>124</v>
      </c>
      <c r="L134">
        <v>132</v>
      </c>
      <c r="M134">
        <v>143</v>
      </c>
      <c r="N134">
        <v>154</v>
      </c>
      <c r="O134">
        <v>157</v>
      </c>
      <c r="P134">
        <v>146</v>
      </c>
      <c r="Q134">
        <v>168</v>
      </c>
      <c r="R134">
        <v>159</v>
      </c>
      <c r="S134">
        <v>178</v>
      </c>
      <c r="T134">
        <v>178</v>
      </c>
      <c r="U134">
        <v>178</v>
      </c>
      <c r="V134">
        <v>186</v>
      </c>
      <c r="W134">
        <v>201</v>
      </c>
      <c r="X134">
        <v>198</v>
      </c>
      <c r="Y134">
        <v>156</v>
      </c>
      <c r="Z134">
        <v>132</v>
      </c>
      <c r="AA134">
        <v>141</v>
      </c>
      <c r="AB134">
        <v>129</v>
      </c>
      <c r="AC134">
        <v>116</v>
      </c>
      <c r="AD134">
        <v>131</v>
      </c>
      <c r="AE134">
        <v>115</v>
      </c>
    </row>
    <row r="135" spans="1:31">
      <c r="A135">
        <v>75</v>
      </c>
      <c r="B135">
        <v>81</v>
      </c>
      <c r="C135">
        <v>78</v>
      </c>
      <c r="D135">
        <v>84</v>
      </c>
      <c r="E135">
        <v>90</v>
      </c>
      <c r="F135">
        <v>102</v>
      </c>
      <c r="G135">
        <v>126</v>
      </c>
      <c r="H135">
        <v>126</v>
      </c>
      <c r="I135">
        <v>138</v>
      </c>
      <c r="J135">
        <v>141</v>
      </c>
      <c r="K135">
        <v>117</v>
      </c>
      <c r="L135">
        <v>120</v>
      </c>
      <c r="M135">
        <v>129</v>
      </c>
      <c r="N135">
        <v>146</v>
      </c>
      <c r="O135">
        <v>142</v>
      </c>
      <c r="P135">
        <v>142</v>
      </c>
      <c r="Q135">
        <v>156</v>
      </c>
      <c r="R135">
        <v>150</v>
      </c>
      <c r="S135">
        <v>165</v>
      </c>
      <c r="T135">
        <v>168</v>
      </c>
      <c r="U135">
        <v>169</v>
      </c>
      <c r="V135">
        <v>171</v>
      </c>
      <c r="W135">
        <v>192</v>
      </c>
      <c r="X135">
        <v>186</v>
      </c>
      <c r="Y135">
        <v>148</v>
      </c>
      <c r="Z135">
        <v>126</v>
      </c>
      <c r="AA135">
        <v>132</v>
      </c>
      <c r="AB135">
        <v>120</v>
      </c>
      <c r="AC135">
        <v>112</v>
      </c>
      <c r="AD135">
        <v>126</v>
      </c>
      <c r="AE135">
        <v>111</v>
      </c>
    </row>
    <row r="136" spans="1:31">
      <c r="A136">
        <v>75</v>
      </c>
      <c r="B136">
        <v>81</v>
      </c>
      <c r="C136">
        <v>78</v>
      </c>
      <c r="D136">
        <v>81</v>
      </c>
      <c r="E136">
        <v>90</v>
      </c>
      <c r="F136">
        <v>96</v>
      </c>
      <c r="G136">
        <v>120</v>
      </c>
      <c r="H136">
        <v>120</v>
      </c>
      <c r="I136">
        <v>126</v>
      </c>
      <c r="J136">
        <v>129</v>
      </c>
      <c r="K136">
        <v>111</v>
      </c>
      <c r="L136">
        <v>114</v>
      </c>
      <c r="M136">
        <v>121</v>
      </c>
      <c r="N136">
        <v>138</v>
      </c>
      <c r="O136">
        <v>135</v>
      </c>
      <c r="P136">
        <v>126</v>
      </c>
      <c r="Q136">
        <v>141</v>
      </c>
      <c r="R136">
        <v>142</v>
      </c>
      <c r="S136">
        <v>150</v>
      </c>
      <c r="T136">
        <v>153</v>
      </c>
      <c r="U136">
        <v>130</v>
      </c>
      <c r="V136">
        <v>165</v>
      </c>
      <c r="W136">
        <v>178</v>
      </c>
      <c r="X136">
        <v>172</v>
      </c>
      <c r="Y136">
        <v>141</v>
      </c>
      <c r="Z136">
        <v>120</v>
      </c>
      <c r="AA136">
        <v>123</v>
      </c>
      <c r="AB136">
        <v>112</v>
      </c>
      <c r="AC136">
        <v>108</v>
      </c>
      <c r="AD136">
        <v>116</v>
      </c>
      <c r="AE136">
        <v>106</v>
      </c>
    </row>
    <row r="137" spans="1:31">
      <c r="A137">
        <v>81</v>
      </c>
      <c r="B137">
        <v>81</v>
      </c>
      <c r="C137">
        <v>81</v>
      </c>
      <c r="D137">
        <v>81</v>
      </c>
      <c r="E137">
        <v>90</v>
      </c>
      <c r="F137">
        <v>93</v>
      </c>
      <c r="G137">
        <v>114</v>
      </c>
      <c r="H137">
        <v>114</v>
      </c>
      <c r="I137">
        <v>108</v>
      </c>
      <c r="J137">
        <v>114</v>
      </c>
      <c r="K137">
        <v>103</v>
      </c>
      <c r="L137">
        <v>108</v>
      </c>
      <c r="M137">
        <v>114</v>
      </c>
      <c r="N137">
        <v>123</v>
      </c>
      <c r="O137">
        <v>126</v>
      </c>
      <c r="P137">
        <v>120</v>
      </c>
      <c r="Q137">
        <v>126</v>
      </c>
      <c r="R137">
        <v>129</v>
      </c>
      <c r="S137">
        <v>138</v>
      </c>
      <c r="T137">
        <v>144</v>
      </c>
      <c r="U137">
        <v>129</v>
      </c>
      <c r="V137">
        <v>151</v>
      </c>
      <c r="W137">
        <v>168</v>
      </c>
      <c r="X137">
        <v>162</v>
      </c>
      <c r="Y137">
        <v>132</v>
      </c>
      <c r="Z137">
        <v>109</v>
      </c>
      <c r="AA137">
        <v>112</v>
      </c>
      <c r="AB137">
        <v>105</v>
      </c>
      <c r="AC137">
        <v>104</v>
      </c>
      <c r="AD137">
        <v>107</v>
      </c>
      <c r="AE137">
        <v>101</v>
      </c>
    </row>
    <row r="138" spans="1:31">
      <c r="A138">
        <v>81</v>
      </c>
      <c r="B138">
        <v>81</v>
      </c>
      <c r="C138">
        <v>81</v>
      </c>
      <c r="D138">
        <v>84</v>
      </c>
      <c r="E138">
        <v>93</v>
      </c>
      <c r="F138">
        <v>93</v>
      </c>
      <c r="G138">
        <v>102</v>
      </c>
      <c r="H138">
        <v>108</v>
      </c>
      <c r="I138">
        <v>102</v>
      </c>
      <c r="J138">
        <v>105</v>
      </c>
      <c r="K138">
        <v>102</v>
      </c>
      <c r="L138">
        <v>106</v>
      </c>
      <c r="M138">
        <v>111</v>
      </c>
      <c r="N138">
        <v>117</v>
      </c>
      <c r="O138">
        <v>120</v>
      </c>
      <c r="P138">
        <v>114</v>
      </c>
      <c r="Q138">
        <v>120</v>
      </c>
      <c r="R138">
        <v>114</v>
      </c>
      <c r="S138">
        <v>126</v>
      </c>
      <c r="T138">
        <v>123</v>
      </c>
      <c r="U138">
        <v>127</v>
      </c>
      <c r="V138">
        <v>140</v>
      </c>
      <c r="W138">
        <v>146</v>
      </c>
      <c r="X138">
        <v>141</v>
      </c>
      <c r="Y138">
        <v>120</v>
      </c>
      <c r="Z138">
        <v>107</v>
      </c>
      <c r="AA138">
        <v>114</v>
      </c>
      <c r="AB138">
        <v>98</v>
      </c>
      <c r="AC138">
        <v>100</v>
      </c>
      <c r="AD138">
        <v>103</v>
      </c>
      <c r="AE138">
        <v>94</v>
      </c>
    </row>
    <row r="139" spans="1:31">
      <c r="A139">
        <v>93</v>
      </c>
      <c r="B139">
        <v>78</v>
      </c>
      <c r="C139">
        <v>93</v>
      </c>
      <c r="D139">
        <v>90</v>
      </c>
      <c r="E139">
        <v>93</v>
      </c>
      <c r="F139">
        <v>99</v>
      </c>
      <c r="G139">
        <v>108</v>
      </c>
      <c r="H139">
        <v>108</v>
      </c>
      <c r="I139">
        <v>108</v>
      </c>
      <c r="J139">
        <v>108</v>
      </c>
      <c r="K139">
        <v>104</v>
      </c>
      <c r="L139">
        <v>104</v>
      </c>
      <c r="M139">
        <v>109</v>
      </c>
      <c r="N139">
        <v>118</v>
      </c>
      <c r="O139">
        <v>123</v>
      </c>
      <c r="P139">
        <v>114</v>
      </c>
      <c r="Q139">
        <v>121</v>
      </c>
      <c r="R139">
        <v>110</v>
      </c>
      <c r="S139">
        <v>120</v>
      </c>
      <c r="T139">
        <v>120</v>
      </c>
      <c r="U139">
        <v>128</v>
      </c>
      <c r="V139">
        <v>138</v>
      </c>
      <c r="W139">
        <v>143</v>
      </c>
      <c r="X139">
        <v>136</v>
      </c>
      <c r="Y139">
        <v>122</v>
      </c>
      <c r="Z139">
        <v>108</v>
      </c>
      <c r="AA139">
        <v>114</v>
      </c>
      <c r="AB139">
        <v>102</v>
      </c>
      <c r="AC139">
        <v>106</v>
      </c>
      <c r="AD139">
        <v>108</v>
      </c>
      <c r="AE139">
        <v>99</v>
      </c>
    </row>
    <row r="140" spans="1:31">
      <c r="A140">
        <v>93</v>
      </c>
      <c r="B140">
        <v>78</v>
      </c>
      <c r="C140">
        <v>90</v>
      </c>
      <c r="D140">
        <v>87</v>
      </c>
      <c r="E140">
        <v>96</v>
      </c>
      <c r="F140">
        <v>98</v>
      </c>
      <c r="G140">
        <v>102</v>
      </c>
      <c r="H140">
        <v>106</v>
      </c>
      <c r="I140">
        <v>105</v>
      </c>
      <c r="J140">
        <v>102</v>
      </c>
      <c r="K140">
        <v>99</v>
      </c>
      <c r="L140">
        <v>101</v>
      </c>
      <c r="M140">
        <v>102</v>
      </c>
      <c r="N140">
        <v>108</v>
      </c>
      <c r="O140">
        <v>117</v>
      </c>
      <c r="P140">
        <v>107</v>
      </c>
      <c r="Q140">
        <v>117</v>
      </c>
      <c r="R140">
        <v>108</v>
      </c>
      <c r="S140">
        <v>120</v>
      </c>
      <c r="T140">
        <v>118</v>
      </c>
      <c r="U140">
        <v>120</v>
      </c>
      <c r="V140">
        <v>128</v>
      </c>
      <c r="W140">
        <v>132</v>
      </c>
      <c r="X140">
        <v>120</v>
      </c>
      <c r="Y140">
        <v>111</v>
      </c>
      <c r="Z140">
        <v>102</v>
      </c>
      <c r="AA140">
        <v>102</v>
      </c>
      <c r="AB140">
        <v>93</v>
      </c>
      <c r="AC140">
        <v>102</v>
      </c>
      <c r="AD140">
        <v>100</v>
      </c>
      <c r="AE140">
        <v>100</v>
      </c>
    </row>
    <row r="141" spans="1:31">
      <c r="A141">
        <v>102</v>
      </c>
      <c r="B141">
        <v>81</v>
      </c>
      <c r="C141">
        <v>87</v>
      </c>
      <c r="D141">
        <v>90</v>
      </c>
      <c r="E141">
        <v>91</v>
      </c>
      <c r="F141">
        <v>96</v>
      </c>
      <c r="G141">
        <v>99</v>
      </c>
      <c r="H141">
        <v>100</v>
      </c>
      <c r="I141">
        <v>102</v>
      </c>
      <c r="J141">
        <v>99</v>
      </c>
      <c r="K141">
        <v>96</v>
      </c>
      <c r="L141">
        <v>102</v>
      </c>
      <c r="M141">
        <v>99</v>
      </c>
      <c r="N141">
        <v>117</v>
      </c>
      <c r="O141">
        <v>110</v>
      </c>
      <c r="P141">
        <v>105</v>
      </c>
      <c r="Q141">
        <v>112</v>
      </c>
      <c r="R141">
        <v>109</v>
      </c>
      <c r="S141">
        <v>114</v>
      </c>
      <c r="T141">
        <v>118</v>
      </c>
      <c r="U141">
        <v>111</v>
      </c>
      <c r="V141">
        <v>150</v>
      </c>
      <c r="W141">
        <v>123</v>
      </c>
      <c r="X141">
        <v>106</v>
      </c>
      <c r="Y141">
        <v>108</v>
      </c>
      <c r="Z141">
        <v>100</v>
      </c>
      <c r="AA141">
        <v>0</v>
      </c>
      <c r="AB141">
        <v>90</v>
      </c>
      <c r="AC141">
        <v>99</v>
      </c>
      <c r="AD141">
        <v>96</v>
      </c>
      <c r="AE141">
        <v>97</v>
      </c>
    </row>
    <row r="142" spans="1:31">
      <c r="A142">
        <v>84</v>
      </c>
      <c r="B142">
        <v>72</v>
      </c>
      <c r="C142">
        <v>84</v>
      </c>
      <c r="D142">
        <v>81</v>
      </c>
      <c r="E142">
        <v>90</v>
      </c>
      <c r="F142">
        <v>91</v>
      </c>
      <c r="G142">
        <v>102</v>
      </c>
      <c r="I142">
        <v>102</v>
      </c>
      <c r="J142">
        <v>93</v>
      </c>
      <c r="K142">
        <v>100</v>
      </c>
      <c r="L142">
        <v>99</v>
      </c>
      <c r="M142">
        <v>108</v>
      </c>
      <c r="N142">
        <v>123</v>
      </c>
      <c r="O142">
        <v>107</v>
      </c>
      <c r="P142">
        <v>106</v>
      </c>
      <c r="Q142">
        <v>114</v>
      </c>
      <c r="R142">
        <v>0</v>
      </c>
      <c r="S142">
        <v>112</v>
      </c>
      <c r="T142">
        <v>117</v>
      </c>
      <c r="U142">
        <v>111</v>
      </c>
      <c r="V142">
        <v>145</v>
      </c>
      <c r="W142">
        <v>130</v>
      </c>
      <c r="X142">
        <v>122</v>
      </c>
      <c r="Y142">
        <v>100</v>
      </c>
      <c r="Z142">
        <v>92</v>
      </c>
      <c r="AA142">
        <v>87</v>
      </c>
      <c r="AB142">
        <v>87</v>
      </c>
      <c r="AC142">
        <v>96</v>
      </c>
      <c r="AD142">
        <v>99</v>
      </c>
      <c r="AE142">
        <v>87</v>
      </c>
    </row>
    <row r="143" spans="1:31">
      <c r="A143">
        <v>78</v>
      </c>
      <c r="B143">
        <v>72</v>
      </c>
      <c r="C143">
        <v>78</v>
      </c>
      <c r="D143">
        <v>78</v>
      </c>
      <c r="E143">
        <v>87</v>
      </c>
      <c r="F143">
        <v>92</v>
      </c>
      <c r="G143">
        <v>109</v>
      </c>
      <c r="I143">
        <v>99</v>
      </c>
      <c r="J143">
        <v>102</v>
      </c>
      <c r="K143">
        <v>99</v>
      </c>
      <c r="L143">
        <v>102</v>
      </c>
      <c r="M143">
        <v>117</v>
      </c>
      <c r="N143">
        <v>138</v>
      </c>
      <c r="O143">
        <v>120</v>
      </c>
      <c r="P143">
        <v>110</v>
      </c>
      <c r="Q143">
        <v>120</v>
      </c>
      <c r="R143">
        <v>0</v>
      </c>
      <c r="S143">
        <v>120</v>
      </c>
      <c r="T143">
        <v>123</v>
      </c>
      <c r="U143">
        <v>120</v>
      </c>
      <c r="V143">
        <v>174</v>
      </c>
      <c r="W143">
        <v>134</v>
      </c>
      <c r="X143">
        <v>132</v>
      </c>
      <c r="Y143">
        <v>108</v>
      </c>
      <c r="Z143">
        <v>96</v>
      </c>
      <c r="AA143">
        <v>90</v>
      </c>
      <c r="AB143">
        <v>87</v>
      </c>
      <c r="AC143">
        <v>90</v>
      </c>
      <c r="AD143">
        <v>102</v>
      </c>
      <c r="AE143">
        <v>91</v>
      </c>
    </row>
    <row r="144" spans="1:31">
      <c r="A144">
        <v>75</v>
      </c>
      <c r="B144">
        <v>72</v>
      </c>
      <c r="C144">
        <v>81</v>
      </c>
      <c r="D144">
        <v>81</v>
      </c>
      <c r="E144">
        <v>87</v>
      </c>
      <c r="F144">
        <v>97</v>
      </c>
      <c r="G144">
        <v>114</v>
      </c>
      <c r="I144">
        <v>102</v>
      </c>
      <c r="J144">
        <v>108</v>
      </c>
      <c r="K144">
        <v>108</v>
      </c>
      <c r="L144">
        <v>111</v>
      </c>
      <c r="M144">
        <v>132</v>
      </c>
      <c r="N144">
        <v>144</v>
      </c>
      <c r="O144">
        <v>138</v>
      </c>
      <c r="P144">
        <v>129</v>
      </c>
      <c r="Q144">
        <v>135</v>
      </c>
      <c r="R144">
        <v>132</v>
      </c>
      <c r="S144">
        <v>128</v>
      </c>
      <c r="T144">
        <v>136</v>
      </c>
      <c r="U144">
        <v>136</v>
      </c>
      <c r="V144">
        <v>168</v>
      </c>
      <c r="W144">
        <v>147</v>
      </c>
      <c r="X144">
        <v>147</v>
      </c>
      <c r="Y144">
        <v>120</v>
      </c>
      <c r="Z144">
        <v>100</v>
      </c>
      <c r="AA144">
        <v>90</v>
      </c>
      <c r="AB144">
        <v>85</v>
      </c>
      <c r="AC144">
        <v>87</v>
      </c>
      <c r="AD144">
        <v>107</v>
      </c>
      <c r="AE144">
        <v>90</v>
      </c>
    </row>
    <row r="145" spans="1:31">
      <c r="A145">
        <v>78</v>
      </c>
      <c r="B145">
        <v>72</v>
      </c>
      <c r="C145">
        <v>78</v>
      </c>
      <c r="D145">
        <v>81</v>
      </c>
      <c r="E145">
        <v>83</v>
      </c>
      <c r="F145">
        <v>93</v>
      </c>
      <c r="G145">
        <v>120</v>
      </c>
      <c r="H145">
        <v>138</v>
      </c>
      <c r="I145">
        <v>102</v>
      </c>
      <c r="J145">
        <v>111</v>
      </c>
      <c r="K145">
        <v>120</v>
      </c>
      <c r="L145">
        <v>117</v>
      </c>
      <c r="M145">
        <v>156</v>
      </c>
      <c r="N145">
        <v>147</v>
      </c>
      <c r="O145">
        <v>145</v>
      </c>
      <c r="P145">
        <v>132</v>
      </c>
      <c r="Q145">
        <v>138</v>
      </c>
      <c r="R145">
        <v>142</v>
      </c>
      <c r="S145">
        <v>138</v>
      </c>
      <c r="T145">
        <v>142</v>
      </c>
      <c r="U145">
        <v>151</v>
      </c>
      <c r="V145">
        <v>177</v>
      </c>
      <c r="W145">
        <v>165</v>
      </c>
      <c r="X145">
        <v>156</v>
      </c>
      <c r="Y145">
        <v>129</v>
      </c>
      <c r="Z145">
        <v>110</v>
      </c>
      <c r="AA145">
        <v>92</v>
      </c>
      <c r="AB145">
        <v>84</v>
      </c>
      <c r="AC145">
        <v>87</v>
      </c>
      <c r="AD145">
        <v>0</v>
      </c>
      <c r="AE145">
        <v>96</v>
      </c>
    </row>
    <row r="146" spans="1:31">
      <c r="A146">
        <v>78</v>
      </c>
      <c r="B146">
        <v>74</v>
      </c>
      <c r="C146">
        <v>75</v>
      </c>
      <c r="D146">
        <v>81</v>
      </c>
      <c r="E146">
        <v>92</v>
      </c>
      <c r="F146">
        <v>104</v>
      </c>
      <c r="G146">
        <v>118</v>
      </c>
      <c r="H146">
        <v>137</v>
      </c>
      <c r="I146">
        <v>99</v>
      </c>
      <c r="J146">
        <v>114</v>
      </c>
      <c r="K146">
        <v>123</v>
      </c>
      <c r="L146">
        <v>132</v>
      </c>
      <c r="M146">
        <v>156</v>
      </c>
      <c r="N146">
        <v>147</v>
      </c>
      <c r="O146">
        <v>144</v>
      </c>
      <c r="P146">
        <v>141</v>
      </c>
      <c r="Q146">
        <v>144</v>
      </c>
      <c r="R146">
        <v>147</v>
      </c>
      <c r="S146">
        <v>146</v>
      </c>
      <c r="T146">
        <v>152</v>
      </c>
      <c r="U146">
        <v>160</v>
      </c>
      <c r="V146">
        <v>180</v>
      </c>
      <c r="W146">
        <v>170</v>
      </c>
      <c r="X146">
        <v>153</v>
      </c>
      <c r="Y146">
        <v>132</v>
      </c>
      <c r="Z146">
        <v>0</v>
      </c>
      <c r="AA146">
        <v>102</v>
      </c>
      <c r="AB146">
        <v>83</v>
      </c>
      <c r="AC146">
        <v>84</v>
      </c>
      <c r="AD146">
        <v>111</v>
      </c>
      <c r="AE146">
        <v>98</v>
      </c>
    </row>
    <row r="147" spans="1:31">
      <c r="A147">
        <v>78</v>
      </c>
      <c r="B147">
        <v>72</v>
      </c>
      <c r="C147">
        <v>78</v>
      </c>
      <c r="D147">
        <v>81</v>
      </c>
      <c r="E147">
        <v>91</v>
      </c>
      <c r="F147">
        <v>102</v>
      </c>
      <c r="G147">
        <v>117</v>
      </c>
      <c r="H147">
        <v>132</v>
      </c>
      <c r="I147">
        <v>120</v>
      </c>
      <c r="J147">
        <v>117</v>
      </c>
      <c r="K147">
        <v>120</v>
      </c>
      <c r="L147">
        <v>129</v>
      </c>
      <c r="M147">
        <v>141</v>
      </c>
      <c r="N147">
        <v>150</v>
      </c>
      <c r="O147">
        <v>150</v>
      </c>
      <c r="P147">
        <v>139</v>
      </c>
      <c r="Q147">
        <v>138</v>
      </c>
      <c r="R147">
        <v>149</v>
      </c>
      <c r="S147">
        <v>150</v>
      </c>
      <c r="T147">
        <v>156</v>
      </c>
      <c r="U147">
        <v>163</v>
      </c>
      <c r="V147">
        <v>180</v>
      </c>
      <c r="W147">
        <v>170</v>
      </c>
      <c r="X147">
        <v>141</v>
      </c>
      <c r="Y147">
        <v>140</v>
      </c>
      <c r="Z147">
        <v>0</v>
      </c>
      <c r="AA147">
        <v>102</v>
      </c>
      <c r="AB147">
        <v>84</v>
      </c>
      <c r="AC147">
        <v>93</v>
      </c>
      <c r="AD147">
        <v>112</v>
      </c>
      <c r="AE147">
        <v>106</v>
      </c>
    </row>
    <row r="148" spans="1:31">
      <c r="A148">
        <v>87</v>
      </c>
      <c r="B148">
        <v>80</v>
      </c>
      <c r="C148">
        <v>78</v>
      </c>
      <c r="D148">
        <v>84</v>
      </c>
      <c r="E148">
        <v>90</v>
      </c>
      <c r="F148">
        <v>102</v>
      </c>
      <c r="G148">
        <v>114</v>
      </c>
      <c r="H148">
        <v>129</v>
      </c>
      <c r="I148">
        <v>114</v>
      </c>
      <c r="J148">
        <v>108</v>
      </c>
      <c r="K148">
        <v>117</v>
      </c>
      <c r="L148">
        <v>132</v>
      </c>
      <c r="M148">
        <v>135</v>
      </c>
      <c r="N148">
        <v>138</v>
      </c>
      <c r="O148">
        <v>0</v>
      </c>
      <c r="P148">
        <v>129</v>
      </c>
      <c r="Q148">
        <v>138</v>
      </c>
      <c r="R148">
        <v>141</v>
      </c>
      <c r="S148">
        <v>141</v>
      </c>
      <c r="T148">
        <v>138</v>
      </c>
      <c r="U148">
        <v>147</v>
      </c>
      <c r="V148">
        <v>208</v>
      </c>
      <c r="W148">
        <v>160</v>
      </c>
      <c r="X148">
        <v>0</v>
      </c>
      <c r="Y148">
        <v>128</v>
      </c>
      <c r="Z148">
        <v>0</v>
      </c>
      <c r="AA148">
        <v>102</v>
      </c>
      <c r="AB148">
        <v>90</v>
      </c>
      <c r="AC148">
        <v>102</v>
      </c>
      <c r="AD148">
        <v>108</v>
      </c>
      <c r="AE148">
        <v>108</v>
      </c>
    </row>
    <row r="149" spans="1:31">
      <c r="A149">
        <v>90</v>
      </c>
      <c r="B149">
        <v>83</v>
      </c>
      <c r="C149">
        <v>81</v>
      </c>
      <c r="D149">
        <v>87</v>
      </c>
      <c r="E149">
        <v>90</v>
      </c>
      <c r="F149">
        <v>109</v>
      </c>
      <c r="G149">
        <v>114</v>
      </c>
      <c r="H149">
        <v>120</v>
      </c>
      <c r="I149">
        <v>114</v>
      </c>
      <c r="J149">
        <v>111</v>
      </c>
      <c r="K149">
        <v>117</v>
      </c>
      <c r="L149">
        <v>132</v>
      </c>
      <c r="M149">
        <v>132</v>
      </c>
      <c r="N149">
        <v>126</v>
      </c>
      <c r="O149">
        <v>129</v>
      </c>
      <c r="P149">
        <v>123</v>
      </c>
      <c r="Q149">
        <v>0</v>
      </c>
      <c r="R149">
        <v>126</v>
      </c>
      <c r="S149">
        <v>126</v>
      </c>
      <c r="T149">
        <v>132</v>
      </c>
      <c r="U149">
        <v>138</v>
      </c>
      <c r="V149">
        <v>224</v>
      </c>
      <c r="W149">
        <v>141</v>
      </c>
      <c r="X149">
        <v>0</v>
      </c>
      <c r="Y149">
        <v>122</v>
      </c>
      <c r="Z149">
        <v>113</v>
      </c>
      <c r="AA149">
        <v>105</v>
      </c>
      <c r="AB149">
        <v>93</v>
      </c>
      <c r="AC149">
        <v>11</v>
      </c>
      <c r="AD149">
        <v>105</v>
      </c>
      <c r="AE149">
        <v>102</v>
      </c>
    </row>
    <row r="150" spans="1:31">
      <c r="A150">
        <v>93</v>
      </c>
      <c r="B150">
        <v>90</v>
      </c>
      <c r="C150">
        <v>93</v>
      </c>
      <c r="D150">
        <v>96</v>
      </c>
      <c r="E150">
        <v>99</v>
      </c>
      <c r="F150">
        <v>117</v>
      </c>
      <c r="G150">
        <v>111</v>
      </c>
      <c r="H150">
        <v>120</v>
      </c>
      <c r="I150">
        <v>111</v>
      </c>
      <c r="J150">
        <v>114</v>
      </c>
      <c r="K150">
        <v>117</v>
      </c>
      <c r="L150">
        <v>143</v>
      </c>
      <c r="M150">
        <v>126</v>
      </c>
      <c r="N150">
        <v>123</v>
      </c>
      <c r="O150">
        <v>132</v>
      </c>
      <c r="P150">
        <v>129</v>
      </c>
      <c r="Q150">
        <v>135</v>
      </c>
      <c r="R150">
        <v>123</v>
      </c>
      <c r="S150">
        <v>126</v>
      </c>
      <c r="T150">
        <v>129</v>
      </c>
      <c r="U150">
        <v>138</v>
      </c>
      <c r="V150">
        <v>213</v>
      </c>
      <c r="W150">
        <v>150</v>
      </c>
      <c r="X150">
        <v>156</v>
      </c>
      <c r="Y150">
        <v>121</v>
      </c>
      <c r="Z150">
        <v>120</v>
      </c>
      <c r="AA150">
        <v>111</v>
      </c>
      <c r="AB150">
        <v>99</v>
      </c>
      <c r="AC150">
        <v>106</v>
      </c>
      <c r="AD150">
        <v>108</v>
      </c>
      <c r="AE150">
        <v>108</v>
      </c>
    </row>
    <row r="151" spans="1:31">
      <c r="A151">
        <v>96</v>
      </c>
      <c r="B151">
        <v>90</v>
      </c>
      <c r="C151">
        <v>96</v>
      </c>
      <c r="D151">
        <v>99</v>
      </c>
      <c r="E151">
        <v>108</v>
      </c>
      <c r="F151">
        <v>129</v>
      </c>
      <c r="G151">
        <v>120</v>
      </c>
      <c r="H151">
        <v>126</v>
      </c>
      <c r="I151">
        <v>120</v>
      </c>
      <c r="J151">
        <v>123</v>
      </c>
      <c r="K151">
        <v>123</v>
      </c>
      <c r="L151">
        <v>144</v>
      </c>
      <c r="M151">
        <v>141</v>
      </c>
      <c r="N151">
        <v>132</v>
      </c>
      <c r="O151">
        <v>138</v>
      </c>
      <c r="P151">
        <v>141</v>
      </c>
      <c r="Q151">
        <v>132</v>
      </c>
      <c r="R151">
        <v>150</v>
      </c>
      <c r="S151">
        <v>141</v>
      </c>
      <c r="T151">
        <v>141</v>
      </c>
      <c r="U151">
        <v>150</v>
      </c>
      <c r="W151">
        <v>159</v>
      </c>
      <c r="X151">
        <v>162</v>
      </c>
      <c r="Y151">
        <v>131</v>
      </c>
      <c r="Z151">
        <v>127</v>
      </c>
      <c r="AA151">
        <v>120</v>
      </c>
      <c r="AB151">
        <v>108</v>
      </c>
      <c r="AC151">
        <v>113</v>
      </c>
      <c r="AD151">
        <v>111</v>
      </c>
      <c r="AE151">
        <v>114</v>
      </c>
    </row>
    <row r="152" spans="1:31">
      <c r="A152">
        <v>87</v>
      </c>
      <c r="B152">
        <v>86</v>
      </c>
      <c r="C152">
        <v>84</v>
      </c>
      <c r="D152">
        <v>96</v>
      </c>
      <c r="E152">
        <v>105</v>
      </c>
      <c r="F152">
        <v>132</v>
      </c>
      <c r="G152">
        <v>123</v>
      </c>
      <c r="H152">
        <v>126</v>
      </c>
      <c r="I152">
        <v>126</v>
      </c>
      <c r="J152">
        <v>120</v>
      </c>
      <c r="K152">
        <v>126</v>
      </c>
      <c r="L152">
        <v>156</v>
      </c>
      <c r="M152">
        <v>147</v>
      </c>
      <c r="N152">
        <v>135</v>
      </c>
      <c r="O152">
        <v>141</v>
      </c>
      <c r="P152">
        <v>144</v>
      </c>
      <c r="Q152">
        <v>138</v>
      </c>
      <c r="R152">
        <v>156</v>
      </c>
      <c r="S152">
        <v>159</v>
      </c>
      <c r="T152">
        <v>156</v>
      </c>
      <c r="U152">
        <v>159</v>
      </c>
      <c r="W152">
        <v>177</v>
      </c>
      <c r="X152">
        <v>168</v>
      </c>
      <c r="Y152">
        <v>140</v>
      </c>
      <c r="Z152">
        <v>132</v>
      </c>
      <c r="AA152">
        <v>126</v>
      </c>
      <c r="AB152">
        <v>114</v>
      </c>
      <c r="AC152">
        <v>117</v>
      </c>
      <c r="AD152">
        <v>108</v>
      </c>
      <c r="AE152">
        <v>123</v>
      </c>
    </row>
    <row r="153" spans="1:31">
      <c r="A153">
        <v>90</v>
      </c>
      <c r="B153">
        <v>86</v>
      </c>
      <c r="C153">
        <v>78</v>
      </c>
      <c r="D153">
        <v>96</v>
      </c>
      <c r="E153">
        <v>108</v>
      </c>
      <c r="F153">
        <v>138</v>
      </c>
      <c r="G153">
        <v>138</v>
      </c>
      <c r="H153">
        <v>135</v>
      </c>
      <c r="I153">
        <v>138</v>
      </c>
      <c r="J153">
        <v>135</v>
      </c>
      <c r="K153">
        <v>147</v>
      </c>
      <c r="L153">
        <v>156</v>
      </c>
      <c r="M153">
        <v>162</v>
      </c>
      <c r="N153">
        <v>150</v>
      </c>
      <c r="O153">
        <v>159</v>
      </c>
      <c r="P153">
        <v>168</v>
      </c>
      <c r="Q153">
        <v>159</v>
      </c>
      <c r="R153">
        <v>180</v>
      </c>
      <c r="S153">
        <v>168</v>
      </c>
      <c r="T153">
        <v>186</v>
      </c>
      <c r="U153">
        <v>189</v>
      </c>
      <c r="W153">
        <v>201</v>
      </c>
      <c r="X153">
        <v>180</v>
      </c>
      <c r="Y153">
        <v>168</v>
      </c>
      <c r="Z153">
        <v>140</v>
      </c>
      <c r="AA153">
        <v>132</v>
      </c>
      <c r="AB153">
        <v>117</v>
      </c>
      <c r="AC153">
        <v>120</v>
      </c>
      <c r="AD153">
        <v>117</v>
      </c>
      <c r="AE153">
        <v>132</v>
      </c>
    </row>
    <row r="154" spans="1:31">
      <c r="A154">
        <v>90</v>
      </c>
      <c r="B154">
        <v>91</v>
      </c>
      <c r="C154">
        <v>78</v>
      </c>
      <c r="D154">
        <v>99</v>
      </c>
      <c r="E154">
        <v>120</v>
      </c>
      <c r="F154">
        <v>139</v>
      </c>
      <c r="G154">
        <v>147</v>
      </c>
      <c r="H154">
        <v>150</v>
      </c>
      <c r="I154">
        <v>150</v>
      </c>
      <c r="J154">
        <v>150</v>
      </c>
      <c r="K154">
        <v>159</v>
      </c>
      <c r="L154">
        <v>165</v>
      </c>
      <c r="M154">
        <v>201</v>
      </c>
      <c r="N154">
        <v>177</v>
      </c>
      <c r="O154">
        <v>177</v>
      </c>
      <c r="P154">
        <v>186</v>
      </c>
      <c r="Q154">
        <v>180</v>
      </c>
      <c r="R154">
        <v>195</v>
      </c>
      <c r="S154">
        <v>192</v>
      </c>
      <c r="T154">
        <v>192</v>
      </c>
      <c r="U154">
        <v>210</v>
      </c>
      <c r="W154">
        <v>210</v>
      </c>
      <c r="X154">
        <v>192</v>
      </c>
      <c r="Y154">
        <v>182</v>
      </c>
      <c r="Z154">
        <v>159</v>
      </c>
      <c r="AA154">
        <v>147</v>
      </c>
      <c r="AB154">
        <v>126</v>
      </c>
      <c r="AC154">
        <v>133</v>
      </c>
      <c r="AD154">
        <v>120</v>
      </c>
      <c r="AE154">
        <v>141</v>
      </c>
    </row>
    <row r="155" spans="1:31">
      <c r="A155">
        <v>87</v>
      </c>
      <c r="B155">
        <v>87</v>
      </c>
      <c r="C155">
        <v>90</v>
      </c>
      <c r="D155">
        <v>99</v>
      </c>
      <c r="E155">
        <v>120</v>
      </c>
      <c r="F155">
        <v>138</v>
      </c>
      <c r="G155">
        <v>147</v>
      </c>
      <c r="H155">
        <v>156</v>
      </c>
      <c r="I155">
        <v>153</v>
      </c>
      <c r="J155">
        <v>153</v>
      </c>
      <c r="K155">
        <v>162</v>
      </c>
      <c r="L155">
        <v>170</v>
      </c>
      <c r="M155">
        <v>186</v>
      </c>
      <c r="N155">
        <v>180</v>
      </c>
      <c r="O155">
        <v>180</v>
      </c>
      <c r="P155">
        <v>186</v>
      </c>
      <c r="Q155">
        <v>177</v>
      </c>
      <c r="R155">
        <v>192</v>
      </c>
      <c r="S155">
        <v>192</v>
      </c>
      <c r="T155">
        <v>192</v>
      </c>
      <c r="U155">
        <v>207</v>
      </c>
      <c r="W155">
        <v>219</v>
      </c>
      <c r="X155">
        <v>182</v>
      </c>
      <c r="Y155">
        <v>187</v>
      </c>
      <c r="Z155">
        <v>156</v>
      </c>
      <c r="AA155">
        <v>150</v>
      </c>
      <c r="AB155">
        <v>132</v>
      </c>
      <c r="AC155">
        <v>141</v>
      </c>
      <c r="AD155">
        <v>123</v>
      </c>
      <c r="AE155">
        <v>138</v>
      </c>
    </row>
    <row r="157" spans="1:31">
      <c r="G157">
        <v>122.44</v>
      </c>
      <c r="H157">
        <v>12500</v>
      </c>
    </row>
    <row r="158" spans="1:31">
      <c r="G158">
        <f>G157*H157</f>
        <v>1530500</v>
      </c>
    </row>
    <row r="161" spans="1:9">
      <c r="A161">
        <v>152</v>
      </c>
      <c r="B161">
        <v>144</v>
      </c>
      <c r="C161">
        <v>116</v>
      </c>
      <c r="D161">
        <v>138</v>
      </c>
      <c r="E161">
        <v>145</v>
      </c>
      <c r="F161">
        <v>126</v>
      </c>
      <c r="G161">
        <v>116</v>
      </c>
      <c r="H161">
        <v>126</v>
      </c>
      <c r="I161">
        <v>112</v>
      </c>
    </row>
    <row r="162" spans="1:9">
      <c r="A162">
        <v>150</v>
      </c>
      <c r="B162">
        <v>139</v>
      </c>
      <c r="C162">
        <v>114</v>
      </c>
      <c r="D162">
        <v>122</v>
      </c>
      <c r="E162">
        <v>141</v>
      </c>
      <c r="F162">
        <v>120</v>
      </c>
      <c r="G162">
        <v>114</v>
      </c>
      <c r="H162">
        <v>124</v>
      </c>
      <c r="I162">
        <v>110</v>
      </c>
    </row>
    <row r="163" spans="1:9">
      <c r="A163">
        <v>147</v>
      </c>
      <c r="B163">
        <v>135</v>
      </c>
      <c r="C163">
        <v>115</v>
      </c>
      <c r="D163">
        <v>118</v>
      </c>
      <c r="E163">
        <v>132</v>
      </c>
      <c r="F163">
        <v>121</v>
      </c>
      <c r="G163">
        <v>112</v>
      </c>
      <c r="H163">
        <v>120</v>
      </c>
      <c r="I163">
        <v>111</v>
      </c>
    </row>
    <row r="164" spans="1:9">
      <c r="A164">
        <v>142</v>
      </c>
      <c r="B164">
        <v>134</v>
      </c>
      <c r="C164">
        <v>116</v>
      </c>
      <c r="D164">
        <v>116</v>
      </c>
      <c r="E164">
        <v>132</v>
      </c>
      <c r="F164">
        <v>124</v>
      </c>
      <c r="G164">
        <v>110</v>
      </c>
      <c r="H164">
        <v>117</v>
      </c>
      <c r="I164">
        <v>108</v>
      </c>
    </row>
    <row r="165" spans="1:9">
      <c r="A165">
        <v>138</v>
      </c>
      <c r="B165">
        <v>132</v>
      </c>
      <c r="C165">
        <v>117</v>
      </c>
      <c r="D165">
        <v>110</v>
      </c>
      <c r="E165">
        <v>126</v>
      </c>
      <c r="F165">
        <v>132</v>
      </c>
      <c r="G165">
        <v>111</v>
      </c>
      <c r="H165">
        <v>120</v>
      </c>
      <c r="I165">
        <v>109</v>
      </c>
    </row>
    <row r="166" spans="1:9">
      <c r="A166">
        <v>135</v>
      </c>
      <c r="B166">
        <v>130</v>
      </c>
      <c r="C166">
        <v>118</v>
      </c>
      <c r="D166">
        <v>108</v>
      </c>
      <c r="E166">
        <v>122</v>
      </c>
      <c r="F166">
        <v>141</v>
      </c>
      <c r="G166">
        <v>114</v>
      </c>
      <c r="H166">
        <v>123</v>
      </c>
      <c r="I166">
        <v>111</v>
      </c>
    </row>
    <row r="167" spans="1:9">
      <c r="A167">
        <v>130</v>
      </c>
      <c r="B167">
        <v>128</v>
      </c>
      <c r="C167">
        <v>118</v>
      </c>
      <c r="D167">
        <v>122</v>
      </c>
      <c r="E167">
        <v>126</v>
      </c>
      <c r="F167">
        <v>150</v>
      </c>
      <c r="G167">
        <v>122</v>
      </c>
      <c r="H167">
        <v>126</v>
      </c>
      <c r="I167">
        <v>114</v>
      </c>
    </row>
    <row r="168" spans="1:9">
      <c r="A168">
        <v>124</v>
      </c>
      <c r="B168">
        <v>130</v>
      </c>
      <c r="C168">
        <v>104</v>
      </c>
      <c r="D168">
        <v>120</v>
      </c>
      <c r="E168">
        <v>132</v>
      </c>
      <c r="F168">
        <v>132</v>
      </c>
      <c r="G168">
        <v>124</v>
      </c>
      <c r="H168">
        <v>122</v>
      </c>
      <c r="I168">
        <v>118</v>
      </c>
    </row>
    <row r="169" spans="1:9">
      <c r="A169">
        <v>117</v>
      </c>
      <c r="B169">
        <v>115</v>
      </c>
      <c r="C169">
        <v>92</v>
      </c>
      <c r="D169">
        <v>108</v>
      </c>
      <c r="E169">
        <v>110</v>
      </c>
      <c r="F169">
        <v>117</v>
      </c>
      <c r="G169">
        <v>115</v>
      </c>
      <c r="H169">
        <v>114</v>
      </c>
      <c r="I169">
        <v>116</v>
      </c>
    </row>
    <row r="170" spans="1:9">
      <c r="A170">
        <v>100</v>
      </c>
      <c r="B170">
        <v>107</v>
      </c>
      <c r="C170">
        <v>88</v>
      </c>
      <c r="D170">
        <v>100</v>
      </c>
      <c r="E170">
        <v>0</v>
      </c>
      <c r="F170">
        <v>98</v>
      </c>
      <c r="G170">
        <v>106</v>
      </c>
      <c r="H170">
        <v>106</v>
      </c>
      <c r="I170">
        <v>102</v>
      </c>
    </row>
    <row r="171" spans="1:9">
      <c r="A171">
        <v>102</v>
      </c>
      <c r="B171">
        <v>100</v>
      </c>
      <c r="C171">
        <v>86</v>
      </c>
      <c r="D171">
        <v>98</v>
      </c>
      <c r="E171">
        <v>88</v>
      </c>
      <c r="F171">
        <v>97</v>
      </c>
      <c r="G171">
        <v>106</v>
      </c>
      <c r="H171">
        <v>104</v>
      </c>
      <c r="I171">
        <v>94</v>
      </c>
    </row>
    <row r="172" spans="1:9">
      <c r="A172">
        <v>106</v>
      </c>
      <c r="B172">
        <v>117</v>
      </c>
      <c r="C172">
        <v>92</v>
      </c>
      <c r="D172">
        <v>98</v>
      </c>
      <c r="E172">
        <v>90</v>
      </c>
      <c r="F172">
        <v>95</v>
      </c>
      <c r="G172">
        <v>98</v>
      </c>
      <c r="H172">
        <v>108</v>
      </c>
      <c r="I172">
        <v>88</v>
      </c>
    </row>
    <row r="173" spans="1:9">
      <c r="A173">
        <v>117</v>
      </c>
      <c r="B173">
        <v>129</v>
      </c>
      <c r="C173">
        <v>98</v>
      </c>
      <c r="D173">
        <v>100</v>
      </c>
      <c r="E173">
        <v>90</v>
      </c>
      <c r="F173">
        <v>92</v>
      </c>
      <c r="G173">
        <v>93</v>
      </c>
      <c r="H173">
        <v>102</v>
      </c>
      <c r="I173">
        <v>90</v>
      </c>
    </row>
    <row r="174" spans="1:9">
      <c r="A174">
        <v>129</v>
      </c>
      <c r="B174">
        <v>134</v>
      </c>
      <c r="C174">
        <v>107</v>
      </c>
      <c r="D174">
        <v>108</v>
      </c>
      <c r="E174">
        <v>92</v>
      </c>
      <c r="F174">
        <v>90</v>
      </c>
      <c r="G174">
        <v>90</v>
      </c>
      <c r="H174">
        <v>0</v>
      </c>
      <c r="I174">
        <v>94</v>
      </c>
    </row>
    <row r="175" spans="1:9">
      <c r="A175">
        <v>132</v>
      </c>
      <c r="B175">
        <v>118</v>
      </c>
      <c r="C175">
        <v>108</v>
      </c>
      <c r="D175">
        <v>110</v>
      </c>
      <c r="E175">
        <v>98</v>
      </c>
      <c r="F175">
        <v>91</v>
      </c>
      <c r="G175">
        <v>92</v>
      </c>
      <c r="H175">
        <v>86</v>
      </c>
      <c r="I175">
        <v>98</v>
      </c>
    </row>
    <row r="176" spans="1:9">
      <c r="A176">
        <v>128</v>
      </c>
      <c r="B176">
        <v>117</v>
      </c>
      <c r="C176">
        <v>114</v>
      </c>
      <c r="D176">
        <v>110</v>
      </c>
      <c r="E176">
        <v>108</v>
      </c>
      <c r="F176">
        <v>90</v>
      </c>
      <c r="G176">
        <v>98</v>
      </c>
      <c r="H176">
        <v>98</v>
      </c>
      <c r="I176">
        <v>104</v>
      </c>
    </row>
    <row r="177" spans="1:9">
      <c r="A177">
        <v>126</v>
      </c>
      <c r="B177">
        <v>132</v>
      </c>
      <c r="C177">
        <v>118</v>
      </c>
      <c r="D177">
        <v>138</v>
      </c>
      <c r="E177">
        <v>108</v>
      </c>
      <c r="F177">
        <v>126</v>
      </c>
      <c r="G177">
        <v>104</v>
      </c>
      <c r="H177">
        <v>132</v>
      </c>
      <c r="I177">
        <v>110</v>
      </c>
    </row>
    <row r="178" spans="1:9">
      <c r="A178">
        <v>120</v>
      </c>
      <c r="B178">
        <v>114</v>
      </c>
      <c r="C178">
        <v>0</v>
      </c>
      <c r="D178">
        <v>136</v>
      </c>
      <c r="E178">
        <v>120</v>
      </c>
      <c r="F178">
        <v>132</v>
      </c>
      <c r="G178">
        <v>114</v>
      </c>
      <c r="H178">
        <v>132</v>
      </c>
      <c r="I178">
        <v>120</v>
      </c>
    </row>
    <row r="179" spans="1:9">
      <c r="A179">
        <v>138</v>
      </c>
      <c r="B179">
        <v>135</v>
      </c>
      <c r="C179">
        <v>152</v>
      </c>
      <c r="D179">
        <v>156</v>
      </c>
      <c r="E179">
        <v>132</v>
      </c>
      <c r="F179">
        <v>144</v>
      </c>
      <c r="G179">
        <v>128</v>
      </c>
      <c r="H179">
        <v>138</v>
      </c>
      <c r="I179">
        <v>126</v>
      </c>
    </row>
    <row r="180" spans="1:9">
      <c r="A180">
        <v>144</v>
      </c>
      <c r="B180">
        <v>147</v>
      </c>
      <c r="C180">
        <v>160</v>
      </c>
      <c r="D180">
        <v>164</v>
      </c>
      <c r="E180">
        <v>141</v>
      </c>
      <c r="F180">
        <v>144</v>
      </c>
      <c r="G180">
        <v>0</v>
      </c>
      <c r="H180">
        <v>138</v>
      </c>
      <c r="I180">
        <v>144</v>
      </c>
    </row>
    <row r="181" spans="1:9">
      <c r="A181">
        <v>144</v>
      </c>
      <c r="B181">
        <v>129</v>
      </c>
      <c r="C181">
        <v>162</v>
      </c>
      <c r="D181">
        <v>152</v>
      </c>
      <c r="E181">
        <v>141</v>
      </c>
      <c r="F181">
        <v>135</v>
      </c>
      <c r="G181">
        <v>156</v>
      </c>
      <c r="H181">
        <v>126</v>
      </c>
      <c r="I181">
        <v>136</v>
      </c>
    </row>
    <row r="182" spans="1:9">
      <c r="A182">
        <v>150</v>
      </c>
      <c r="B182">
        <v>141</v>
      </c>
      <c r="C182">
        <v>158</v>
      </c>
      <c r="D182">
        <v>152</v>
      </c>
      <c r="E182">
        <v>144</v>
      </c>
      <c r="F182">
        <v>126</v>
      </c>
      <c r="G182">
        <v>142</v>
      </c>
      <c r="H182">
        <v>120</v>
      </c>
      <c r="I182">
        <v>138</v>
      </c>
    </row>
    <row r="183" spans="1:9">
      <c r="A183">
        <v>146</v>
      </c>
      <c r="B183">
        <v>141</v>
      </c>
      <c r="C183">
        <v>174</v>
      </c>
      <c r="D183">
        <v>152</v>
      </c>
      <c r="E183">
        <v>144</v>
      </c>
      <c r="F183">
        <v>123</v>
      </c>
      <c r="G183">
        <v>134</v>
      </c>
      <c r="H183">
        <v>118</v>
      </c>
      <c r="I183">
        <v>138</v>
      </c>
    </row>
    <row r="184" spans="1:9">
      <c r="A184">
        <v>150</v>
      </c>
      <c r="B184">
        <v>126</v>
      </c>
      <c r="C184">
        <v>170</v>
      </c>
      <c r="D184">
        <v>146</v>
      </c>
      <c r="E184">
        <v>136</v>
      </c>
      <c r="F184">
        <v>121</v>
      </c>
      <c r="G184">
        <v>132</v>
      </c>
      <c r="H184">
        <v>114</v>
      </c>
      <c r="I184">
        <v>132</v>
      </c>
    </row>
    <row r="186" spans="1:9">
      <c r="C186">
        <v>25753</v>
      </c>
      <c r="G186">
        <v>58</v>
      </c>
    </row>
    <row r="187" spans="1:9">
      <c r="C187">
        <v>1.25</v>
      </c>
      <c r="G187">
        <v>12500</v>
      </c>
    </row>
    <row r="188" spans="1:9">
      <c r="C188">
        <f>C186*C187</f>
        <v>32191.25</v>
      </c>
      <c r="G188">
        <f>G187*G186</f>
        <v>725000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Q32"/>
  <sheetViews>
    <sheetView topLeftCell="A22" zoomScaleNormal="100" workbookViewId="0">
      <selection activeCell="Q30" sqref="Q30"/>
    </sheetView>
  </sheetViews>
  <sheetFormatPr defaultRowHeight="15"/>
  <cols>
    <col min="1" max="1025" width="8.7109375" customWidth="1"/>
  </cols>
  <sheetData>
    <row r="2" spans="3:17">
      <c r="E2" t="s">
        <v>3114</v>
      </c>
    </row>
    <row r="3" spans="3:17">
      <c r="C3">
        <v>34</v>
      </c>
      <c r="D3">
        <v>32</v>
      </c>
      <c r="E3">
        <v>48</v>
      </c>
      <c r="F3">
        <v>36</v>
      </c>
      <c r="G3">
        <v>12</v>
      </c>
      <c r="O3">
        <v>19</v>
      </c>
      <c r="Q3">
        <v>21</v>
      </c>
    </row>
    <row r="4" spans="3:17">
      <c r="C4">
        <v>36</v>
      </c>
      <c r="D4">
        <v>32</v>
      </c>
      <c r="E4">
        <v>44</v>
      </c>
      <c r="F4">
        <v>30</v>
      </c>
      <c r="G4">
        <v>12</v>
      </c>
      <c r="O4">
        <v>19</v>
      </c>
      <c r="Q4">
        <v>21</v>
      </c>
    </row>
    <row r="5" spans="3:17">
      <c r="C5">
        <v>38</v>
      </c>
      <c r="D5">
        <v>30</v>
      </c>
      <c r="E5">
        <v>40</v>
      </c>
      <c r="F5">
        <v>30</v>
      </c>
      <c r="G5">
        <v>11</v>
      </c>
      <c r="O5">
        <v>19</v>
      </c>
      <c r="Q5">
        <v>21</v>
      </c>
    </row>
    <row r="6" spans="3:17">
      <c r="C6">
        <v>40</v>
      </c>
      <c r="D6">
        <v>30</v>
      </c>
      <c r="E6">
        <v>44</v>
      </c>
      <c r="F6">
        <v>28</v>
      </c>
      <c r="G6">
        <v>11</v>
      </c>
      <c r="O6">
        <v>19</v>
      </c>
      <c r="Q6">
        <v>20</v>
      </c>
    </row>
    <row r="7" spans="3:17">
      <c r="C7">
        <v>42</v>
      </c>
      <c r="D7">
        <v>40</v>
      </c>
      <c r="E7">
        <v>54</v>
      </c>
      <c r="F7">
        <v>42</v>
      </c>
      <c r="G7">
        <v>11</v>
      </c>
      <c r="O7">
        <v>37</v>
      </c>
      <c r="Q7">
        <v>21</v>
      </c>
    </row>
    <row r="8" spans="3:17">
      <c r="C8">
        <v>54</v>
      </c>
      <c r="D8">
        <v>50</v>
      </c>
      <c r="E8">
        <v>56</v>
      </c>
      <c r="F8">
        <v>54</v>
      </c>
      <c r="G8">
        <v>9</v>
      </c>
      <c r="O8">
        <v>65</v>
      </c>
      <c r="Q8">
        <v>26</v>
      </c>
    </row>
    <row r="9" spans="3:17">
      <c r="C9">
        <v>60</v>
      </c>
      <c r="D9">
        <v>60</v>
      </c>
      <c r="E9">
        <v>60</v>
      </c>
      <c r="F9">
        <v>0</v>
      </c>
      <c r="G9">
        <v>7</v>
      </c>
      <c r="O9">
        <v>76</v>
      </c>
      <c r="Q9">
        <v>38</v>
      </c>
    </row>
    <row r="10" spans="3:17">
      <c r="C10">
        <v>70</v>
      </c>
      <c r="D10">
        <v>60</v>
      </c>
      <c r="E10">
        <v>64</v>
      </c>
      <c r="F10">
        <v>0</v>
      </c>
      <c r="G10">
        <v>7</v>
      </c>
      <c r="O10">
        <v>77</v>
      </c>
      <c r="Q10">
        <v>48</v>
      </c>
    </row>
    <row r="11" spans="3:17">
      <c r="C11">
        <v>64</v>
      </c>
      <c r="D11">
        <v>64</v>
      </c>
      <c r="E11">
        <v>66</v>
      </c>
      <c r="F11">
        <v>72</v>
      </c>
      <c r="G11">
        <v>8</v>
      </c>
      <c r="O11">
        <v>76</v>
      </c>
      <c r="Q11">
        <v>58</v>
      </c>
    </row>
    <row r="12" spans="3:17">
      <c r="C12">
        <v>62</v>
      </c>
      <c r="D12">
        <v>62</v>
      </c>
      <c r="E12">
        <v>60</v>
      </c>
      <c r="F12">
        <v>64</v>
      </c>
      <c r="G12">
        <v>9</v>
      </c>
      <c r="O12">
        <v>73</v>
      </c>
      <c r="Q12">
        <v>59</v>
      </c>
    </row>
    <row r="13" spans="3:17">
      <c r="C13">
        <v>60</v>
      </c>
      <c r="D13">
        <v>50</v>
      </c>
      <c r="E13">
        <v>50</v>
      </c>
      <c r="F13">
        <v>59</v>
      </c>
      <c r="G13">
        <v>11</v>
      </c>
      <c r="O13">
        <v>66</v>
      </c>
      <c r="Q13">
        <v>59</v>
      </c>
    </row>
    <row r="14" spans="3:17">
      <c r="C14">
        <v>54</v>
      </c>
      <c r="D14">
        <v>54</v>
      </c>
      <c r="E14">
        <v>46</v>
      </c>
      <c r="F14">
        <v>54</v>
      </c>
      <c r="G14">
        <v>15</v>
      </c>
      <c r="O14">
        <v>52</v>
      </c>
      <c r="Q14">
        <v>57</v>
      </c>
    </row>
    <row r="15" spans="3:17">
      <c r="C15">
        <v>48</v>
      </c>
      <c r="D15">
        <v>52</v>
      </c>
      <c r="E15">
        <v>42</v>
      </c>
      <c r="F15">
        <v>46</v>
      </c>
      <c r="G15">
        <v>16</v>
      </c>
      <c r="O15">
        <v>44</v>
      </c>
      <c r="Q15">
        <v>49</v>
      </c>
    </row>
    <row r="16" spans="3:17">
      <c r="C16">
        <v>44</v>
      </c>
      <c r="D16">
        <v>44</v>
      </c>
      <c r="E16">
        <v>40</v>
      </c>
      <c r="F16">
        <v>34</v>
      </c>
      <c r="G16">
        <v>19</v>
      </c>
      <c r="O16">
        <v>36</v>
      </c>
      <c r="Q16">
        <v>45</v>
      </c>
    </row>
    <row r="17" spans="3:17">
      <c r="C17">
        <v>36</v>
      </c>
      <c r="D17">
        <v>40</v>
      </c>
      <c r="E17">
        <v>40</v>
      </c>
      <c r="F17">
        <v>32</v>
      </c>
      <c r="G17">
        <v>19</v>
      </c>
      <c r="O17">
        <v>26</v>
      </c>
      <c r="Q17">
        <v>42</v>
      </c>
    </row>
    <row r="18" spans="3:17">
      <c r="C18">
        <v>34</v>
      </c>
      <c r="D18">
        <v>36</v>
      </c>
      <c r="E18">
        <v>38</v>
      </c>
      <c r="F18">
        <v>34</v>
      </c>
      <c r="G18">
        <v>20</v>
      </c>
      <c r="O18">
        <v>30</v>
      </c>
      <c r="Q18">
        <v>40</v>
      </c>
    </row>
    <row r="19" spans="3:17">
      <c r="C19">
        <v>32</v>
      </c>
      <c r="D19">
        <v>34</v>
      </c>
      <c r="E19">
        <v>36</v>
      </c>
      <c r="F19">
        <v>36</v>
      </c>
      <c r="G19">
        <v>22</v>
      </c>
      <c r="O19">
        <v>39</v>
      </c>
      <c r="Q19">
        <v>41</v>
      </c>
    </row>
    <row r="20" spans="3:17">
      <c r="C20">
        <v>34</v>
      </c>
      <c r="D20">
        <v>36</v>
      </c>
      <c r="E20">
        <v>40</v>
      </c>
      <c r="F20">
        <v>40</v>
      </c>
      <c r="G20">
        <v>27</v>
      </c>
      <c r="O20">
        <v>48</v>
      </c>
      <c r="Q20">
        <v>45</v>
      </c>
    </row>
    <row r="21" spans="3:17">
      <c r="C21">
        <v>38</v>
      </c>
      <c r="D21">
        <v>48</v>
      </c>
      <c r="E21">
        <v>46</v>
      </c>
      <c r="F21">
        <v>50</v>
      </c>
      <c r="G21">
        <v>32</v>
      </c>
      <c r="O21">
        <v>57</v>
      </c>
      <c r="Q21">
        <v>45</v>
      </c>
    </row>
    <row r="22" spans="3:17">
      <c r="C22">
        <v>42</v>
      </c>
      <c r="D22">
        <v>50</v>
      </c>
      <c r="E22">
        <v>50</v>
      </c>
      <c r="F22">
        <v>54</v>
      </c>
      <c r="G22">
        <v>32</v>
      </c>
      <c r="O22">
        <v>48</v>
      </c>
      <c r="Q22">
        <v>41</v>
      </c>
    </row>
    <row r="23" spans="3:17">
      <c r="C23">
        <v>46</v>
      </c>
      <c r="D23">
        <v>48</v>
      </c>
      <c r="E23">
        <v>0</v>
      </c>
      <c r="F23">
        <v>48</v>
      </c>
      <c r="G23">
        <v>34</v>
      </c>
      <c r="O23">
        <v>47</v>
      </c>
      <c r="Q23">
        <v>35</v>
      </c>
    </row>
    <row r="24" spans="3:17">
      <c r="C24">
        <v>38</v>
      </c>
      <c r="D24">
        <v>44</v>
      </c>
      <c r="E24">
        <v>76</v>
      </c>
      <c r="F24">
        <v>40</v>
      </c>
      <c r="G24">
        <v>24</v>
      </c>
      <c r="O24">
        <v>30</v>
      </c>
      <c r="Q24">
        <v>30</v>
      </c>
    </row>
    <row r="25" spans="3:17">
      <c r="C25">
        <v>36</v>
      </c>
      <c r="D25">
        <v>40</v>
      </c>
      <c r="E25">
        <v>62</v>
      </c>
      <c r="F25">
        <v>38</v>
      </c>
      <c r="G25">
        <v>18</v>
      </c>
      <c r="O25">
        <v>27</v>
      </c>
      <c r="Q25">
        <v>26</v>
      </c>
    </row>
    <row r="26" spans="3:17">
      <c r="C26">
        <v>36</v>
      </c>
      <c r="D26">
        <v>38</v>
      </c>
      <c r="E26">
        <v>58</v>
      </c>
      <c r="F26">
        <v>38</v>
      </c>
      <c r="G26">
        <v>15</v>
      </c>
      <c r="O26">
        <v>25</v>
      </c>
      <c r="Q26">
        <v>22</v>
      </c>
    </row>
    <row r="27" spans="3:17">
      <c r="E27">
        <f>SUM(E3:E26)</f>
        <v>1160</v>
      </c>
      <c r="G27">
        <f>SUM(G3:G26)</f>
        <v>401</v>
      </c>
      <c r="O27">
        <f>SUM(O3:O26)</f>
        <v>1055</v>
      </c>
      <c r="Q27">
        <f>SUM(Q3:Q26)</f>
        <v>910</v>
      </c>
    </row>
    <row r="28" spans="3:17">
      <c r="E28">
        <f>E27/24</f>
        <v>48.333333333333336</v>
      </c>
      <c r="G28">
        <f>G27/24</f>
        <v>16.708333333333332</v>
      </c>
      <c r="O28">
        <f>O27/24</f>
        <v>43.958333333333336</v>
      </c>
      <c r="Q28">
        <f>Q27/24</f>
        <v>37.916666666666664</v>
      </c>
    </row>
    <row r="29" spans="3:17">
      <c r="D29">
        <v>44.488999999999997</v>
      </c>
      <c r="Q29">
        <f>Q28*10000</f>
        <v>379166.66666666663</v>
      </c>
    </row>
    <row r="30" spans="3:17">
      <c r="G30">
        <f>G28*10000</f>
        <v>167083.33333333331</v>
      </c>
      <c r="Q30">
        <f>Q29*1.1</f>
        <v>417083.33333333331</v>
      </c>
    </row>
    <row r="32" spans="3:17">
      <c r="E32">
        <f>E28*F32</f>
        <v>580000</v>
      </c>
      <c r="F32">
        <v>12000</v>
      </c>
      <c r="G32">
        <f>D29*F32</f>
        <v>533868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I92"/>
  <sheetViews>
    <sheetView topLeftCell="F41" zoomScaleNormal="100" workbookViewId="0">
      <selection activeCell="AH59" sqref="AH59"/>
    </sheetView>
  </sheetViews>
  <sheetFormatPr defaultRowHeight="15"/>
  <cols>
    <col min="1" max="1" width="8.7109375" customWidth="1"/>
    <col min="2" max="28" width="6" customWidth="1"/>
    <col min="29" max="29" width="4.5703125" customWidth="1"/>
    <col min="30" max="30" width="5.28515625" customWidth="1"/>
    <col min="31" max="32" width="6" customWidth="1"/>
    <col min="33" max="1025" width="8.7109375" customWidth="1"/>
  </cols>
  <sheetData>
    <row r="1" spans="2:32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</row>
    <row r="2" spans="2:32">
      <c r="B2">
        <v>57</v>
      </c>
      <c r="C2">
        <v>99</v>
      </c>
      <c r="D2">
        <v>67</v>
      </c>
    </row>
    <row r="3" spans="2:32">
      <c r="B3">
        <v>57</v>
      </c>
      <c r="C3">
        <v>94</v>
      </c>
      <c r="D3">
        <v>65</v>
      </c>
    </row>
    <row r="4" spans="2:32">
      <c r="B4">
        <v>51</v>
      </c>
      <c r="C4">
        <v>90</v>
      </c>
      <c r="D4">
        <v>63</v>
      </c>
    </row>
    <row r="5" spans="2:32">
      <c r="B5">
        <v>51</v>
      </c>
      <c r="C5">
        <v>84</v>
      </c>
      <c r="D5">
        <v>60</v>
      </c>
    </row>
    <row r="6" spans="2:32">
      <c r="B6">
        <v>51</v>
      </c>
      <c r="C6">
        <v>78</v>
      </c>
      <c r="D6">
        <v>60</v>
      </c>
    </row>
    <row r="7" spans="2:32">
      <c r="B7">
        <v>57</v>
      </c>
      <c r="C7">
        <v>70</v>
      </c>
      <c r="D7">
        <v>58</v>
      </c>
    </row>
    <row r="8" spans="2:32">
      <c r="B8">
        <v>63</v>
      </c>
      <c r="C8">
        <v>65</v>
      </c>
      <c r="D8">
        <v>58</v>
      </c>
    </row>
    <row r="9" spans="2:32">
      <c r="B9">
        <v>54</v>
      </c>
      <c r="C9">
        <v>68</v>
      </c>
      <c r="D9">
        <v>57</v>
      </c>
    </row>
    <row r="10" spans="2:32">
      <c r="B10">
        <v>53</v>
      </c>
      <c r="C10">
        <v>64</v>
      </c>
      <c r="D10">
        <v>52</v>
      </c>
    </row>
    <row r="11" spans="2:32">
      <c r="B11">
        <v>51</v>
      </c>
      <c r="C11">
        <v>66</v>
      </c>
      <c r="D11">
        <v>51</v>
      </c>
    </row>
    <row r="12" spans="2:32">
      <c r="B12">
        <v>46</v>
      </c>
      <c r="C12">
        <v>64</v>
      </c>
      <c r="D12">
        <v>52</v>
      </c>
    </row>
    <row r="13" spans="2:32">
      <c r="B13">
        <v>47</v>
      </c>
      <c r="C13">
        <v>70</v>
      </c>
      <c r="D13">
        <v>51</v>
      </c>
    </row>
    <row r="14" spans="2:32">
      <c r="B14">
        <v>44</v>
      </c>
      <c r="C14">
        <v>81</v>
      </c>
      <c r="D14">
        <v>41</v>
      </c>
    </row>
    <row r="15" spans="2:32">
      <c r="B15">
        <v>46</v>
      </c>
      <c r="C15">
        <v>88</v>
      </c>
      <c r="D15">
        <v>41</v>
      </c>
    </row>
    <row r="16" spans="2:32">
      <c r="B16">
        <v>47</v>
      </c>
      <c r="C16">
        <v>88</v>
      </c>
      <c r="D16">
        <v>41</v>
      </c>
    </row>
    <row r="17" spans="2:35">
      <c r="B17">
        <v>51</v>
      </c>
      <c r="C17">
        <v>83</v>
      </c>
      <c r="D17">
        <v>41</v>
      </c>
    </row>
    <row r="18" spans="2:35">
      <c r="B18">
        <v>56</v>
      </c>
      <c r="C18">
        <v>78</v>
      </c>
      <c r="D18">
        <v>41</v>
      </c>
    </row>
    <row r="19" spans="2:35">
      <c r="B19">
        <v>58</v>
      </c>
      <c r="C19">
        <v>68</v>
      </c>
      <c r="D19">
        <v>45</v>
      </c>
    </row>
    <row r="20" spans="2:35">
      <c r="B20">
        <v>60</v>
      </c>
      <c r="C20">
        <v>71</v>
      </c>
      <c r="D20">
        <v>49</v>
      </c>
    </row>
    <row r="21" spans="2:35">
      <c r="B21">
        <v>64</v>
      </c>
      <c r="C21">
        <v>102</v>
      </c>
      <c r="D21">
        <v>52</v>
      </c>
    </row>
    <row r="22" spans="2:35">
      <c r="B22">
        <v>66</v>
      </c>
      <c r="C22">
        <v>99</v>
      </c>
      <c r="D22">
        <v>53</v>
      </c>
    </row>
    <row r="23" spans="2:35">
      <c r="B23">
        <v>70</v>
      </c>
      <c r="C23">
        <v>110</v>
      </c>
      <c r="D23">
        <v>55</v>
      </c>
    </row>
    <row r="24" spans="2:35">
      <c r="B24">
        <v>69</v>
      </c>
      <c r="C24">
        <v>112</v>
      </c>
      <c r="D24">
        <v>53</v>
      </c>
    </row>
    <row r="25" spans="2:35">
      <c r="B25">
        <v>69</v>
      </c>
      <c r="C25">
        <v>108</v>
      </c>
      <c r="D25">
        <v>51</v>
      </c>
    </row>
    <row r="26" spans="2:35">
      <c r="B26">
        <f t="shared" ref="B26:AF26" si="0">SUM(B2:B25)</f>
        <v>1338</v>
      </c>
      <c r="C26">
        <f t="shared" si="0"/>
        <v>2000</v>
      </c>
      <c r="D26">
        <f t="shared" si="0"/>
        <v>1257</v>
      </c>
      <c r="E26">
        <f t="shared" si="0"/>
        <v>0</v>
      </c>
      <c r="F26">
        <f t="shared" si="0"/>
        <v>0</v>
      </c>
      <c r="G26">
        <f t="shared" si="0"/>
        <v>0</v>
      </c>
      <c r="H26">
        <f t="shared" si="0"/>
        <v>0</v>
      </c>
      <c r="I26">
        <f t="shared" si="0"/>
        <v>0</v>
      </c>
      <c r="J26">
        <f t="shared" si="0"/>
        <v>0</v>
      </c>
      <c r="K26">
        <f t="shared" si="0"/>
        <v>0</v>
      </c>
      <c r="L26">
        <f t="shared" si="0"/>
        <v>0</v>
      </c>
      <c r="M26">
        <f t="shared" si="0"/>
        <v>0</v>
      </c>
      <c r="N26">
        <f t="shared" si="0"/>
        <v>0</v>
      </c>
      <c r="O26">
        <f t="shared" si="0"/>
        <v>0</v>
      </c>
      <c r="P26">
        <f t="shared" si="0"/>
        <v>0</v>
      </c>
      <c r="Q26">
        <f t="shared" si="0"/>
        <v>0</v>
      </c>
      <c r="R26">
        <f t="shared" si="0"/>
        <v>0</v>
      </c>
      <c r="S26">
        <f t="shared" si="0"/>
        <v>0</v>
      </c>
      <c r="T26">
        <f t="shared" si="0"/>
        <v>0</v>
      </c>
      <c r="U26">
        <f t="shared" si="0"/>
        <v>0</v>
      </c>
      <c r="V26">
        <f t="shared" si="0"/>
        <v>0</v>
      </c>
      <c r="W26">
        <f t="shared" si="0"/>
        <v>0</v>
      </c>
      <c r="X26">
        <f t="shared" si="0"/>
        <v>0</v>
      </c>
      <c r="Y26">
        <f t="shared" si="0"/>
        <v>0</v>
      </c>
      <c r="Z26">
        <f t="shared" si="0"/>
        <v>0</v>
      </c>
      <c r="AA26">
        <f t="shared" si="0"/>
        <v>0</v>
      </c>
      <c r="AB26">
        <f t="shared" si="0"/>
        <v>0</v>
      </c>
      <c r="AC26">
        <f t="shared" si="0"/>
        <v>0</v>
      </c>
      <c r="AD26">
        <f t="shared" si="0"/>
        <v>0</v>
      </c>
      <c r="AE26">
        <f t="shared" si="0"/>
        <v>0</v>
      </c>
      <c r="AF26">
        <f t="shared" si="0"/>
        <v>0</v>
      </c>
      <c r="AG26">
        <f>SUM(B26:AF26)</f>
        <v>4595</v>
      </c>
      <c r="AH26">
        <f>AG26/31</f>
        <v>148.2258064516129</v>
      </c>
      <c r="AI26">
        <v>10</v>
      </c>
    </row>
    <row r="27" spans="2:35">
      <c r="B27">
        <f t="shared" ref="B27:AF27" si="1">B26/24</f>
        <v>55.75</v>
      </c>
      <c r="C27">
        <f t="shared" si="1"/>
        <v>83.333333333333329</v>
      </c>
      <c r="D27">
        <f t="shared" si="1"/>
        <v>52.375</v>
      </c>
      <c r="E27">
        <f t="shared" si="1"/>
        <v>0</v>
      </c>
      <c r="F27">
        <f t="shared" si="1"/>
        <v>0</v>
      </c>
      <c r="G27">
        <f t="shared" si="1"/>
        <v>0</v>
      </c>
      <c r="H27">
        <f t="shared" si="1"/>
        <v>0</v>
      </c>
      <c r="I27">
        <f t="shared" si="1"/>
        <v>0</v>
      </c>
      <c r="J27">
        <f t="shared" si="1"/>
        <v>0</v>
      </c>
      <c r="K27">
        <f t="shared" si="1"/>
        <v>0</v>
      </c>
      <c r="L27">
        <f t="shared" si="1"/>
        <v>0</v>
      </c>
      <c r="M27">
        <f t="shared" si="1"/>
        <v>0</v>
      </c>
      <c r="N27">
        <f t="shared" si="1"/>
        <v>0</v>
      </c>
      <c r="O27">
        <f t="shared" si="1"/>
        <v>0</v>
      </c>
      <c r="P27">
        <f t="shared" si="1"/>
        <v>0</v>
      </c>
      <c r="Q27">
        <f t="shared" si="1"/>
        <v>0</v>
      </c>
      <c r="R27">
        <f t="shared" si="1"/>
        <v>0</v>
      </c>
      <c r="S27">
        <f t="shared" si="1"/>
        <v>0</v>
      </c>
      <c r="T27">
        <f t="shared" si="1"/>
        <v>0</v>
      </c>
      <c r="U27">
        <f t="shared" si="1"/>
        <v>0</v>
      </c>
      <c r="V27">
        <f t="shared" si="1"/>
        <v>0</v>
      </c>
      <c r="W27">
        <f t="shared" si="1"/>
        <v>0</v>
      </c>
      <c r="X27">
        <f t="shared" si="1"/>
        <v>0</v>
      </c>
      <c r="Y27">
        <f t="shared" si="1"/>
        <v>0</v>
      </c>
      <c r="Z27">
        <f t="shared" si="1"/>
        <v>0</v>
      </c>
      <c r="AA27">
        <f t="shared" si="1"/>
        <v>0</v>
      </c>
      <c r="AB27">
        <f t="shared" si="1"/>
        <v>0</v>
      </c>
      <c r="AC27">
        <f t="shared" si="1"/>
        <v>0</v>
      </c>
      <c r="AD27">
        <f t="shared" si="1"/>
        <v>0</v>
      </c>
      <c r="AE27">
        <f t="shared" si="1"/>
        <v>0</v>
      </c>
      <c r="AF27">
        <f t="shared" si="1"/>
        <v>0</v>
      </c>
      <c r="AG27">
        <f>SUM(B27:AF27)</f>
        <v>191.45833333333331</v>
      </c>
      <c r="AH27">
        <f>AG27/4</f>
        <v>47.864583333333329</v>
      </c>
      <c r="AI27">
        <f>AH27*12000</f>
        <v>574375</v>
      </c>
    </row>
    <row r="28" spans="2:35">
      <c r="B28" t="s">
        <v>3115</v>
      </c>
    </row>
    <row r="30" spans="2:35">
      <c r="B30">
        <v>1</v>
      </c>
      <c r="C30">
        <v>2</v>
      </c>
      <c r="D30">
        <v>3</v>
      </c>
      <c r="E30">
        <v>4</v>
      </c>
      <c r="F30">
        <v>5</v>
      </c>
      <c r="G30">
        <v>6</v>
      </c>
      <c r="H30">
        <v>7</v>
      </c>
      <c r="I30">
        <v>8</v>
      </c>
      <c r="J30">
        <v>9</v>
      </c>
      <c r="K30">
        <v>10</v>
      </c>
      <c r="L30">
        <v>11</v>
      </c>
      <c r="M30">
        <v>12</v>
      </c>
      <c r="N30">
        <v>13</v>
      </c>
      <c r="O30">
        <v>14</v>
      </c>
      <c r="P30">
        <v>15</v>
      </c>
      <c r="Q30">
        <v>16</v>
      </c>
      <c r="R30">
        <v>17</v>
      </c>
      <c r="S30">
        <v>18</v>
      </c>
      <c r="T30">
        <v>19</v>
      </c>
      <c r="U30">
        <v>20</v>
      </c>
      <c r="V30">
        <v>21</v>
      </c>
      <c r="W30">
        <v>22</v>
      </c>
      <c r="X30">
        <v>23</v>
      </c>
      <c r="Y30">
        <v>24</v>
      </c>
      <c r="Z30">
        <v>25</v>
      </c>
      <c r="AA30">
        <v>26</v>
      </c>
      <c r="AB30">
        <v>27</v>
      </c>
      <c r="AC30">
        <v>28</v>
      </c>
      <c r="AD30">
        <v>29</v>
      </c>
      <c r="AE30">
        <v>30</v>
      </c>
      <c r="AF30">
        <v>31</v>
      </c>
    </row>
    <row r="31" spans="2:35">
      <c r="B31">
        <v>50</v>
      </c>
      <c r="C31">
        <v>87</v>
      </c>
      <c r="D31">
        <v>67</v>
      </c>
    </row>
    <row r="32" spans="2:35">
      <c r="B32">
        <v>50</v>
      </c>
      <c r="C32">
        <v>84</v>
      </c>
      <c r="D32">
        <v>65</v>
      </c>
    </row>
    <row r="33" spans="2:4">
      <c r="B33">
        <v>46</v>
      </c>
      <c r="C33">
        <v>80</v>
      </c>
      <c r="D33">
        <v>63</v>
      </c>
    </row>
    <row r="34" spans="2:4">
      <c r="B34">
        <v>46</v>
      </c>
      <c r="C34">
        <v>74</v>
      </c>
      <c r="D34">
        <v>60</v>
      </c>
    </row>
    <row r="35" spans="2:4">
      <c r="B35">
        <v>46</v>
      </c>
      <c r="C35">
        <v>70</v>
      </c>
      <c r="D35">
        <v>60</v>
      </c>
    </row>
    <row r="36" spans="2:4">
      <c r="B36">
        <v>57</v>
      </c>
      <c r="C36">
        <v>65</v>
      </c>
      <c r="D36">
        <v>58</v>
      </c>
    </row>
    <row r="37" spans="2:4">
      <c r="B37">
        <v>60</v>
      </c>
      <c r="C37">
        <v>60</v>
      </c>
      <c r="D37">
        <v>58</v>
      </c>
    </row>
    <row r="38" spans="2:4">
      <c r="B38">
        <v>54</v>
      </c>
      <c r="C38">
        <v>64</v>
      </c>
      <c r="D38">
        <v>57</v>
      </c>
    </row>
    <row r="39" spans="2:4">
      <c r="B39">
        <v>57</v>
      </c>
      <c r="C39">
        <v>62</v>
      </c>
      <c r="D39">
        <v>52</v>
      </c>
    </row>
    <row r="40" spans="2:4">
      <c r="B40">
        <v>50</v>
      </c>
      <c r="C40">
        <v>60</v>
      </c>
      <c r="D40">
        <v>51</v>
      </c>
    </row>
    <row r="41" spans="2:4">
      <c r="B41">
        <v>44</v>
      </c>
      <c r="C41">
        <v>56</v>
      </c>
      <c r="D41">
        <v>52</v>
      </c>
    </row>
    <row r="42" spans="2:4">
      <c r="B42">
        <v>42</v>
      </c>
      <c r="C42">
        <v>54</v>
      </c>
      <c r="D42">
        <v>51</v>
      </c>
    </row>
    <row r="43" spans="2:4">
      <c r="B43">
        <v>40</v>
      </c>
      <c r="C43">
        <v>59</v>
      </c>
      <c r="D43">
        <v>41</v>
      </c>
    </row>
    <row r="44" spans="2:4">
      <c r="B44">
        <v>40</v>
      </c>
      <c r="C44">
        <v>66</v>
      </c>
      <c r="D44">
        <v>41</v>
      </c>
    </row>
    <row r="45" spans="2:4">
      <c r="B45">
        <v>40</v>
      </c>
      <c r="C45">
        <v>68</v>
      </c>
      <c r="D45">
        <v>41</v>
      </c>
    </row>
    <row r="46" spans="2:4">
      <c r="B46">
        <v>40</v>
      </c>
      <c r="C46">
        <v>64</v>
      </c>
      <c r="D46">
        <v>41</v>
      </c>
    </row>
    <row r="47" spans="2:4">
      <c r="B47">
        <v>45</v>
      </c>
      <c r="C47">
        <v>60</v>
      </c>
      <c r="D47">
        <v>41</v>
      </c>
    </row>
    <row r="48" spans="2:4">
      <c r="B48">
        <v>52</v>
      </c>
      <c r="C48">
        <v>54</v>
      </c>
      <c r="D48">
        <v>45</v>
      </c>
    </row>
    <row r="49" spans="2:35">
      <c r="B49">
        <v>58</v>
      </c>
      <c r="C49">
        <v>61</v>
      </c>
      <c r="D49">
        <v>49</v>
      </c>
    </row>
    <row r="50" spans="2:35">
      <c r="B50">
        <v>61</v>
      </c>
      <c r="C50">
        <v>81</v>
      </c>
      <c r="D50">
        <v>52</v>
      </c>
    </row>
    <row r="51" spans="2:35">
      <c r="B51">
        <v>60</v>
      </c>
      <c r="C51">
        <v>88</v>
      </c>
      <c r="D51">
        <v>53</v>
      </c>
    </row>
    <row r="52" spans="2:35">
      <c r="B52">
        <v>60</v>
      </c>
      <c r="C52">
        <v>92</v>
      </c>
      <c r="D52">
        <v>55</v>
      </c>
    </row>
    <row r="53" spans="2:35">
      <c r="B53">
        <v>58</v>
      </c>
      <c r="C53">
        <v>92</v>
      </c>
      <c r="D53">
        <v>53</v>
      </c>
    </row>
    <row r="54" spans="2:35">
      <c r="B54">
        <v>58</v>
      </c>
      <c r="C54">
        <v>90</v>
      </c>
      <c r="D54">
        <v>51</v>
      </c>
    </row>
    <row r="55" spans="2:35">
      <c r="B55">
        <f t="shared" ref="B55:AF55" si="2">SUM(B31:B54)</f>
        <v>1214</v>
      </c>
      <c r="C55">
        <f t="shared" si="2"/>
        <v>1691</v>
      </c>
      <c r="D55">
        <f t="shared" si="2"/>
        <v>1257</v>
      </c>
      <c r="E55">
        <f t="shared" si="2"/>
        <v>0</v>
      </c>
      <c r="F55">
        <f t="shared" si="2"/>
        <v>0</v>
      </c>
      <c r="G55">
        <f t="shared" si="2"/>
        <v>0</v>
      </c>
      <c r="H55">
        <f t="shared" si="2"/>
        <v>0</v>
      </c>
      <c r="I55">
        <f t="shared" si="2"/>
        <v>0</v>
      </c>
      <c r="J55">
        <f t="shared" si="2"/>
        <v>0</v>
      </c>
      <c r="K55">
        <f t="shared" si="2"/>
        <v>0</v>
      </c>
      <c r="L55">
        <f t="shared" si="2"/>
        <v>0</v>
      </c>
      <c r="M55">
        <f t="shared" si="2"/>
        <v>0</v>
      </c>
      <c r="N55">
        <f t="shared" si="2"/>
        <v>0</v>
      </c>
      <c r="O55">
        <f t="shared" si="2"/>
        <v>0</v>
      </c>
      <c r="P55">
        <f t="shared" si="2"/>
        <v>0</v>
      </c>
      <c r="Q55">
        <f t="shared" si="2"/>
        <v>0</v>
      </c>
      <c r="R55">
        <f t="shared" si="2"/>
        <v>0</v>
      </c>
      <c r="S55">
        <f t="shared" si="2"/>
        <v>0</v>
      </c>
      <c r="T55">
        <f t="shared" si="2"/>
        <v>0</v>
      </c>
      <c r="U55">
        <f t="shared" si="2"/>
        <v>0</v>
      </c>
      <c r="V55">
        <f t="shared" si="2"/>
        <v>0</v>
      </c>
      <c r="W55">
        <f t="shared" si="2"/>
        <v>0</v>
      </c>
      <c r="X55">
        <f t="shared" si="2"/>
        <v>0</v>
      </c>
      <c r="Y55">
        <f t="shared" si="2"/>
        <v>0</v>
      </c>
      <c r="Z55">
        <f t="shared" si="2"/>
        <v>0</v>
      </c>
      <c r="AA55">
        <f t="shared" si="2"/>
        <v>0</v>
      </c>
      <c r="AB55">
        <f t="shared" si="2"/>
        <v>0</v>
      </c>
      <c r="AC55">
        <f t="shared" si="2"/>
        <v>0</v>
      </c>
      <c r="AD55">
        <f t="shared" si="2"/>
        <v>0</v>
      </c>
      <c r="AE55">
        <f t="shared" si="2"/>
        <v>0</v>
      </c>
      <c r="AF55">
        <f t="shared" si="2"/>
        <v>0</v>
      </c>
      <c r="AG55">
        <f>SUM(B55:AF55)</f>
        <v>4162</v>
      </c>
      <c r="AH55">
        <f>AG55/31</f>
        <v>134.25806451612902</v>
      </c>
      <c r="AI55">
        <f>AH55/24</f>
        <v>5.594086021505376</v>
      </c>
    </row>
    <row r="56" spans="2:35">
      <c r="B56">
        <f t="shared" ref="B56:AF56" si="3">B55/24</f>
        <v>50.583333333333336</v>
      </c>
      <c r="C56">
        <f t="shared" si="3"/>
        <v>70.458333333333329</v>
      </c>
      <c r="D56">
        <f t="shared" si="3"/>
        <v>52.375</v>
      </c>
      <c r="E56">
        <f t="shared" si="3"/>
        <v>0</v>
      </c>
      <c r="F56">
        <f t="shared" si="3"/>
        <v>0</v>
      </c>
      <c r="G56">
        <f t="shared" si="3"/>
        <v>0</v>
      </c>
      <c r="H56">
        <f t="shared" si="3"/>
        <v>0</v>
      </c>
      <c r="I56">
        <f t="shared" si="3"/>
        <v>0</v>
      </c>
      <c r="J56">
        <f t="shared" si="3"/>
        <v>0</v>
      </c>
      <c r="K56">
        <f t="shared" si="3"/>
        <v>0</v>
      </c>
      <c r="L56">
        <f t="shared" si="3"/>
        <v>0</v>
      </c>
      <c r="M56">
        <f t="shared" si="3"/>
        <v>0</v>
      </c>
      <c r="N56">
        <f t="shared" si="3"/>
        <v>0</v>
      </c>
      <c r="O56">
        <f t="shared" si="3"/>
        <v>0</v>
      </c>
      <c r="P56">
        <f t="shared" si="3"/>
        <v>0</v>
      </c>
      <c r="Q56">
        <f t="shared" si="3"/>
        <v>0</v>
      </c>
      <c r="R56">
        <f t="shared" si="3"/>
        <v>0</v>
      </c>
      <c r="S56">
        <f t="shared" si="3"/>
        <v>0</v>
      </c>
      <c r="T56">
        <f t="shared" si="3"/>
        <v>0</v>
      </c>
      <c r="U56">
        <f t="shared" si="3"/>
        <v>0</v>
      </c>
      <c r="V56">
        <f t="shared" si="3"/>
        <v>0</v>
      </c>
      <c r="W56">
        <f t="shared" si="3"/>
        <v>0</v>
      </c>
      <c r="X56">
        <f t="shared" si="3"/>
        <v>0</v>
      </c>
      <c r="Y56">
        <f t="shared" si="3"/>
        <v>0</v>
      </c>
      <c r="Z56">
        <f t="shared" si="3"/>
        <v>0</v>
      </c>
      <c r="AA56">
        <f t="shared" si="3"/>
        <v>0</v>
      </c>
      <c r="AB56">
        <f t="shared" si="3"/>
        <v>0</v>
      </c>
      <c r="AC56">
        <f t="shared" si="3"/>
        <v>0</v>
      </c>
      <c r="AD56">
        <f t="shared" si="3"/>
        <v>0</v>
      </c>
      <c r="AE56">
        <f t="shared" si="3"/>
        <v>0</v>
      </c>
      <c r="AF56">
        <f t="shared" si="3"/>
        <v>0</v>
      </c>
      <c r="AG56">
        <f>SUM(B56:AF56)</f>
        <v>173.41666666666666</v>
      </c>
      <c r="AH56">
        <f>AG56/4</f>
        <v>43.354166666666664</v>
      </c>
      <c r="AI56">
        <f>AH56*12000</f>
        <v>520250</v>
      </c>
    </row>
    <row r="58" spans="2:35">
      <c r="B58">
        <v>39</v>
      </c>
      <c r="C58">
        <v>33</v>
      </c>
    </row>
    <row r="59" spans="2:35">
      <c r="B59">
        <v>10</v>
      </c>
      <c r="C59">
        <v>10</v>
      </c>
      <c r="AG59">
        <v>57.805</v>
      </c>
      <c r="AH59">
        <f>AG59*12000</f>
        <v>693660</v>
      </c>
    </row>
    <row r="60" spans="2:35">
      <c r="AG60">
        <v>63.82</v>
      </c>
      <c r="AH60">
        <f>AG60*12000</f>
        <v>765840</v>
      </c>
    </row>
    <row r="63" spans="2:35">
      <c r="AC63">
        <v>125000</v>
      </c>
      <c r="AD63">
        <f>AD64*AC64</f>
        <v>250000</v>
      </c>
    </row>
    <row r="64" spans="2:35">
      <c r="AC64">
        <f>AC63/10</f>
        <v>12500</v>
      </c>
      <c r="AD64">
        <v>20</v>
      </c>
    </row>
    <row r="65" spans="11:29">
      <c r="AC65">
        <f>AC64*41</f>
        <v>512500</v>
      </c>
    </row>
    <row r="68" spans="11:29">
      <c r="K68">
        <v>31</v>
      </c>
      <c r="L68">
        <v>22</v>
      </c>
      <c r="M68">
        <v>30</v>
      </c>
      <c r="N68">
        <v>20</v>
      </c>
      <c r="U68">
        <v>14</v>
      </c>
      <c r="V68">
        <v>18</v>
      </c>
      <c r="W68">
        <v>14</v>
      </c>
    </row>
    <row r="69" spans="11:29">
      <c r="K69">
        <v>28</v>
      </c>
      <c r="L69">
        <v>22</v>
      </c>
      <c r="M69">
        <v>29</v>
      </c>
      <c r="N69">
        <v>20</v>
      </c>
      <c r="U69">
        <v>13</v>
      </c>
      <c r="V69">
        <v>15</v>
      </c>
      <c r="W69">
        <v>13</v>
      </c>
    </row>
    <row r="70" spans="11:29">
      <c r="K70">
        <v>28</v>
      </c>
      <c r="L70">
        <v>22</v>
      </c>
      <c r="M70">
        <v>29</v>
      </c>
      <c r="N70">
        <v>20</v>
      </c>
      <c r="U70">
        <v>13</v>
      </c>
      <c r="V70">
        <v>15</v>
      </c>
      <c r="W70">
        <v>11</v>
      </c>
    </row>
    <row r="71" spans="11:29">
      <c r="K71">
        <v>28</v>
      </c>
      <c r="L71">
        <v>22</v>
      </c>
      <c r="M71">
        <v>29</v>
      </c>
      <c r="N71">
        <v>20</v>
      </c>
      <c r="U71">
        <v>13</v>
      </c>
      <c r="V71">
        <v>12</v>
      </c>
      <c r="W71">
        <v>11</v>
      </c>
    </row>
    <row r="72" spans="11:29">
      <c r="K72">
        <v>44</v>
      </c>
      <c r="L72">
        <v>30</v>
      </c>
      <c r="M72">
        <v>43</v>
      </c>
      <c r="N72">
        <v>28</v>
      </c>
      <c r="U72">
        <v>13</v>
      </c>
      <c r="V72">
        <v>10</v>
      </c>
      <c r="W72">
        <v>13</v>
      </c>
    </row>
    <row r="73" spans="11:29">
      <c r="K73">
        <v>76</v>
      </c>
      <c r="L73">
        <v>44</v>
      </c>
      <c r="M73">
        <v>74</v>
      </c>
      <c r="N73">
        <v>42</v>
      </c>
      <c r="U73">
        <v>12</v>
      </c>
      <c r="V73">
        <v>10</v>
      </c>
      <c r="W73">
        <v>11</v>
      </c>
    </row>
    <row r="74" spans="11:29">
      <c r="K74">
        <v>88</v>
      </c>
      <c r="L74">
        <v>70</v>
      </c>
      <c r="M74">
        <v>82</v>
      </c>
      <c r="N74">
        <v>68</v>
      </c>
      <c r="U74">
        <v>11</v>
      </c>
      <c r="V74">
        <v>9</v>
      </c>
      <c r="W74">
        <v>8</v>
      </c>
    </row>
    <row r="75" spans="11:29">
      <c r="K75">
        <v>98</v>
      </c>
      <c r="L75">
        <v>73</v>
      </c>
      <c r="M75">
        <v>92</v>
      </c>
      <c r="N75">
        <v>78</v>
      </c>
      <c r="U75">
        <v>7</v>
      </c>
      <c r="V75">
        <v>8</v>
      </c>
      <c r="W75">
        <v>6</v>
      </c>
    </row>
    <row r="76" spans="11:29">
      <c r="K76">
        <v>91</v>
      </c>
      <c r="L76">
        <v>64</v>
      </c>
      <c r="M76">
        <v>89</v>
      </c>
      <c r="N76">
        <v>68</v>
      </c>
      <c r="U76">
        <v>7</v>
      </c>
      <c r="V76">
        <v>8</v>
      </c>
      <c r="W76">
        <v>6</v>
      </c>
    </row>
    <row r="77" spans="11:29">
      <c r="K77">
        <v>91</v>
      </c>
      <c r="L77">
        <v>64</v>
      </c>
      <c r="M77">
        <v>83</v>
      </c>
      <c r="N77">
        <v>64</v>
      </c>
      <c r="U77">
        <v>8</v>
      </c>
      <c r="V77">
        <v>7</v>
      </c>
      <c r="W77">
        <v>5</v>
      </c>
    </row>
    <row r="78" spans="11:29">
      <c r="K78">
        <v>86</v>
      </c>
      <c r="L78">
        <v>57</v>
      </c>
      <c r="M78">
        <v>77</v>
      </c>
      <c r="N78">
        <v>60</v>
      </c>
      <c r="U78">
        <v>8</v>
      </c>
      <c r="V78">
        <v>6</v>
      </c>
      <c r="W78">
        <v>6</v>
      </c>
    </row>
    <row r="79" spans="11:29">
      <c r="K79">
        <v>75</v>
      </c>
      <c r="L79">
        <v>46</v>
      </c>
      <c r="M79">
        <v>68</v>
      </c>
      <c r="N79">
        <v>50</v>
      </c>
      <c r="U79">
        <v>11</v>
      </c>
      <c r="V79">
        <v>5</v>
      </c>
      <c r="W79">
        <v>6</v>
      </c>
    </row>
    <row r="80" spans="11:29">
      <c r="K80">
        <v>62</v>
      </c>
      <c r="L80">
        <v>42</v>
      </c>
      <c r="M80">
        <v>54</v>
      </c>
      <c r="N80">
        <v>40</v>
      </c>
      <c r="U80">
        <v>20</v>
      </c>
      <c r="V80">
        <v>5</v>
      </c>
      <c r="W80">
        <v>10</v>
      </c>
    </row>
    <row r="81" spans="11:23">
      <c r="K81">
        <v>51</v>
      </c>
      <c r="L81">
        <v>33</v>
      </c>
      <c r="M81">
        <v>43</v>
      </c>
      <c r="N81">
        <v>30</v>
      </c>
      <c r="U81">
        <v>22</v>
      </c>
      <c r="V81">
        <v>7</v>
      </c>
      <c r="W81">
        <v>15</v>
      </c>
    </row>
    <row r="82" spans="11:23">
      <c r="K82">
        <v>45</v>
      </c>
      <c r="L82">
        <v>30</v>
      </c>
      <c r="M82">
        <v>40</v>
      </c>
      <c r="N82">
        <v>27</v>
      </c>
      <c r="U82">
        <v>20</v>
      </c>
      <c r="V82">
        <v>18</v>
      </c>
      <c r="W82">
        <v>14</v>
      </c>
    </row>
    <row r="83" spans="11:23">
      <c r="K83">
        <v>50</v>
      </c>
      <c r="L83">
        <v>0</v>
      </c>
      <c r="M83">
        <v>44</v>
      </c>
      <c r="N83">
        <v>24</v>
      </c>
      <c r="U83">
        <v>19</v>
      </c>
      <c r="V83">
        <v>17</v>
      </c>
      <c r="W83">
        <v>15</v>
      </c>
    </row>
    <row r="84" spans="11:23">
      <c r="K84">
        <v>54</v>
      </c>
      <c r="L84">
        <v>32</v>
      </c>
      <c r="M84">
        <v>48</v>
      </c>
      <c r="N84">
        <v>30</v>
      </c>
      <c r="U84">
        <v>29</v>
      </c>
      <c r="V84">
        <v>26</v>
      </c>
      <c r="W84">
        <v>22</v>
      </c>
    </row>
    <row r="85" spans="11:23">
      <c r="K85">
        <v>58</v>
      </c>
      <c r="L85">
        <v>35</v>
      </c>
      <c r="M85">
        <v>54</v>
      </c>
      <c r="N85">
        <v>36</v>
      </c>
      <c r="U85">
        <v>36</v>
      </c>
      <c r="V85">
        <v>34</v>
      </c>
      <c r="W85">
        <v>28</v>
      </c>
    </row>
    <row r="86" spans="11:23">
      <c r="K86">
        <v>68</v>
      </c>
      <c r="L86">
        <v>40</v>
      </c>
      <c r="M86">
        <v>67</v>
      </c>
      <c r="N86">
        <v>42</v>
      </c>
      <c r="U86">
        <v>35</v>
      </c>
      <c r="V86">
        <v>38</v>
      </c>
      <c r="W86">
        <v>36</v>
      </c>
    </row>
    <row r="87" spans="11:23">
      <c r="K87">
        <v>70</v>
      </c>
      <c r="L87">
        <v>43</v>
      </c>
      <c r="M87">
        <v>64</v>
      </c>
      <c r="N87">
        <v>47</v>
      </c>
      <c r="U87">
        <v>35</v>
      </c>
      <c r="V87">
        <v>34</v>
      </c>
      <c r="W87">
        <v>30</v>
      </c>
    </row>
    <row r="88" spans="11:23">
      <c r="K88">
        <v>70</v>
      </c>
      <c r="L88">
        <v>33</v>
      </c>
      <c r="M88">
        <v>60</v>
      </c>
      <c r="N88">
        <v>36</v>
      </c>
      <c r="U88">
        <v>34</v>
      </c>
      <c r="V88">
        <v>30</v>
      </c>
      <c r="W88">
        <v>32</v>
      </c>
    </row>
    <row r="89" spans="11:23">
      <c r="K89">
        <v>61</v>
      </c>
      <c r="L89">
        <v>30</v>
      </c>
      <c r="M89">
        <v>47</v>
      </c>
      <c r="N89">
        <v>28</v>
      </c>
      <c r="U89">
        <v>31</v>
      </c>
      <c r="V89">
        <v>26</v>
      </c>
      <c r="W89">
        <v>31</v>
      </c>
    </row>
    <row r="90" spans="11:23">
      <c r="K90">
        <v>45</v>
      </c>
      <c r="L90">
        <v>30</v>
      </c>
      <c r="M90">
        <v>40</v>
      </c>
      <c r="N90">
        <v>25</v>
      </c>
      <c r="U90">
        <v>21</v>
      </c>
      <c r="V90">
        <v>19</v>
      </c>
      <c r="W90">
        <v>26</v>
      </c>
    </row>
    <row r="91" spans="11:23">
      <c r="K91">
        <v>33</v>
      </c>
      <c r="L91">
        <v>24</v>
      </c>
      <c r="M91">
        <v>27</v>
      </c>
      <c r="N91">
        <v>24</v>
      </c>
      <c r="U91">
        <v>20</v>
      </c>
      <c r="V91">
        <v>18</v>
      </c>
      <c r="W91">
        <v>16</v>
      </c>
    </row>
    <row r="92" spans="11:23">
      <c r="U92">
        <f>SUM(U68:U91)</f>
        <v>452</v>
      </c>
      <c r="V92">
        <f>SUM(V68:V91)</f>
        <v>395</v>
      </c>
      <c r="W92">
        <f>SUM(W68:W91)</f>
        <v>385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E3"/>
  <sheetViews>
    <sheetView zoomScaleNormal="100" workbookViewId="0">
      <selection activeCell="E3" sqref="E3"/>
    </sheetView>
  </sheetViews>
  <sheetFormatPr defaultRowHeight="15"/>
  <cols>
    <col min="1" max="2" width="8.7109375" customWidth="1"/>
    <col min="3" max="3" width="11.42578125"/>
    <col min="4" max="4" width="11.7109375" customWidth="1"/>
    <col min="5" max="5" width="51" customWidth="1"/>
    <col min="6" max="1025" width="8.7109375" customWidth="1"/>
  </cols>
  <sheetData>
    <row r="2" spans="3:5">
      <c r="C2" t="s">
        <v>956</v>
      </c>
      <c r="D2" t="s">
        <v>3116</v>
      </c>
    </row>
    <row r="3" spans="3:5">
      <c r="C3" t="s">
        <v>1315</v>
      </c>
      <c r="D3" t="s">
        <v>3117</v>
      </c>
      <c r="E3" t="s">
        <v>3118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31"/>
  <sheetViews>
    <sheetView topLeftCell="A22" zoomScaleNormal="100" workbookViewId="0">
      <selection activeCell="L31" sqref="L31"/>
    </sheetView>
  </sheetViews>
  <sheetFormatPr defaultRowHeight="15"/>
  <cols>
    <col min="1" max="1025" width="8.7109375" customWidth="1"/>
  </cols>
  <sheetData>
    <row r="2" spans="2:10">
      <c r="B2">
        <v>132</v>
      </c>
      <c r="C2">
        <v>135</v>
      </c>
      <c r="D2">
        <v>142</v>
      </c>
      <c r="E2">
        <v>140</v>
      </c>
      <c r="H2">
        <v>104</v>
      </c>
      <c r="I2">
        <v>92</v>
      </c>
      <c r="J2">
        <v>86</v>
      </c>
    </row>
    <row r="3" spans="2:10">
      <c r="B3">
        <v>130</v>
      </c>
      <c r="C3">
        <v>132</v>
      </c>
      <c r="D3">
        <v>138</v>
      </c>
      <c r="E3">
        <v>135</v>
      </c>
      <c r="H3">
        <v>84</v>
      </c>
      <c r="I3">
        <v>90</v>
      </c>
      <c r="J3">
        <v>85</v>
      </c>
    </row>
    <row r="4" spans="2:10">
      <c r="B4">
        <v>128</v>
      </c>
      <c r="C4">
        <v>130</v>
      </c>
      <c r="D4">
        <v>132</v>
      </c>
      <c r="E4">
        <v>130</v>
      </c>
      <c r="H4">
        <v>80</v>
      </c>
      <c r="I4">
        <v>86</v>
      </c>
      <c r="J4">
        <v>82</v>
      </c>
    </row>
    <row r="5" spans="2:10">
      <c r="B5">
        <v>126</v>
      </c>
      <c r="C5">
        <v>128</v>
      </c>
      <c r="D5">
        <v>133</v>
      </c>
      <c r="E5">
        <v>125</v>
      </c>
      <c r="H5">
        <v>76</v>
      </c>
      <c r="I5">
        <v>82</v>
      </c>
      <c r="J5">
        <v>80</v>
      </c>
    </row>
    <row r="6" spans="2:10">
      <c r="B6">
        <v>122</v>
      </c>
      <c r="C6">
        <v>126</v>
      </c>
      <c r="D6">
        <v>133</v>
      </c>
      <c r="E6">
        <v>120</v>
      </c>
      <c r="H6">
        <v>74</v>
      </c>
      <c r="I6">
        <v>80</v>
      </c>
      <c r="J6">
        <v>79</v>
      </c>
    </row>
    <row r="7" spans="2:10">
      <c r="B7">
        <v>122</v>
      </c>
      <c r="C7">
        <v>126</v>
      </c>
      <c r="D7">
        <v>132</v>
      </c>
      <c r="E7">
        <v>118</v>
      </c>
      <c r="H7">
        <v>76</v>
      </c>
      <c r="I7">
        <v>84</v>
      </c>
      <c r="J7">
        <v>78</v>
      </c>
    </row>
    <row r="8" spans="2:10">
      <c r="B8">
        <v>108</v>
      </c>
      <c r="C8">
        <v>122</v>
      </c>
      <c r="D8">
        <v>126</v>
      </c>
      <c r="E8">
        <v>114</v>
      </c>
      <c r="H8">
        <v>74</v>
      </c>
      <c r="I8">
        <v>84</v>
      </c>
      <c r="J8">
        <v>80</v>
      </c>
    </row>
    <row r="9" spans="2:10">
      <c r="B9">
        <v>106</v>
      </c>
      <c r="C9">
        <v>114</v>
      </c>
      <c r="D9">
        <v>118</v>
      </c>
      <c r="E9">
        <v>112</v>
      </c>
      <c r="H9">
        <v>72</v>
      </c>
      <c r="I9">
        <v>78</v>
      </c>
      <c r="J9">
        <v>76</v>
      </c>
    </row>
    <row r="10" spans="2:10">
      <c r="B10">
        <v>98</v>
      </c>
      <c r="C10">
        <v>100</v>
      </c>
      <c r="D10">
        <v>104</v>
      </c>
      <c r="E10">
        <v>106</v>
      </c>
      <c r="H10">
        <v>64</v>
      </c>
      <c r="I10">
        <v>78</v>
      </c>
      <c r="J10">
        <v>70</v>
      </c>
    </row>
    <row r="11" spans="2:10">
      <c r="B11">
        <v>92</v>
      </c>
      <c r="C11">
        <v>140</v>
      </c>
      <c r="D11">
        <v>96</v>
      </c>
      <c r="E11">
        <v>98</v>
      </c>
      <c r="H11">
        <v>60</v>
      </c>
      <c r="I11">
        <v>64</v>
      </c>
      <c r="J11">
        <v>62</v>
      </c>
    </row>
    <row r="12" spans="2:10">
      <c r="B12">
        <v>98</v>
      </c>
      <c r="C12">
        <v>134</v>
      </c>
      <c r="D12">
        <v>94</v>
      </c>
      <c r="E12">
        <v>104</v>
      </c>
      <c r="H12">
        <v>56</v>
      </c>
      <c r="I12">
        <v>60</v>
      </c>
      <c r="J12">
        <v>54</v>
      </c>
    </row>
    <row r="13" spans="2:10">
      <c r="B13">
        <v>102</v>
      </c>
      <c r="C13">
        <v>130</v>
      </c>
      <c r="D13">
        <v>102</v>
      </c>
      <c r="E13">
        <v>106</v>
      </c>
      <c r="H13">
        <v>64</v>
      </c>
      <c r="I13">
        <v>66</v>
      </c>
      <c r="J13">
        <v>50</v>
      </c>
    </row>
    <row r="14" spans="2:10">
      <c r="B14">
        <v>110</v>
      </c>
      <c r="C14">
        <v>130</v>
      </c>
      <c r="D14">
        <v>112</v>
      </c>
      <c r="E14">
        <v>114</v>
      </c>
      <c r="H14">
        <v>66</v>
      </c>
      <c r="I14">
        <v>64</v>
      </c>
      <c r="J14">
        <v>46</v>
      </c>
    </row>
    <row r="15" spans="2:10">
      <c r="B15">
        <v>120</v>
      </c>
      <c r="C15">
        <v>112</v>
      </c>
      <c r="D15">
        <v>122</v>
      </c>
      <c r="E15">
        <v>128</v>
      </c>
      <c r="H15">
        <v>72</v>
      </c>
      <c r="I15">
        <v>64</v>
      </c>
      <c r="J15">
        <v>46</v>
      </c>
    </row>
    <row r="16" spans="2:10">
      <c r="B16">
        <v>124</v>
      </c>
      <c r="C16">
        <v>120</v>
      </c>
      <c r="D16">
        <v>127</v>
      </c>
      <c r="E16">
        <v>122</v>
      </c>
      <c r="H16">
        <v>74</v>
      </c>
      <c r="I16">
        <v>70</v>
      </c>
      <c r="J16">
        <v>46</v>
      </c>
    </row>
    <row r="17" spans="2:13">
      <c r="B17">
        <v>120</v>
      </c>
      <c r="C17">
        <v>140</v>
      </c>
      <c r="D17">
        <v>128</v>
      </c>
      <c r="E17">
        <v>108</v>
      </c>
      <c r="H17">
        <v>70</v>
      </c>
      <c r="I17">
        <v>78</v>
      </c>
      <c r="J17">
        <v>54</v>
      </c>
    </row>
    <row r="18" spans="2:13">
      <c r="B18">
        <v>108</v>
      </c>
      <c r="C18">
        <v>146</v>
      </c>
      <c r="D18">
        <v>115</v>
      </c>
      <c r="E18">
        <v>102</v>
      </c>
      <c r="H18">
        <v>68</v>
      </c>
      <c r="I18">
        <v>86</v>
      </c>
      <c r="J18">
        <v>56</v>
      </c>
    </row>
    <row r="19" spans="2:13">
      <c r="B19">
        <v>104</v>
      </c>
      <c r="C19">
        <v>154</v>
      </c>
      <c r="D19">
        <v>106</v>
      </c>
      <c r="E19">
        <v>100</v>
      </c>
      <c r="H19">
        <v>76</v>
      </c>
      <c r="I19">
        <v>92</v>
      </c>
      <c r="J19">
        <v>68</v>
      </c>
    </row>
    <row r="20" spans="2:13">
      <c r="B20">
        <v>106</v>
      </c>
      <c r="C20">
        <v>148</v>
      </c>
      <c r="D20">
        <v>120</v>
      </c>
      <c r="E20">
        <v>108</v>
      </c>
      <c r="H20">
        <v>86</v>
      </c>
      <c r="I20">
        <v>96</v>
      </c>
      <c r="J20">
        <v>82</v>
      </c>
    </row>
    <row r="21" spans="2:13">
      <c r="B21">
        <v>130</v>
      </c>
      <c r="C21">
        <v>150</v>
      </c>
      <c r="D21">
        <v>138</v>
      </c>
      <c r="E21">
        <v>130</v>
      </c>
      <c r="H21">
        <v>92</v>
      </c>
      <c r="I21">
        <v>98</v>
      </c>
      <c r="J21">
        <v>84</v>
      </c>
    </row>
    <row r="22" spans="2:13">
      <c r="B22">
        <v>138</v>
      </c>
      <c r="D22">
        <v>142</v>
      </c>
      <c r="E22">
        <v>134</v>
      </c>
      <c r="H22">
        <v>104</v>
      </c>
      <c r="I22">
        <v>90</v>
      </c>
      <c r="J22">
        <v>86</v>
      </c>
    </row>
    <row r="23" spans="2:13">
      <c r="B23">
        <v>148</v>
      </c>
      <c r="D23">
        <v>152</v>
      </c>
      <c r="E23">
        <v>144</v>
      </c>
      <c r="H23">
        <v>100</v>
      </c>
      <c r="J23">
        <v>86</v>
      </c>
    </row>
    <row r="24" spans="2:13">
      <c r="B24">
        <v>144</v>
      </c>
      <c r="D24">
        <v>164</v>
      </c>
      <c r="E24">
        <v>140</v>
      </c>
      <c r="H24">
        <v>100</v>
      </c>
      <c r="J24">
        <v>88</v>
      </c>
    </row>
    <row r="25" spans="2:13">
      <c r="B25">
        <v>144</v>
      </c>
      <c r="D25">
        <v>142</v>
      </c>
      <c r="E25">
        <v>120</v>
      </c>
      <c r="J25">
        <v>80</v>
      </c>
    </row>
    <row r="26" spans="2:13">
      <c r="L26">
        <v>123</v>
      </c>
      <c r="M26">
        <v>68</v>
      </c>
    </row>
    <row r="27" spans="2:13">
      <c r="L27">
        <f>L26-M26</f>
        <v>55</v>
      </c>
    </row>
    <row r="28" spans="2:13">
      <c r="L28">
        <v>12500</v>
      </c>
    </row>
    <row r="29" spans="2:13">
      <c r="L29">
        <f>L27*L28</f>
        <v>687500</v>
      </c>
    </row>
    <row r="30" spans="2:13">
      <c r="L30">
        <f>L29/31</f>
        <v>22177.419354838708</v>
      </c>
    </row>
    <row r="31" spans="2:13">
      <c r="L31">
        <f>L30*25</f>
        <v>554435.48387096776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25"/>
  <sheetViews>
    <sheetView topLeftCell="A16" zoomScaleNormal="100" workbookViewId="0">
      <selection activeCell="B21" sqref="B21"/>
    </sheetView>
  </sheetViews>
  <sheetFormatPr defaultRowHeight="15"/>
  <cols>
    <col min="1" max="1025" width="8.7109375" customWidth="1"/>
  </cols>
  <sheetData>
    <row r="2" spans="1:2">
      <c r="A2">
        <v>204</v>
      </c>
      <c r="B2">
        <v>210</v>
      </c>
    </row>
    <row r="3" spans="1:2">
      <c r="A3">
        <v>201</v>
      </c>
      <c r="B3">
        <v>204</v>
      </c>
    </row>
    <row r="4" spans="1:2">
      <c r="A4">
        <v>192</v>
      </c>
      <c r="B4">
        <v>198</v>
      </c>
    </row>
    <row r="5" spans="1:2">
      <c r="A5">
        <v>184</v>
      </c>
      <c r="B5">
        <v>192</v>
      </c>
    </row>
    <row r="6" spans="1:2">
      <c r="A6">
        <v>172</v>
      </c>
      <c r="B6">
        <v>186</v>
      </c>
    </row>
    <row r="7" spans="1:2">
      <c r="A7">
        <v>159</v>
      </c>
      <c r="B7">
        <v>178</v>
      </c>
    </row>
    <row r="8" spans="1:2">
      <c r="A8">
        <v>162</v>
      </c>
      <c r="B8">
        <v>172</v>
      </c>
    </row>
    <row r="9" spans="1:2">
      <c r="A9">
        <v>161</v>
      </c>
      <c r="B9">
        <v>169</v>
      </c>
    </row>
    <row r="10" spans="1:2">
      <c r="A10">
        <v>151</v>
      </c>
      <c r="B10">
        <v>157</v>
      </c>
    </row>
    <row r="11" spans="1:2">
      <c r="A11">
        <v>150</v>
      </c>
      <c r="B11">
        <v>75</v>
      </c>
    </row>
    <row r="12" spans="1:2">
      <c r="A12">
        <v>150</v>
      </c>
      <c r="B12">
        <v>69</v>
      </c>
    </row>
    <row r="13" spans="1:2">
      <c r="A13">
        <v>158</v>
      </c>
      <c r="B13">
        <v>72</v>
      </c>
    </row>
    <row r="14" spans="1:2">
      <c r="A14">
        <v>168</v>
      </c>
      <c r="B14">
        <v>70</v>
      </c>
    </row>
    <row r="15" spans="1:2">
      <c r="A15">
        <v>181</v>
      </c>
      <c r="B15">
        <v>68</v>
      </c>
    </row>
    <row r="16" spans="1:2">
      <c r="A16">
        <v>187</v>
      </c>
      <c r="B16">
        <v>66</v>
      </c>
    </row>
    <row r="17" spans="1:2">
      <c r="A17">
        <v>187</v>
      </c>
      <c r="B17">
        <v>70</v>
      </c>
    </row>
    <row r="18" spans="1:2">
      <c r="A18">
        <v>171</v>
      </c>
      <c r="B18">
        <v>75</v>
      </c>
    </row>
    <row r="19" spans="1:2">
      <c r="A19">
        <v>171</v>
      </c>
      <c r="B19">
        <v>78</v>
      </c>
    </row>
    <row r="20" spans="1:2">
      <c r="A20">
        <v>174</v>
      </c>
      <c r="B20">
        <v>75</v>
      </c>
    </row>
    <row r="21" spans="1:2">
      <c r="A21">
        <v>189</v>
      </c>
    </row>
    <row r="22" spans="1:2">
      <c r="A22">
        <v>198</v>
      </c>
    </row>
    <row r="23" spans="1:2">
      <c r="A23">
        <v>210</v>
      </c>
    </row>
    <row r="24" spans="1:2">
      <c r="A24">
        <v>219</v>
      </c>
    </row>
    <row r="25" spans="1:2">
      <c r="A25">
        <v>213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L164"/>
  <sheetViews>
    <sheetView zoomScaleNormal="100" workbookViewId="0">
      <selection activeCell="F3" sqref="F3"/>
    </sheetView>
  </sheetViews>
  <sheetFormatPr defaultRowHeight="15"/>
  <cols>
    <col min="1" max="1" width="3" customWidth="1"/>
    <col min="2" max="2" width="15" customWidth="1"/>
    <col min="3" max="3" width="3" customWidth="1"/>
    <col min="4" max="5" width="7" customWidth="1"/>
    <col min="6" max="6" width="6" customWidth="1"/>
    <col min="7" max="7" width="5" customWidth="1"/>
    <col min="8" max="8" width="4" customWidth="1"/>
    <col min="9" max="10" width="6" customWidth="1"/>
    <col min="11" max="11" width="8" customWidth="1"/>
    <col min="12" max="12" width="5" customWidth="1"/>
    <col min="13" max="16" width="4" customWidth="1"/>
    <col min="17" max="17" width="7.140625" customWidth="1"/>
    <col min="18" max="18" width="7.7109375" customWidth="1"/>
    <col min="19" max="28" width="4" customWidth="1"/>
    <col min="29" max="30" width="5" customWidth="1"/>
    <col min="31" max="31" width="4" customWidth="1"/>
    <col min="32" max="35" width="5" customWidth="1"/>
    <col min="36" max="36" width="4.85546875" customWidth="1"/>
    <col min="37" max="1025" width="8.7109375" customWidth="1"/>
  </cols>
  <sheetData>
    <row r="2" spans="2:15">
      <c r="B2" t="s">
        <v>956</v>
      </c>
    </row>
    <row r="3" spans="2:15">
      <c r="B3" t="s">
        <v>3119</v>
      </c>
      <c r="D3">
        <v>611804</v>
      </c>
      <c r="E3">
        <v>639351</v>
      </c>
      <c r="F3">
        <f>E3-D3</f>
        <v>27547</v>
      </c>
    </row>
    <row r="4" spans="2:15">
      <c r="B4" t="s">
        <v>3120</v>
      </c>
      <c r="D4">
        <v>49410</v>
      </c>
      <c r="E4">
        <v>69841</v>
      </c>
      <c r="F4">
        <f>E4-D4</f>
        <v>20431</v>
      </c>
      <c r="I4">
        <v>48000</v>
      </c>
    </row>
    <row r="8" spans="2:15">
      <c r="F8">
        <v>86</v>
      </c>
      <c r="G8">
        <v>100</v>
      </c>
      <c r="H8">
        <v>109</v>
      </c>
      <c r="M8">
        <v>72</v>
      </c>
      <c r="N8">
        <v>53</v>
      </c>
      <c r="O8">
        <v>61</v>
      </c>
    </row>
    <row r="9" spans="2:15">
      <c r="F9">
        <v>84</v>
      </c>
      <c r="G9">
        <v>100</v>
      </c>
      <c r="H9">
        <v>105</v>
      </c>
      <c r="M9">
        <v>65</v>
      </c>
      <c r="N9">
        <v>50</v>
      </c>
      <c r="O9">
        <v>61</v>
      </c>
    </row>
    <row r="10" spans="2:15">
      <c r="G10">
        <v>92</v>
      </c>
      <c r="M10">
        <v>65</v>
      </c>
      <c r="N10">
        <v>50</v>
      </c>
      <c r="O10">
        <v>44</v>
      </c>
    </row>
    <row r="11" spans="2:15">
      <c r="F11">
        <v>82</v>
      </c>
      <c r="G11">
        <v>92</v>
      </c>
      <c r="H11">
        <v>100</v>
      </c>
      <c r="M11">
        <v>57</v>
      </c>
      <c r="N11">
        <v>46</v>
      </c>
      <c r="O11">
        <v>44</v>
      </c>
    </row>
    <row r="12" spans="2:15">
      <c r="F12">
        <v>80</v>
      </c>
      <c r="G12">
        <v>100</v>
      </c>
      <c r="H12">
        <v>98</v>
      </c>
      <c r="M12">
        <v>57</v>
      </c>
      <c r="N12">
        <v>42</v>
      </c>
      <c r="O12">
        <v>43</v>
      </c>
    </row>
    <row r="13" spans="2:15">
      <c r="F13">
        <v>82</v>
      </c>
      <c r="H13">
        <v>118</v>
      </c>
      <c r="M13">
        <v>56</v>
      </c>
      <c r="N13">
        <v>42</v>
      </c>
      <c r="O13">
        <v>44</v>
      </c>
    </row>
    <row r="14" spans="2:15">
      <c r="F14">
        <v>96</v>
      </c>
      <c r="G14">
        <v>119</v>
      </c>
      <c r="H14">
        <v>129</v>
      </c>
      <c r="M14">
        <v>53</v>
      </c>
      <c r="N14">
        <v>42</v>
      </c>
      <c r="O14">
        <v>43</v>
      </c>
    </row>
    <row r="15" spans="2:15">
      <c r="F15">
        <v>103</v>
      </c>
      <c r="G15">
        <v>114</v>
      </c>
      <c r="H15">
        <v>130</v>
      </c>
      <c r="M15">
        <v>53</v>
      </c>
      <c r="N15">
        <v>46</v>
      </c>
      <c r="O15">
        <v>48</v>
      </c>
    </row>
    <row r="16" spans="2:15">
      <c r="F16">
        <v>91</v>
      </c>
      <c r="G16">
        <v>106</v>
      </c>
      <c r="H16">
        <v>118</v>
      </c>
      <c r="M16">
        <v>48</v>
      </c>
      <c r="N16">
        <v>46</v>
      </c>
      <c r="O16">
        <v>45</v>
      </c>
    </row>
    <row r="17" spans="6:15">
      <c r="F17">
        <v>81</v>
      </c>
      <c r="G17">
        <v>115</v>
      </c>
      <c r="H17">
        <v>120</v>
      </c>
      <c r="M17">
        <v>48</v>
      </c>
      <c r="N17">
        <v>43</v>
      </c>
      <c r="O17">
        <v>45</v>
      </c>
    </row>
    <row r="18" spans="6:15">
      <c r="F18">
        <v>95</v>
      </c>
      <c r="G18">
        <v>114</v>
      </c>
      <c r="H18">
        <v>119</v>
      </c>
      <c r="M18">
        <v>48</v>
      </c>
      <c r="N18">
        <v>40</v>
      </c>
      <c r="O18">
        <v>42</v>
      </c>
    </row>
    <row r="19" spans="6:15">
      <c r="F19">
        <v>102</v>
      </c>
      <c r="G19">
        <v>117</v>
      </c>
      <c r="H19">
        <v>143</v>
      </c>
      <c r="M19">
        <v>48</v>
      </c>
      <c r="N19">
        <v>40</v>
      </c>
      <c r="O19">
        <v>42</v>
      </c>
    </row>
    <row r="20" spans="6:15">
      <c r="F20">
        <v>88</v>
      </c>
      <c r="G20">
        <v>115</v>
      </c>
      <c r="H20">
        <v>139</v>
      </c>
      <c r="M20">
        <v>51</v>
      </c>
      <c r="N20">
        <v>37</v>
      </c>
      <c r="O20">
        <v>42</v>
      </c>
    </row>
    <row r="21" spans="6:15">
      <c r="F21">
        <v>97</v>
      </c>
      <c r="G21">
        <v>122</v>
      </c>
      <c r="H21">
        <v>151</v>
      </c>
      <c r="M21">
        <v>63</v>
      </c>
      <c r="N21">
        <v>35</v>
      </c>
      <c r="O21">
        <v>42</v>
      </c>
    </row>
    <row r="22" spans="6:15">
      <c r="F22">
        <v>99</v>
      </c>
      <c r="G22">
        <v>130</v>
      </c>
      <c r="H22">
        <v>145</v>
      </c>
      <c r="M22">
        <v>60</v>
      </c>
      <c r="N22">
        <v>33</v>
      </c>
      <c r="O22">
        <v>42</v>
      </c>
    </row>
    <row r="23" spans="6:15">
      <c r="F23">
        <v>113</v>
      </c>
      <c r="G23">
        <v>120</v>
      </c>
      <c r="H23">
        <v>158</v>
      </c>
      <c r="M23">
        <v>60</v>
      </c>
      <c r="N23">
        <v>34</v>
      </c>
      <c r="O23">
        <v>42</v>
      </c>
    </row>
    <row r="24" spans="6:15">
      <c r="F24">
        <v>119</v>
      </c>
      <c r="G24">
        <v>124</v>
      </c>
      <c r="H24">
        <v>165</v>
      </c>
      <c r="M24">
        <v>54</v>
      </c>
      <c r="N24">
        <v>40</v>
      </c>
      <c r="O24">
        <v>41</v>
      </c>
    </row>
    <row r="25" spans="6:15">
      <c r="F25">
        <v>122</v>
      </c>
      <c r="G25">
        <v>95</v>
      </c>
      <c r="H25">
        <v>156</v>
      </c>
      <c r="M25">
        <v>50</v>
      </c>
      <c r="N25">
        <v>38</v>
      </c>
      <c r="O25">
        <v>41</v>
      </c>
    </row>
    <row r="26" spans="6:15">
      <c r="F26">
        <v>110</v>
      </c>
      <c r="G26">
        <v>103</v>
      </c>
      <c r="H26">
        <v>138</v>
      </c>
      <c r="M26">
        <v>50</v>
      </c>
      <c r="N26">
        <v>40</v>
      </c>
      <c r="O26">
        <v>49</v>
      </c>
    </row>
    <row r="27" spans="6:15">
      <c r="F27">
        <v>99</v>
      </c>
      <c r="G27">
        <v>110</v>
      </c>
      <c r="H27">
        <v>125</v>
      </c>
      <c r="M27">
        <v>56</v>
      </c>
      <c r="N27">
        <v>47</v>
      </c>
      <c r="O27">
        <v>50</v>
      </c>
    </row>
    <row r="28" spans="6:15">
      <c r="F28">
        <v>89</v>
      </c>
      <c r="G28">
        <v>106</v>
      </c>
      <c r="H28">
        <v>125</v>
      </c>
      <c r="M28">
        <v>62</v>
      </c>
      <c r="N28">
        <v>45</v>
      </c>
      <c r="O28">
        <v>54</v>
      </c>
    </row>
    <row r="29" spans="6:15">
      <c r="F29">
        <v>90</v>
      </c>
      <c r="G29">
        <v>108</v>
      </c>
      <c r="H29">
        <v>125</v>
      </c>
      <c r="M29">
        <v>80</v>
      </c>
      <c r="N29">
        <v>49</v>
      </c>
      <c r="O29">
        <v>58</v>
      </c>
    </row>
    <row r="30" spans="6:15">
      <c r="F30">
        <v>89</v>
      </c>
      <c r="G30">
        <v>105</v>
      </c>
      <c r="H30">
        <v>122</v>
      </c>
      <c r="M30">
        <v>88</v>
      </c>
      <c r="N30">
        <v>52</v>
      </c>
      <c r="O30">
        <v>61</v>
      </c>
    </row>
    <row r="31" spans="6:15">
      <c r="F31">
        <v>87</v>
      </c>
      <c r="G31">
        <v>100</v>
      </c>
      <c r="H31">
        <v>116</v>
      </c>
      <c r="M31">
        <v>77</v>
      </c>
      <c r="N31">
        <v>52</v>
      </c>
      <c r="O31">
        <v>61</v>
      </c>
    </row>
    <row r="32" spans="6:15">
      <c r="J32">
        <v>142.13399999999999</v>
      </c>
    </row>
    <row r="33" spans="4:38">
      <c r="J33">
        <v>12500</v>
      </c>
      <c r="K33">
        <f>J32*J33</f>
        <v>1776674.9999999998</v>
      </c>
    </row>
    <row r="35" spans="4:38">
      <c r="D35">
        <v>90</v>
      </c>
      <c r="E35">
        <v>116</v>
      </c>
      <c r="F35">
        <v>108</v>
      </c>
      <c r="G35">
        <v>96</v>
      </c>
      <c r="I35">
        <v>138</v>
      </c>
      <c r="J35">
        <v>180</v>
      </c>
      <c r="K35">
        <v>149</v>
      </c>
      <c r="L35">
        <v>168</v>
      </c>
      <c r="M35">
        <v>180</v>
      </c>
      <c r="N35">
        <v>168</v>
      </c>
      <c r="O35">
        <v>170</v>
      </c>
      <c r="P35">
        <v>150</v>
      </c>
      <c r="Q35">
        <v>162</v>
      </c>
      <c r="R35">
        <v>178</v>
      </c>
      <c r="S35">
        <v>161</v>
      </c>
      <c r="T35">
        <v>158</v>
      </c>
      <c r="U35">
        <v>138</v>
      </c>
      <c r="V35">
        <v>198</v>
      </c>
      <c r="W35">
        <v>218</v>
      </c>
      <c r="X35">
        <v>224</v>
      </c>
      <c r="Y35">
        <v>222</v>
      </c>
      <c r="Z35">
        <v>223</v>
      </c>
      <c r="AA35">
        <v>220</v>
      </c>
      <c r="AB35">
        <v>218</v>
      </c>
      <c r="AC35">
        <v>210</v>
      </c>
      <c r="AD35">
        <v>0</v>
      </c>
      <c r="AE35">
        <v>182</v>
      </c>
      <c r="AF35">
        <v>186</v>
      </c>
      <c r="AG35">
        <v>181</v>
      </c>
      <c r="AH35">
        <v>174</v>
      </c>
      <c r="AI35">
        <v>162</v>
      </c>
      <c r="AJ35">
        <v>174</v>
      </c>
      <c r="AK35">
        <v>162</v>
      </c>
      <c r="AL35">
        <v>150</v>
      </c>
    </row>
    <row r="36" spans="4:38">
      <c r="D36">
        <v>86</v>
      </c>
      <c r="E36">
        <v>102</v>
      </c>
      <c r="F36">
        <v>102</v>
      </c>
      <c r="G36">
        <v>92</v>
      </c>
      <c r="I36">
        <v>135</v>
      </c>
      <c r="J36">
        <v>174</v>
      </c>
      <c r="K36">
        <v>141</v>
      </c>
      <c r="L36">
        <v>162</v>
      </c>
      <c r="M36">
        <v>174</v>
      </c>
      <c r="N36">
        <v>162</v>
      </c>
      <c r="O36">
        <v>165</v>
      </c>
      <c r="P36">
        <v>147</v>
      </c>
      <c r="Q36">
        <v>152</v>
      </c>
      <c r="R36">
        <v>171</v>
      </c>
      <c r="S36">
        <v>156</v>
      </c>
      <c r="T36">
        <v>150</v>
      </c>
      <c r="U36">
        <v>135</v>
      </c>
      <c r="V36">
        <v>192</v>
      </c>
      <c r="W36">
        <v>214</v>
      </c>
      <c r="X36">
        <v>213</v>
      </c>
      <c r="Y36">
        <v>217</v>
      </c>
      <c r="Z36">
        <v>217</v>
      </c>
      <c r="AA36">
        <v>217</v>
      </c>
      <c r="AB36">
        <v>210</v>
      </c>
      <c r="AC36">
        <v>201</v>
      </c>
      <c r="AD36">
        <v>208</v>
      </c>
      <c r="AE36">
        <v>178</v>
      </c>
      <c r="AF36">
        <v>181</v>
      </c>
      <c r="AG36">
        <v>174</v>
      </c>
      <c r="AH36">
        <v>170</v>
      </c>
      <c r="AI36">
        <v>158</v>
      </c>
      <c r="AJ36">
        <v>171</v>
      </c>
      <c r="AK36">
        <v>156</v>
      </c>
      <c r="AL36">
        <v>148</v>
      </c>
    </row>
    <row r="37" spans="4:38">
      <c r="D37">
        <v>80</v>
      </c>
      <c r="E37">
        <v>98</v>
      </c>
      <c r="F37">
        <v>98</v>
      </c>
      <c r="G37">
        <v>88</v>
      </c>
      <c r="I37">
        <v>132</v>
      </c>
      <c r="J37">
        <v>162</v>
      </c>
      <c r="K37">
        <v>135</v>
      </c>
      <c r="L37">
        <v>153</v>
      </c>
      <c r="M37">
        <v>165</v>
      </c>
      <c r="N37">
        <v>156</v>
      </c>
      <c r="O37">
        <v>156</v>
      </c>
      <c r="P37">
        <v>141</v>
      </c>
      <c r="Q37">
        <v>150</v>
      </c>
      <c r="R37">
        <v>162</v>
      </c>
      <c r="S37">
        <v>147</v>
      </c>
      <c r="T37">
        <v>144</v>
      </c>
      <c r="U37">
        <v>126</v>
      </c>
      <c r="V37">
        <v>180</v>
      </c>
      <c r="W37">
        <v>204</v>
      </c>
      <c r="X37">
        <v>210</v>
      </c>
      <c r="Y37">
        <v>210</v>
      </c>
      <c r="Z37">
        <v>210</v>
      </c>
      <c r="AA37">
        <v>210</v>
      </c>
      <c r="AB37">
        <v>201</v>
      </c>
      <c r="AC37">
        <v>191</v>
      </c>
      <c r="AD37">
        <v>201</v>
      </c>
      <c r="AE37">
        <v>171</v>
      </c>
      <c r="AF37">
        <v>175</v>
      </c>
      <c r="AG37">
        <v>165</v>
      </c>
      <c r="AH37">
        <v>165</v>
      </c>
      <c r="AI37">
        <v>150</v>
      </c>
      <c r="AJ37">
        <v>162</v>
      </c>
      <c r="AK37">
        <v>150</v>
      </c>
      <c r="AL37">
        <v>138</v>
      </c>
    </row>
    <row r="38" spans="4:38">
      <c r="D38">
        <v>60</v>
      </c>
      <c r="E38">
        <v>96</v>
      </c>
      <c r="F38">
        <v>94</v>
      </c>
      <c r="G38">
        <v>84</v>
      </c>
      <c r="I38">
        <v>126</v>
      </c>
      <c r="J38">
        <v>150</v>
      </c>
      <c r="K38">
        <v>129</v>
      </c>
      <c r="L38">
        <v>141</v>
      </c>
      <c r="M38">
        <v>156</v>
      </c>
      <c r="N38">
        <v>150</v>
      </c>
      <c r="O38">
        <v>147</v>
      </c>
      <c r="P38">
        <v>135</v>
      </c>
      <c r="Q38">
        <v>141</v>
      </c>
      <c r="R38">
        <v>150</v>
      </c>
      <c r="S38">
        <v>141</v>
      </c>
      <c r="T38">
        <v>138</v>
      </c>
      <c r="U38">
        <v>120</v>
      </c>
      <c r="V38">
        <v>174</v>
      </c>
      <c r="W38">
        <v>190</v>
      </c>
      <c r="X38">
        <v>198</v>
      </c>
      <c r="Y38">
        <v>201</v>
      </c>
      <c r="Z38">
        <v>195</v>
      </c>
      <c r="AA38">
        <v>195</v>
      </c>
      <c r="AB38">
        <v>192</v>
      </c>
      <c r="AC38">
        <v>182</v>
      </c>
      <c r="AD38">
        <v>191</v>
      </c>
      <c r="AE38">
        <v>162</v>
      </c>
      <c r="AF38">
        <v>164</v>
      </c>
      <c r="AG38">
        <v>156</v>
      </c>
      <c r="AH38">
        <v>165</v>
      </c>
      <c r="AI38">
        <v>141</v>
      </c>
      <c r="AJ38">
        <v>150</v>
      </c>
      <c r="AK38">
        <v>141</v>
      </c>
      <c r="AL38">
        <v>129</v>
      </c>
    </row>
    <row r="39" spans="4:38">
      <c r="D39">
        <v>62</v>
      </c>
      <c r="E39">
        <v>90</v>
      </c>
      <c r="F39">
        <v>90</v>
      </c>
      <c r="G39">
        <v>80</v>
      </c>
      <c r="I39">
        <v>120</v>
      </c>
      <c r="J39">
        <v>141</v>
      </c>
      <c r="K39">
        <v>123</v>
      </c>
      <c r="L39">
        <v>132</v>
      </c>
      <c r="M39">
        <v>150</v>
      </c>
      <c r="N39">
        <v>144</v>
      </c>
      <c r="O39">
        <v>141</v>
      </c>
      <c r="P39">
        <v>129</v>
      </c>
      <c r="Q39">
        <v>135</v>
      </c>
      <c r="R39">
        <v>144</v>
      </c>
      <c r="S39">
        <v>135</v>
      </c>
      <c r="T39">
        <v>132</v>
      </c>
      <c r="U39">
        <v>114</v>
      </c>
      <c r="V39">
        <v>165</v>
      </c>
      <c r="W39">
        <v>178</v>
      </c>
      <c r="X39">
        <v>186</v>
      </c>
      <c r="Y39">
        <v>186</v>
      </c>
      <c r="Z39">
        <v>181</v>
      </c>
      <c r="AA39">
        <v>180</v>
      </c>
      <c r="AB39">
        <v>184</v>
      </c>
      <c r="AC39">
        <v>171</v>
      </c>
      <c r="AD39">
        <v>180</v>
      </c>
      <c r="AE39">
        <v>150</v>
      </c>
      <c r="AF39">
        <v>151</v>
      </c>
      <c r="AG39">
        <v>144</v>
      </c>
      <c r="AH39">
        <v>147</v>
      </c>
      <c r="AI39">
        <v>132</v>
      </c>
      <c r="AJ39">
        <v>142</v>
      </c>
      <c r="AK39">
        <v>135</v>
      </c>
      <c r="AL39">
        <v>120</v>
      </c>
    </row>
    <row r="40" spans="4:38">
      <c r="D40">
        <v>68</v>
      </c>
      <c r="E40">
        <v>88</v>
      </c>
      <c r="F40">
        <v>86</v>
      </c>
      <c r="G40">
        <v>76</v>
      </c>
      <c r="I40">
        <v>112</v>
      </c>
      <c r="J40">
        <v>132</v>
      </c>
      <c r="K40">
        <v>118</v>
      </c>
      <c r="L40">
        <v>123</v>
      </c>
      <c r="M40">
        <v>141</v>
      </c>
      <c r="N40">
        <v>138</v>
      </c>
      <c r="O40">
        <v>132</v>
      </c>
      <c r="P40">
        <v>124</v>
      </c>
      <c r="Q40">
        <v>131</v>
      </c>
      <c r="R40">
        <v>136</v>
      </c>
      <c r="S40">
        <v>126</v>
      </c>
      <c r="T40">
        <v>127</v>
      </c>
      <c r="U40">
        <v>110</v>
      </c>
      <c r="V40">
        <v>159</v>
      </c>
      <c r="W40">
        <v>165</v>
      </c>
      <c r="X40">
        <v>172</v>
      </c>
      <c r="Y40">
        <v>173</v>
      </c>
      <c r="Z40">
        <v>168</v>
      </c>
      <c r="AA40">
        <v>168</v>
      </c>
      <c r="AB40">
        <v>175</v>
      </c>
      <c r="AC40">
        <v>162</v>
      </c>
      <c r="AD40">
        <v>162</v>
      </c>
      <c r="AE40">
        <v>138</v>
      </c>
      <c r="AF40">
        <v>138</v>
      </c>
      <c r="AG40">
        <v>132</v>
      </c>
      <c r="AH40">
        <v>132</v>
      </c>
      <c r="AI40">
        <v>126</v>
      </c>
      <c r="AJ40">
        <v>132</v>
      </c>
      <c r="AK40">
        <v>123</v>
      </c>
      <c r="AL40">
        <v>114</v>
      </c>
    </row>
    <row r="41" spans="4:38">
      <c r="D41">
        <v>68</v>
      </c>
      <c r="E41">
        <v>86</v>
      </c>
      <c r="F41">
        <v>80</v>
      </c>
      <c r="G41">
        <v>70</v>
      </c>
      <c r="I41">
        <v>106</v>
      </c>
      <c r="J41">
        <v>126</v>
      </c>
      <c r="K41">
        <v>111</v>
      </c>
      <c r="L41">
        <v>118</v>
      </c>
      <c r="M41">
        <v>135</v>
      </c>
      <c r="N41">
        <v>129</v>
      </c>
      <c r="O41">
        <v>123</v>
      </c>
      <c r="P41">
        <v>119</v>
      </c>
      <c r="Q41">
        <v>126</v>
      </c>
      <c r="R41">
        <v>136</v>
      </c>
      <c r="S41">
        <v>119</v>
      </c>
      <c r="T41">
        <v>123</v>
      </c>
      <c r="U41">
        <v>110</v>
      </c>
      <c r="V41">
        <v>147</v>
      </c>
      <c r="W41">
        <v>147</v>
      </c>
      <c r="X41">
        <v>168</v>
      </c>
      <c r="Y41">
        <v>160</v>
      </c>
      <c r="Z41">
        <v>157</v>
      </c>
      <c r="AA41">
        <v>159</v>
      </c>
      <c r="AB41">
        <v>170</v>
      </c>
      <c r="AC41">
        <v>147</v>
      </c>
      <c r="AD41">
        <v>140</v>
      </c>
      <c r="AE41">
        <v>126</v>
      </c>
      <c r="AF41">
        <v>124</v>
      </c>
      <c r="AG41">
        <v>120</v>
      </c>
      <c r="AH41">
        <v>123</v>
      </c>
      <c r="AI41">
        <v>117</v>
      </c>
      <c r="AJ41">
        <v>120</v>
      </c>
      <c r="AK41">
        <v>118</v>
      </c>
      <c r="AL41">
        <v>108</v>
      </c>
    </row>
    <row r="42" spans="4:38">
      <c r="D42">
        <v>66</v>
      </c>
      <c r="E42">
        <v>86</v>
      </c>
      <c r="F42">
        <v>76</v>
      </c>
      <c r="G42">
        <v>68</v>
      </c>
      <c r="I42">
        <v>109</v>
      </c>
      <c r="J42">
        <v>129</v>
      </c>
      <c r="K42">
        <v>114</v>
      </c>
      <c r="L42">
        <v>118</v>
      </c>
      <c r="M42">
        <v>127</v>
      </c>
      <c r="N42">
        <v>129</v>
      </c>
      <c r="O42">
        <v>120</v>
      </c>
      <c r="P42">
        <v>121</v>
      </c>
      <c r="Q42">
        <v>127</v>
      </c>
      <c r="R42">
        <v>130</v>
      </c>
      <c r="S42">
        <v>123</v>
      </c>
      <c r="T42">
        <v>121</v>
      </c>
      <c r="U42">
        <v>112</v>
      </c>
      <c r="V42">
        <v>0</v>
      </c>
      <c r="W42">
        <v>146</v>
      </c>
      <c r="X42">
        <v>150</v>
      </c>
      <c r="Y42">
        <v>156</v>
      </c>
      <c r="Z42">
        <v>168</v>
      </c>
      <c r="AA42">
        <v>150</v>
      </c>
      <c r="AB42">
        <v>153</v>
      </c>
      <c r="AC42">
        <v>141</v>
      </c>
      <c r="AD42">
        <v>140</v>
      </c>
      <c r="AE42">
        <v>120</v>
      </c>
      <c r="AF42">
        <v>123</v>
      </c>
      <c r="AG42">
        <v>120</v>
      </c>
      <c r="AH42">
        <v>120</v>
      </c>
      <c r="AI42">
        <v>120</v>
      </c>
      <c r="AJ42">
        <v>119</v>
      </c>
      <c r="AK42">
        <v>118</v>
      </c>
      <c r="AL42">
        <v>112</v>
      </c>
    </row>
    <row r="43" spans="4:38">
      <c r="D43">
        <v>60</v>
      </c>
      <c r="E43">
        <v>84</v>
      </c>
      <c r="F43">
        <v>70</v>
      </c>
      <c r="G43">
        <v>104</v>
      </c>
      <c r="I43">
        <v>93</v>
      </c>
      <c r="J43">
        <v>123</v>
      </c>
      <c r="K43">
        <v>108</v>
      </c>
      <c r="L43">
        <v>106</v>
      </c>
      <c r="M43">
        <v>120</v>
      </c>
      <c r="N43">
        <v>120</v>
      </c>
      <c r="O43">
        <v>117</v>
      </c>
      <c r="P43">
        <v>117</v>
      </c>
      <c r="Q43">
        <v>123</v>
      </c>
      <c r="R43">
        <v>129</v>
      </c>
      <c r="S43">
        <v>110</v>
      </c>
      <c r="T43">
        <v>110</v>
      </c>
      <c r="U43">
        <v>112</v>
      </c>
      <c r="V43">
        <v>161</v>
      </c>
      <c r="W43">
        <v>134</v>
      </c>
      <c r="X43">
        <v>135</v>
      </c>
      <c r="Y43">
        <v>156</v>
      </c>
      <c r="Z43">
        <v>132</v>
      </c>
      <c r="AA43">
        <v>131</v>
      </c>
      <c r="AB43">
        <v>143</v>
      </c>
      <c r="AC43">
        <v>130</v>
      </c>
      <c r="AD43">
        <v>135</v>
      </c>
      <c r="AE43">
        <v>117</v>
      </c>
      <c r="AF43">
        <v>117</v>
      </c>
      <c r="AG43">
        <v>111</v>
      </c>
      <c r="AH43">
        <v>120</v>
      </c>
      <c r="AI43">
        <v>118</v>
      </c>
      <c r="AJ43">
        <v>120</v>
      </c>
      <c r="AK43">
        <v>111</v>
      </c>
      <c r="AL43">
        <v>106</v>
      </c>
    </row>
    <row r="44" spans="4:38">
      <c r="D44">
        <v>60</v>
      </c>
      <c r="E44">
        <v>80</v>
      </c>
      <c r="F44">
        <v>66</v>
      </c>
      <c r="G44">
        <v>77</v>
      </c>
      <c r="I44">
        <v>92</v>
      </c>
      <c r="J44">
        <v>118</v>
      </c>
      <c r="K44">
        <v>93</v>
      </c>
      <c r="L44">
        <v>105</v>
      </c>
      <c r="M44">
        <v>123</v>
      </c>
      <c r="N44">
        <v>114</v>
      </c>
      <c r="O44">
        <v>115</v>
      </c>
      <c r="P44">
        <v>115</v>
      </c>
      <c r="Q44">
        <v>0</v>
      </c>
      <c r="R44">
        <v>126</v>
      </c>
      <c r="S44">
        <v>113</v>
      </c>
      <c r="T44">
        <v>110</v>
      </c>
      <c r="U44">
        <v>107</v>
      </c>
      <c r="V44">
        <v>132</v>
      </c>
      <c r="W44">
        <v>134</v>
      </c>
      <c r="X44">
        <v>138</v>
      </c>
      <c r="Y44">
        <v>150</v>
      </c>
      <c r="Z44">
        <v>144</v>
      </c>
      <c r="AA44">
        <v>138</v>
      </c>
      <c r="AB44">
        <v>134</v>
      </c>
      <c r="AC44">
        <v>130</v>
      </c>
      <c r="AD44">
        <v>137</v>
      </c>
      <c r="AE44">
        <v>113</v>
      </c>
      <c r="AF44">
        <v>112</v>
      </c>
      <c r="AG44">
        <v>107</v>
      </c>
      <c r="AH44">
        <v>109</v>
      </c>
      <c r="AI44">
        <v>107</v>
      </c>
      <c r="AJ44">
        <v>124</v>
      </c>
      <c r="AK44">
        <v>108</v>
      </c>
      <c r="AL44">
        <v>103</v>
      </c>
    </row>
    <row r="45" spans="4:38">
      <c r="D45">
        <v>56</v>
      </c>
      <c r="E45">
        <v>90</v>
      </c>
      <c r="F45">
        <v>68</v>
      </c>
      <c r="G45">
        <v>72</v>
      </c>
      <c r="I45">
        <v>87</v>
      </c>
      <c r="J45">
        <v>120</v>
      </c>
      <c r="K45">
        <v>72</v>
      </c>
      <c r="L45">
        <v>105</v>
      </c>
      <c r="M45">
        <v>123</v>
      </c>
      <c r="N45">
        <v>117</v>
      </c>
      <c r="O45">
        <v>111</v>
      </c>
      <c r="P45">
        <v>111</v>
      </c>
      <c r="Q45">
        <v>0</v>
      </c>
      <c r="R45">
        <v>130</v>
      </c>
      <c r="S45">
        <v>111</v>
      </c>
      <c r="T45">
        <v>101</v>
      </c>
      <c r="U45">
        <v>103</v>
      </c>
      <c r="V45">
        <v>122</v>
      </c>
      <c r="W45">
        <v>135</v>
      </c>
      <c r="X45">
        <v>143</v>
      </c>
      <c r="Y45">
        <v>152</v>
      </c>
      <c r="Z45">
        <v>165</v>
      </c>
      <c r="AA45">
        <v>130</v>
      </c>
      <c r="AB45">
        <v>133</v>
      </c>
      <c r="AC45">
        <v>121</v>
      </c>
      <c r="AD45">
        <v>142</v>
      </c>
      <c r="AE45">
        <v>110</v>
      </c>
      <c r="AF45">
        <v>111</v>
      </c>
      <c r="AG45">
        <v>120</v>
      </c>
      <c r="AH45">
        <v>111</v>
      </c>
      <c r="AI45">
        <v>111</v>
      </c>
      <c r="AJ45">
        <v>129</v>
      </c>
      <c r="AK45">
        <v>106</v>
      </c>
      <c r="AL45">
        <v>104</v>
      </c>
    </row>
    <row r="46" spans="4:38">
      <c r="D46">
        <v>54</v>
      </c>
      <c r="E46">
        <v>100</v>
      </c>
      <c r="F46">
        <v>70</v>
      </c>
      <c r="G46">
        <v>72</v>
      </c>
      <c r="I46">
        <v>90</v>
      </c>
      <c r="J46">
        <v>130</v>
      </c>
      <c r="K46">
        <v>63</v>
      </c>
      <c r="L46">
        <v>108</v>
      </c>
      <c r="M46">
        <v>126</v>
      </c>
      <c r="N46">
        <v>123</v>
      </c>
      <c r="O46">
        <v>105</v>
      </c>
      <c r="P46">
        <v>104</v>
      </c>
      <c r="Q46">
        <v>0</v>
      </c>
      <c r="R46">
        <v>133</v>
      </c>
      <c r="S46">
        <v>126</v>
      </c>
      <c r="T46">
        <v>104</v>
      </c>
      <c r="U46">
        <v>108</v>
      </c>
      <c r="V46">
        <v>117</v>
      </c>
      <c r="W46">
        <v>137</v>
      </c>
      <c r="X46">
        <v>156</v>
      </c>
      <c r="Y46">
        <v>159</v>
      </c>
      <c r="Z46">
        <v>172</v>
      </c>
      <c r="AA46">
        <v>144</v>
      </c>
      <c r="AB46">
        <v>132</v>
      </c>
      <c r="AC46">
        <v>134</v>
      </c>
      <c r="AD46">
        <v>153</v>
      </c>
      <c r="AE46">
        <v>119</v>
      </c>
      <c r="AF46">
        <v>120</v>
      </c>
      <c r="AG46">
        <v>117</v>
      </c>
      <c r="AH46">
        <v>114</v>
      </c>
      <c r="AI46">
        <v>112</v>
      </c>
      <c r="AJ46">
        <v>132</v>
      </c>
      <c r="AK46">
        <v>114</v>
      </c>
      <c r="AL46">
        <v>111</v>
      </c>
    </row>
    <row r="47" spans="4:38">
      <c r="D47">
        <v>64</v>
      </c>
      <c r="E47">
        <v>108</v>
      </c>
      <c r="F47">
        <v>70</v>
      </c>
      <c r="G47">
        <v>75</v>
      </c>
      <c r="I47">
        <v>99</v>
      </c>
      <c r="J47">
        <v>162</v>
      </c>
      <c r="K47">
        <v>60</v>
      </c>
      <c r="L47">
        <v>111</v>
      </c>
      <c r="M47">
        <v>129</v>
      </c>
      <c r="N47">
        <v>132</v>
      </c>
      <c r="O47">
        <v>107</v>
      </c>
      <c r="P47">
        <v>112</v>
      </c>
      <c r="Q47">
        <v>141</v>
      </c>
      <c r="R47">
        <v>150</v>
      </c>
      <c r="S47">
        <v>129</v>
      </c>
      <c r="T47">
        <v>103</v>
      </c>
      <c r="U47">
        <v>103</v>
      </c>
      <c r="V47">
        <v>177</v>
      </c>
      <c r="W47">
        <v>146</v>
      </c>
      <c r="X47">
        <v>162</v>
      </c>
      <c r="Y47">
        <v>165</v>
      </c>
      <c r="Z47">
        <v>180</v>
      </c>
      <c r="AA47">
        <v>159</v>
      </c>
      <c r="AB47">
        <v>150</v>
      </c>
      <c r="AC47">
        <v>16</v>
      </c>
      <c r="AD47">
        <v>162</v>
      </c>
      <c r="AE47">
        <v>138</v>
      </c>
      <c r="AF47">
        <v>132</v>
      </c>
      <c r="AG47">
        <v>128</v>
      </c>
      <c r="AH47">
        <v>123</v>
      </c>
      <c r="AI47">
        <v>125</v>
      </c>
      <c r="AJ47">
        <v>138</v>
      </c>
      <c r="AK47">
        <v>123</v>
      </c>
      <c r="AL47">
        <v>103</v>
      </c>
    </row>
    <row r="48" spans="4:38">
      <c r="D48">
        <v>66</v>
      </c>
      <c r="E48">
        <v>112</v>
      </c>
      <c r="F48">
        <v>64</v>
      </c>
      <c r="G48">
        <v>70</v>
      </c>
      <c r="I48">
        <v>106</v>
      </c>
      <c r="J48">
        <v>180</v>
      </c>
      <c r="K48">
        <v>60</v>
      </c>
      <c r="L48">
        <v>117</v>
      </c>
      <c r="M48">
        <v>129</v>
      </c>
      <c r="N48">
        <v>138</v>
      </c>
      <c r="O48">
        <v>108</v>
      </c>
      <c r="P48">
        <v>120</v>
      </c>
      <c r="Q48">
        <v>144</v>
      </c>
      <c r="R48">
        <v>154</v>
      </c>
      <c r="S48">
        <v>137</v>
      </c>
      <c r="T48">
        <v>121</v>
      </c>
      <c r="U48">
        <v>111</v>
      </c>
      <c r="V48">
        <v>119</v>
      </c>
      <c r="W48">
        <v>160</v>
      </c>
      <c r="X48">
        <v>174</v>
      </c>
      <c r="Y48">
        <v>168</v>
      </c>
      <c r="Z48">
        <v>186</v>
      </c>
      <c r="AA48">
        <v>177</v>
      </c>
      <c r="AB48">
        <v>180</v>
      </c>
      <c r="AC48">
        <v>0</v>
      </c>
      <c r="AD48">
        <v>177</v>
      </c>
      <c r="AE48">
        <v>151</v>
      </c>
      <c r="AF48">
        <v>140</v>
      </c>
      <c r="AG48">
        <v>138</v>
      </c>
      <c r="AH48">
        <v>139</v>
      </c>
      <c r="AI48">
        <v>132</v>
      </c>
      <c r="AJ48">
        <v>138</v>
      </c>
      <c r="AK48">
        <v>138</v>
      </c>
      <c r="AL48">
        <v>120</v>
      </c>
    </row>
    <row r="49" spans="1:38">
      <c r="D49">
        <v>72</v>
      </c>
      <c r="E49">
        <v>108</v>
      </c>
      <c r="F49">
        <v>67</v>
      </c>
      <c r="G49">
        <v>70</v>
      </c>
      <c r="I49">
        <v>111</v>
      </c>
      <c r="J49">
        <v>182</v>
      </c>
      <c r="K49">
        <v>99</v>
      </c>
      <c r="L49">
        <v>117</v>
      </c>
      <c r="M49">
        <v>123</v>
      </c>
      <c r="N49">
        <v>144</v>
      </c>
      <c r="O49">
        <v>117</v>
      </c>
      <c r="P49">
        <v>126</v>
      </c>
      <c r="Q49">
        <v>138</v>
      </c>
      <c r="R49">
        <v>153</v>
      </c>
      <c r="S49">
        <v>151</v>
      </c>
      <c r="T49">
        <v>120</v>
      </c>
      <c r="U49">
        <v>114</v>
      </c>
      <c r="V49">
        <v>126</v>
      </c>
      <c r="W49">
        <v>171</v>
      </c>
      <c r="X49">
        <v>183</v>
      </c>
      <c r="Y49">
        <v>183</v>
      </c>
      <c r="Z49">
        <v>187</v>
      </c>
      <c r="AA49">
        <v>179</v>
      </c>
      <c r="AB49">
        <v>183</v>
      </c>
      <c r="AC49">
        <v>0</v>
      </c>
      <c r="AD49">
        <v>174</v>
      </c>
      <c r="AE49">
        <v>169</v>
      </c>
      <c r="AF49">
        <v>154</v>
      </c>
      <c r="AG49">
        <v>141</v>
      </c>
      <c r="AH49">
        <v>140</v>
      </c>
      <c r="AI49">
        <v>140</v>
      </c>
      <c r="AJ49">
        <v>140</v>
      </c>
      <c r="AK49">
        <v>144</v>
      </c>
      <c r="AL49">
        <v>130</v>
      </c>
    </row>
    <row r="50" spans="1:38">
      <c r="D50">
        <v>72</v>
      </c>
      <c r="E50">
        <v>108</v>
      </c>
      <c r="F50">
        <v>66</v>
      </c>
      <c r="G50">
        <v>65</v>
      </c>
      <c r="I50">
        <v>112</v>
      </c>
      <c r="J50">
        <v>119</v>
      </c>
      <c r="K50">
        <v>102</v>
      </c>
      <c r="L50">
        <v>120</v>
      </c>
      <c r="M50">
        <v>120</v>
      </c>
      <c r="N50">
        <v>147</v>
      </c>
      <c r="O50">
        <v>120</v>
      </c>
      <c r="P50">
        <v>129</v>
      </c>
      <c r="Q50">
        <v>123</v>
      </c>
      <c r="R50">
        <v>172</v>
      </c>
      <c r="S50">
        <v>137</v>
      </c>
      <c r="T50">
        <v>117</v>
      </c>
      <c r="U50">
        <v>117</v>
      </c>
      <c r="V50">
        <v>131</v>
      </c>
      <c r="W50">
        <v>174</v>
      </c>
      <c r="X50">
        <v>180</v>
      </c>
      <c r="Y50">
        <v>0</v>
      </c>
      <c r="Z50">
        <v>183</v>
      </c>
      <c r="AA50">
        <v>0</v>
      </c>
      <c r="AB50">
        <v>183</v>
      </c>
      <c r="AC50">
        <v>0</v>
      </c>
      <c r="AD50">
        <v>175</v>
      </c>
      <c r="AE50">
        <v>157</v>
      </c>
      <c r="AF50">
        <v>150</v>
      </c>
      <c r="AG50">
        <v>137</v>
      </c>
      <c r="AH50">
        <v>144</v>
      </c>
      <c r="AI50">
        <v>140</v>
      </c>
      <c r="AJ50">
        <v>136</v>
      </c>
      <c r="AK50">
        <v>142</v>
      </c>
      <c r="AL50">
        <v>130</v>
      </c>
    </row>
    <row r="51" spans="1:38">
      <c r="D51">
        <v>68</v>
      </c>
      <c r="E51">
        <v>100</v>
      </c>
      <c r="F51">
        <v>62</v>
      </c>
      <c r="G51">
        <v>68</v>
      </c>
      <c r="I51">
        <v>114</v>
      </c>
      <c r="J51">
        <v>159</v>
      </c>
      <c r="K51">
        <v>109</v>
      </c>
      <c r="L51">
        <v>118</v>
      </c>
      <c r="M51">
        <v>117</v>
      </c>
      <c r="N51">
        <v>144</v>
      </c>
      <c r="O51">
        <v>129</v>
      </c>
      <c r="P51">
        <v>129</v>
      </c>
      <c r="Q51">
        <v>120</v>
      </c>
      <c r="R51">
        <v>141</v>
      </c>
      <c r="S51">
        <v>138</v>
      </c>
      <c r="T51">
        <v>114</v>
      </c>
      <c r="U51">
        <v>119</v>
      </c>
      <c r="V51">
        <v>120</v>
      </c>
      <c r="W51">
        <v>168</v>
      </c>
      <c r="X51">
        <v>164</v>
      </c>
      <c r="Y51">
        <v>0</v>
      </c>
      <c r="Z51">
        <v>171</v>
      </c>
      <c r="AA51">
        <v>187</v>
      </c>
      <c r="AB51">
        <v>174</v>
      </c>
      <c r="AC51">
        <v>0</v>
      </c>
      <c r="AD51">
        <v>160</v>
      </c>
      <c r="AE51">
        <v>132</v>
      </c>
      <c r="AF51">
        <v>141</v>
      </c>
      <c r="AG51">
        <v>138</v>
      </c>
      <c r="AH51">
        <v>138</v>
      </c>
      <c r="AI51">
        <v>139</v>
      </c>
      <c r="AJ51">
        <v>129</v>
      </c>
      <c r="AK51">
        <v>132</v>
      </c>
      <c r="AL51">
        <v>123</v>
      </c>
    </row>
    <row r="52" spans="1:38">
      <c r="D52">
        <v>64</v>
      </c>
      <c r="E52">
        <v>92</v>
      </c>
      <c r="F52">
        <v>62</v>
      </c>
      <c r="G52">
        <v>70</v>
      </c>
      <c r="I52">
        <v>108</v>
      </c>
      <c r="J52">
        <v>141</v>
      </c>
      <c r="K52">
        <v>105</v>
      </c>
      <c r="L52">
        <v>111</v>
      </c>
      <c r="M52">
        <v>118</v>
      </c>
      <c r="N52">
        <v>126</v>
      </c>
      <c r="O52">
        <v>126</v>
      </c>
      <c r="P52">
        <v>132</v>
      </c>
      <c r="Q52">
        <v>114</v>
      </c>
      <c r="R52">
        <v>132</v>
      </c>
      <c r="S52">
        <v>144</v>
      </c>
      <c r="T52">
        <v>82</v>
      </c>
      <c r="U52">
        <v>122</v>
      </c>
      <c r="V52">
        <v>0</v>
      </c>
      <c r="W52">
        <v>146</v>
      </c>
      <c r="X52">
        <v>0</v>
      </c>
      <c r="Y52">
        <v>200</v>
      </c>
      <c r="Z52">
        <v>152</v>
      </c>
      <c r="AA52">
        <v>164</v>
      </c>
      <c r="AB52">
        <v>166</v>
      </c>
      <c r="AC52">
        <v>205</v>
      </c>
      <c r="AD52">
        <v>147</v>
      </c>
      <c r="AE52">
        <v>132</v>
      </c>
      <c r="AF52">
        <v>126</v>
      </c>
      <c r="AG52">
        <v>123</v>
      </c>
      <c r="AH52">
        <v>129</v>
      </c>
      <c r="AI52">
        <v>128</v>
      </c>
      <c r="AJ52">
        <v>114</v>
      </c>
      <c r="AK52">
        <v>129</v>
      </c>
      <c r="AL52">
        <v>120</v>
      </c>
    </row>
    <row r="53" spans="1:38">
      <c r="D53">
        <v>62</v>
      </c>
      <c r="E53">
        <v>76</v>
      </c>
      <c r="F53">
        <v>64</v>
      </c>
      <c r="G53">
        <v>76</v>
      </c>
      <c r="I53">
        <v>114</v>
      </c>
      <c r="J53">
        <v>144</v>
      </c>
      <c r="K53">
        <v>108</v>
      </c>
      <c r="L53">
        <v>117</v>
      </c>
      <c r="M53">
        <v>120</v>
      </c>
      <c r="N53">
        <v>138</v>
      </c>
      <c r="O53">
        <v>138</v>
      </c>
      <c r="P53">
        <v>132</v>
      </c>
      <c r="Q53">
        <v>111</v>
      </c>
      <c r="R53">
        <v>144</v>
      </c>
      <c r="S53">
        <v>150</v>
      </c>
      <c r="T53">
        <v>87</v>
      </c>
      <c r="U53">
        <v>126</v>
      </c>
      <c r="V53">
        <v>144</v>
      </c>
      <c r="W53">
        <v>140</v>
      </c>
      <c r="X53">
        <v>180</v>
      </c>
      <c r="Y53">
        <v>189</v>
      </c>
      <c r="Z53">
        <v>153</v>
      </c>
      <c r="AA53">
        <v>156</v>
      </c>
      <c r="AB53">
        <v>156</v>
      </c>
      <c r="AC53">
        <v>180</v>
      </c>
      <c r="AD53">
        <v>148</v>
      </c>
      <c r="AE53">
        <v>132</v>
      </c>
      <c r="AF53">
        <v>0</v>
      </c>
      <c r="AG53">
        <v>135</v>
      </c>
      <c r="AH53">
        <v>132</v>
      </c>
      <c r="AI53">
        <v>123</v>
      </c>
      <c r="AJ53">
        <v>111</v>
      </c>
      <c r="AK53">
        <v>132</v>
      </c>
      <c r="AL53">
        <v>120</v>
      </c>
    </row>
    <row r="54" spans="1:38">
      <c r="D54">
        <v>76</v>
      </c>
      <c r="E54">
        <v>92</v>
      </c>
      <c r="F54">
        <v>84</v>
      </c>
      <c r="G54">
        <v>84</v>
      </c>
      <c r="I54">
        <v>123</v>
      </c>
      <c r="J54">
        <v>153</v>
      </c>
      <c r="K54">
        <v>123</v>
      </c>
      <c r="L54">
        <v>135</v>
      </c>
      <c r="M54">
        <v>140</v>
      </c>
      <c r="N54">
        <v>157</v>
      </c>
      <c r="O54">
        <v>144</v>
      </c>
      <c r="P54">
        <v>162</v>
      </c>
      <c r="Q54">
        <v>120</v>
      </c>
      <c r="R54">
        <v>150</v>
      </c>
      <c r="S54">
        <v>165</v>
      </c>
      <c r="T54">
        <v>148</v>
      </c>
      <c r="U54">
        <v>147</v>
      </c>
      <c r="V54">
        <v>132</v>
      </c>
      <c r="W54">
        <v>147</v>
      </c>
      <c r="X54">
        <v>180</v>
      </c>
      <c r="Y54">
        <v>206</v>
      </c>
      <c r="Z54">
        <v>171</v>
      </c>
      <c r="AA54">
        <v>173</v>
      </c>
      <c r="AB54">
        <v>173</v>
      </c>
      <c r="AC54">
        <v>192</v>
      </c>
      <c r="AD54">
        <v>160</v>
      </c>
      <c r="AE54">
        <v>150</v>
      </c>
      <c r="AF54">
        <v>162</v>
      </c>
      <c r="AG54">
        <v>144</v>
      </c>
      <c r="AH54">
        <v>141</v>
      </c>
      <c r="AI54">
        <v>142</v>
      </c>
      <c r="AJ54">
        <v>120</v>
      </c>
      <c r="AK54">
        <v>150</v>
      </c>
      <c r="AL54">
        <v>135</v>
      </c>
    </row>
    <row r="55" spans="1:38">
      <c r="D55">
        <v>88</v>
      </c>
      <c r="E55">
        <v>108</v>
      </c>
      <c r="F55">
        <v>86</v>
      </c>
      <c r="G55">
        <v>86</v>
      </c>
      <c r="I55">
        <v>129</v>
      </c>
      <c r="J55">
        <v>171</v>
      </c>
      <c r="K55">
        <v>126</v>
      </c>
      <c r="L55">
        <v>140</v>
      </c>
      <c r="M55">
        <v>150</v>
      </c>
      <c r="N55">
        <v>168</v>
      </c>
      <c r="O55">
        <v>165</v>
      </c>
      <c r="P55">
        <v>171</v>
      </c>
      <c r="Q55">
        <v>132</v>
      </c>
      <c r="R55">
        <v>159</v>
      </c>
      <c r="S55">
        <v>180</v>
      </c>
      <c r="T55">
        <v>156</v>
      </c>
      <c r="U55">
        <v>159</v>
      </c>
      <c r="V55">
        <v>135</v>
      </c>
      <c r="W55">
        <v>158</v>
      </c>
      <c r="X55">
        <v>194</v>
      </c>
      <c r="Y55">
        <v>201</v>
      </c>
      <c r="Z55">
        <v>198</v>
      </c>
      <c r="AA55">
        <v>186</v>
      </c>
      <c r="AB55">
        <v>200</v>
      </c>
      <c r="AC55">
        <v>210</v>
      </c>
      <c r="AD55">
        <v>180</v>
      </c>
      <c r="AE55">
        <v>159</v>
      </c>
      <c r="AF55">
        <v>159</v>
      </c>
      <c r="AG55">
        <v>150</v>
      </c>
      <c r="AH55">
        <v>150</v>
      </c>
      <c r="AI55">
        <v>150</v>
      </c>
      <c r="AJ55">
        <v>129</v>
      </c>
      <c r="AK55">
        <v>156</v>
      </c>
      <c r="AL55">
        <v>141</v>
      </c>
    </row>
    <row r="56" spans="1:38">
      <c r="D56">
        <v>96</v>
      </c>
      <c r="E56">
        <v>122</v>
      </c>
      <c r="F56">
        <v>90</v>
      </c>
      <c r="G56">
        <v>88</v>
      </c>
      <c r="I56">
        <v>138</v>
      </c>
      <c r="J56">
        <v>192</v>
      </c>
      <c r="K56">
        <v>132</v>
      </c>
      <c r="L56">
        <v>152</v>
      </c>
      <c r="M56">
        <v>166</v>
      </c>
      <c r="N56">
        <v>183</v>
      </c>
      <c r="O56">
        <v>174</v>
      </c>
      <c r="P56">
        <v>180</v>
      </c>
      <c r="Q56">
        <v>147</v>
      </c>
      <c r="R56">
        <v>168</v>
      </c>
      <c r="S56">
        <v>183</v>
      </c>
      <c r="T56">
        <v>160</v>
      </c>
      <c r="U56">
        <v>171</v>
      </c>
      <c r="V56">
        <v>153</v>
      </c>
      <c r="W56">
        <v>180</v>
      </c>
      <c r="X56">
        <v>204</v>
      </c>
      <c r="Y56">
        <v>229</v>
      </c>
      <c r="Z56">
        <v>220</v>
      </c>
      <c r="AA56">
        <v>216</v>
      </c>
      <c r="AB56">
        <v>214</v>
      </c>
      <c r="AC56">
        <v>216</v>
      </c>
      <c r="AD56">
        <v>201</v>
      </c>
      <c r="AE56">
        <v>174</v>
      </c>
      <c r="AF56">
        <v>180</v>
      </c>
      <c r="AG56">
        <v>180</v>
      </c>
      <c r="AH56">
        <v>171</v>
      </c>
      <c r="AI56">
        <v>170</v>
      </c>
      <c r="AJ56">
        <v>144</v>
      </c>
      <c r="AK56">
        <v>168</v>
      </c>
      <c r="AL56">
        <v>153</v>
      </c>
    </row>
    <row r="57" spans="1:38">
      <c r="D57">
        <v>114</v>
      </c>
      <c r="E57">
        <v>126</v>
      </c>
      <c r="F57">
        <v>90</v>
      </c>
      <c r="G57">
        <v>92</v>
      </c>
      <c r="I57">
        <v>153</v>
      </c>
      <c r="J57">
        <v>207</v>
      </c>
      <c r="K57">
        <v>137</v>
      </c>
      <c r="L57">
        <v>163</v>
      </c>
      <c r="M57">
        <v>173</v>
      </c>
      <c r="N57">
        <v>183</v>
      </c>
      <c r="O57">
        <v>180</v>
      </c>
      <c r="P57">
        <v>189</v>
      </c>
      <c r="Q57">
        <v>162</v>
      </c>
      <c r="R57">
        <v>171</v>
      </c>
      <c r="S57">
        <v>192</v>
      </c>
      <c r="T57">
        <v>171</v>
      </c>
      <c r="U57">
        <v>180</v>
      </c>
      <c r="V57">
        <v>102</v>
      </c>
      <c r="W57">
        <v>202</v>
      </c>
      <c r="X57">
        <v>228</v>
      </c>
      <c r="Y57">
        <v>238</v>
      </c>
      <c r="Z57">
        <v>233</v>
      </c>
      <c r="AA57">
        <v>230</v>
      </c>
      <c r="AB57">
        <v>234</v>
      </c>
      <c r="AC57">
        <v>219</v>
      </c>
      <c r="AD57">
        <v>224</v>
      </c>
      <c r="AE57">
        <v>198</v>
      </c>
      <c r="AF57">
        <v>198</v>
      </c>
      <c r="AG57">
        <v>186</v>
      </c>
      <c r="AH57">
        <v>189</v>
      </c>
      <c r="AI57">
        <v>184</v>
      </c>
      <c r="AJ57">
        <v>168</v>
      </c>
      <c r="AK57">
        <v>180</v>
      </c>
      <c r="AL57">
        <v>177</v>
      </c>
    </row>
    <row r="58" spans="1:38">
      <c r="D58">
        <v>104</v>
      </c>
      <c r="E58">
        <v>120</v>
      </c>
      <c r="F58">
        <v>88</v>
      </c>
      <c r="G58">
        <v>90</v>
      </c>
      <c r="I58">
        <v>153</v>
      </c>
      <c r="J58">
        <v>216</v>
      </c>
      <c r="K58">
        <v>144</v>
      </c>
      <c r="L58">
        <v>160</v>
      </c>
      <c r="M58">
        <v>168</v>
      </c>
      <c r="N58">
        <v>180</v>
      </c>
      <c r="O58">
        <v>174</v>
      </c>
      <c r="P58">
        <v>180</v>
      </c>
      <c r="Q58">
        <v>159</v>
      </c>
      <c r="R58">
        <v>171</v>
      </c>
      <c r="S58">
        <v>186</v>
      </c>
      <c r="T58">
        <v>162</v>
      </c>
      <c r="U58">
        <v>174</v>
      </c>
      <c r="V58">
        <v>165</v>
      </c>
      <c r="W58">
        <v>210</v>
      </c>
      <c r="X58">
        <v>222</v>
      </c>
      <c r="Y58">
        <v>238</v>
      </c>
      <c r="Z58">
        <v>232</v>
      </c>
      <c r="AA58">
        <v>216</v>
      </c>
      <c r="AB58">
        <v>234</v>
      </c>
      <c r="AC58">
        <v>231</v>
      </c>
      <c r="AD58">
        <v>222</v>
      </c>
      <c r="AE58">
        <v>192</v>
      </c>
      <c r="AF58">
        <v>195</v>
      </c>
      <c r="AG58">
        <v>189</v>
      </c>
      <c r="AH58">
        <v>192</v>
      </c>
      <c r="AI58">
        <v>189</v>
      </c>
      <c r="AJ58">
        <v>171</v>
      </c>
      <c r="AK58">
        <v>189</v>
      </c>
      <c r="AL58">
        <v>171</v>
      </c>
    </row>
    <row r="59" spans="1:38">
      <c r="D59">
        <f>SUM(D35:D58)</f>
        <v>1756</v>
      </c>
      <c r="E59">
        <f>SUM(E35:E58)</f>
        <v>2388</v>
      </c>
      <c r="F59">
        <f>SUM(F35:F58)</f>
        <v>1901</v>
      </c>
      <c r="G59">
        <f>SUM(G35:G58)</f>
        <v>1913</v>
      </c>
      <c r="I59">
        <f>SUM(I35:I58)</f>
        <v>2800</v>
      </c>
      <c r="J59">
        <f>SUM(J35:J58)</f>
        <v>3711</v>
      </c>
      <c r="K59">
        <f>SUM(K35:K58)</f>
        <v>2661</v>
      </c>
      <c r="L59">
        <f>SUM(L35:L58)</f>
        <v>3100</v>
      </c>
    </row>
    <row r="62" spans="1:38">
      <c r="A62">
        <v>44</v>
      </c>
      <c r="B62">
        <v>48</v>
      </c>
      <c r="C62">
        <v>52</v>
      </c>
      <c r="D62">
        <v>56</v>
      </c>
      <c r="E62">
        <v>48</v>
      </c>
      <c r="F62">
        <v>52</v>
      </c>
      <c r="G62">
        <v>56</v>
      </c>
      <c r="H62">
        <v>57</v>
      </c>
      <c r="I62">
        <v>60</v>
      </c>
      <c r="J62">
        <v>60</v>
      </c>
      <c r="K62">
        <v>70</v>
      </c>
      <c r="L62">
        <v>72</v>
      </c>
      <c r="M62">
        <v>76</v>
      </c>
      <c r="N62">
        <v>78</v>
      </c>
      <c r="O62">
        <v>79</v>
      </c>
      <c r="P62">
        <v>78</v>
      </c>
      <c r="Q62">
        <v>79</v>
      </c>
      <c r="R62">
        <v>76</v>
      </c>
      <c r="S62">
        <v>67</v>
      </c>
      <c r="T62">
        <v>48</v>
      </c>
      <c r="U62">
        <v>40</v>
      </c>
      <c r="V62">
        <v>48</v>
      </c>
      <c r="W62">
        <v>50</v>
      </c>
      <c r="X62">
        <v>58</v>
      </c>
      <c r="Y62">
        <v>52</v>
      </c>
      <c r="Z62">
        <v>50</v>
      </c>
      <c r="AA62">
        <v>56</v>
      </c>
      <c r="AB62">
        <v>54</v>
      </c>
      <c r="AC62">
        <v>57</v>
      </c>
      <c r="AD62">
        <v>50</v>
      </c>
    </row>
    <row r="63" spans="1:38">
      <c r="A63">
        <v>42</v>
      </c>
      <c r="B63">
        <v>46</v>
      </c>
      <c r="C63">
        <v>50</v>
      </c>
      <c r="D63">
        <v>55</v>
      </c>
      <c r="E63">
        <v>47</v>
      </c>
      <c r="F63">
        <v>48</v>
      </c>
      <c r="G63">
        <v>55</v>
      </c>
      <c r="H63">
        <v>54</v>
      </c>
      <c r="I63">
        <v>57</v>
      </c>
      <c r="J63">
        <v>57</v>
      </c>
      <c r="K63">
        <v>68</v>
      </c>
      <c r="L63">
        <v>70</v>
      </c>
      <c r="M63">
        <v>72</v>
      </c>
      <c r="N63">
        <v>77</v>
      </c>
      <c r="O63">
        <v>77</v>
      </c>
      <c r="P63">
        <v>76</v>
      </c>
      <c r="Q63">
        <v>70</v>
      </c>
      <c r="R63">
        <v>74</v>
      </c>
      <c r="S63">
        <v>65</v>
      </c>
      <c r="T63">
        <v>46</v>
      </c>
      <c r="U63">
        <v>39</v>
      </c>
      <c r="V63">
        <v>46</v>
      </c>
      <c r="W63">
        <v>48</v>
      </c>
      <c r="X63">
        <v>55</v>
      </c>
      <c r="Y63">
        <v>50</v>
      </c>
      <c r="Z63">
        <v>47</v>
      </c>
      <c r="AA63">
        <v>52</v>
      </c>
      <c r="AB63">
        <v>52</v>
      </c>
      <c r="AC63">
        <v>54</v>
      </c>
      <c r="AD63">
        <v>47</v>
      </c>
    </row>
    <row r="64" spans="1:38">
      <c r="A64">
        <v>40</v>
      </c>
      <c r="B64">
        <v>45</v>
      </c>
      <c r="C64">
        <v>45</v>
      </c>
      <c r="D64">
        <v>52</v>
      </c>
      <c r="E64">
        <v>45</v>
      </c>
      <c r="F64">
        <v>42</v>
      </c>
      <c r="G64">
        <v>51</v>
      </c>
      <c r="H64">
        <v>50</v>
      </c>
      <c r="I64">
        <v>54</v>
      </c>
      <c r="J64">
        <v>52</v>
      </c>
      <c r="K64">
        <v>64</v>
      </c>
      <c r="L64">
        <v>65</v>
      </c>
      <c r="M64">
        <v>68</v>
      </c>
      <c r="N64">
        <v>74</v>
      </c>
      <c r="O64">
        <v>74</v>
      </c>
      <c r="P64">
        <v>72</v>
      </c>
      <c r="Q64">
        <v>70</v>
      </c>
      <c r="R64">
        <v>71</v>
      </c>
      <c r="S64">
        <v>62</v>
      </c>
      <c r="T64">
        <v>42</v>
      </c>
      <c r="U64">
        <v>37</v>
      </c>
      <c r="V64">
        <v>45</v>
      </c>
      <c r="W64">
        <v>45</v>
      </c>
      <c r="X64">
        <v>51</v>
      </c>
      <c r="Y64">
        <v>47</v>
      </c>
      <c r="Z64">
        <v>44</v>
      </c>
      <c r="AA64">
        <v>48</v>
      </c>
      <c r="AB64">
        <v>48</v>
      </c>
      <c r="AC64">
        <v>50</v>
      </c>
      <c r="AD64">
        <v>44</v>
      </c>
    </row>
    <row r="65" spans="1:30">
      <c r="A65">
        <v>37</v>
      </c>
      <c r="B65">
        <v>42</v>
      </c>
      <c r="C65">
        <v>41</v>
      </c>
      <c r="D65">
        <v>48</v>
      </c>
      <c r="E65">
        <v>41</v>
      </c>
      <c r="F65">
        <v>36</v>
      </c>
      <c r="G65">
        <v>48</v>
      </c>
      <c r="H65">
        <v>47</v>
      </c>
      <c r="I65">
        <v>50</v>
      </c>
      <c r="J65">
        <v>47</v>
      </c>
      <c r="K65">
        <v>60</v>
      </c>
      <c r="L65">
        <v>61</v>
      </c>
      <c r="M65">
        <v>64</v>
      </c>
      <c r="N65">
        <v>70</v>
      </c>
      <c r="O65">
        <v>67</v>
      </c>
      <c r="P65">
        <v>67</v>
      </c>
      <c r="Q65">
        <v>68</v>
      </c>
      <c r="R65">
        <v>64</v>
      </c>
      <c r="S65">
        <v>58</v>
      </c>
      <c r="T65">
        <v>39</v>
      </c>
      <c r="U65">
        <v>36</v>
      </c>
      <c r="V65">
        <v>44</v>
      </c>
      <c r="W65">
        <v>42</v>
      </c>
      <c r="X65">
        <v>47</v>
      </c>
      <c r="Y65">
        <v>44</v>
      </c>
      <c r="Z65">
        <v>40</v>
      </c>
      <c r="AA65">
        <v>44</v>
      </c>
      <c r="AB65">
        <v>45</v>
      </c>
      <c r="AC65">
        <v>47</v>
      </c>
      <c r="AD65">
        <v>42</v>
      </c>
    </row>
    <row r="66" spans="1:30">
      <c r="A66">
        <v>34</v>
      </c>
      <c r="B66">
        <v>39</v>
      </c>
      <c r="C66">
        <v>40</v>
      </c>
      <c r="D66">
        <v>40</v>
      </c>
      <c r="E66">
        <v>37</v>
      </c>
      <c r="F66">
        <v>34</v>
      </c>
      <c r="G66">
        <v>44</v>
      </c>
      <c r="H66">
        <v>42</v>
      </c>
      <c r="I66">
        <v>46</v>
      </c>
      <c r="J66">
        <v>42</v>
      </c>
      <c r="K66">
        <v>54</v>
      </c>
      <c r="L66">
        <v>56</v>
      </c>
      <c r="M66">
        <v>60</v>
      </c>
      <c r="N66">
        <v>62</v>
      </c>
      <c r="O66">
        <v>60</v>
      </c>
      <c r="P66">
        <v>62</v>
      </c>
      <c r="Q66">
        <v>64</v>
      </c>
      <c r="R66">
        <v>58</v>
      </c>
      <c r="S66">
        <v>52</v>
      </c>
      <c r="T66">
        <v>36</v>
      </c>
      <c r="U66">
        <v>35</v>
      </c>
      <c r="V66">
        <v>42</v>
      </c>
      <c r="W66">
        <v>40</v>
      </c>
      <c r="X66">
        <v>44</v>
      </c>
      <c r="Y66">
        <v>40</v>
      </c>
      <c r="Z66">
        <v>37</v>
      </c>
      <c r="AA66">
        <v>40</v>
      </c>
      <c r="AB66">
        <v>42</v>
      </c>
      <c r="AC66">
        <v>44</v>
      </c>
      <c r="AD66">
        <v>40</v>
      </c>
    </row>
    <row r="67" spans="1:30">
      <c r="A67">
        <v>30</v>
      </c>
      <c r="B67">
        <v>35</v>
      </c>
      <c r="C67">
        <v>37</v>
      </c>
      <c r="D67">
        <v>36</v>
      </c>
      <c r="E67">
        <v>35</v>
      </c>
      <c r="F67">
        <v>30</v>
      </c>
      <c r="G67">
        <v>40</v>
      </c>
      <c r="H67">
        <v>40</v>
      </c>
      <c r="I67">
        <v>40</v>
      </c>
      <c r="J67">
        <v>40</v>
      </c>
      <c r="K67">
        <v>48</v>
      </c>
      <c r="L67">
        <v>49</v>
      </c>
      <c r="M67">
        <v>57</v>
      </c>
      <c r="N67">
        <v>54</v>
      </c>
      <c r="O67">
        <v>54</v>
      </c>
      <c r="P67">
        <v>56</v>
      </c>
      <c r="Q67">
        <v>60</v>
      </c>
      <c r="R67">
        <v>51</v>
      </c>
      <c r="S67">
        <v>45</v>
      </c>
      <c r="T67">
        <v>32</v>
      </c>
      <c r="U67">
        <v>33</v>
      </c>
      <c r="V67">
        <v>39</v>
      </c>
      <c r="W67">
        <v>36</v>
      </c>
      <c r="X67">
        <v>40</v>
      </c>
      <c r="Y67">
        <v>38</v>
      </c>
      <c r="Z67">
        <v>35</v>
      </c>
      <c r="AA67">
        <v>36</v>
      </c>
      <c r="AB67">
        <v>39</v>
      </c>
      <c r="AC67">
        <v>41</v>
      </c>
      <c r="AD67">
        <v>36</v>
      </c>
    </row>
    <row r="68" spans="1:30">
      <c r="A68">
        <v>27</v>
      </c>
      <c r="B68">
        <v>30</v>
      </c>
      <c r="C68">
        <v>32</v>
      </c>
      <c r="D68">
        <v>31</v>
      </c>
      <c r="E68">
        <v>32</v>
      </c>
      <c r="F68">
        <v>32</v>
      </c>
      <c r="G68">
        <v>34</v>
      </c>
      <c r="H68">
        <v>37</v>
      </c>
      <c r="I68">
        <v>34</v>
      </c>
      <c r="J68">
        <v>37</v>
      </c>
      <c r="K68">
        <v>40</v>
      </c>
      <c r="L68">
        <v>44</v>
      </c>
      <c r="M68">
        <v>52</v>
      </c>
      <c r="N68">
        <v>44</v>
      </c>
      <c r="O68">
        <v>44</v>
      </c>
      <c r="P68">
        <v>48</v>
      </c>
      <c r="Q68">
        <v>47</v>
      </c>
      <c r="R68">
        <v>44</v>
      </c>
      <c r="S68">
        <v>40</v>
      </c>
      <c r="T68">
        <v>30</v>
      </c>
      <c r="U68">
        <v>30</v>
      </c>
      <c r="V68">
        <v>34</v>
      </c>
      <c r="W68">
        <v>32</v>
      </c>
      <c r="X68">
        <v>37</v>
      </c>
      <c r="Y68">
        <v>36</v>
      </c>
      <c r="Z68">
        <v>31</v>
      </c>
      <c r="AA68">
        <v>32</v>
      </c>
      <c r="AB68">
        <v>36</v>
      </c>
      <c r="AC68">
        <v>38</v>
      </c>
      <c r="AD68">
        <v>31</v>
      </c>
    </row>
    <row r="69" spans="1:30">
      <c r="A69">
        <v>28</v>
      </c>
      <c r="B69">
        <v>30</v>
      </c>
      <c r="C69">
        <v>32</v>
      </c>
      <c r="D69">
        <v>33</v>
      </c>
      <c r="E69">
        <v>31</v>
      </c>
      <c r="F69">
        <v>33</v>
      </c>
      <c r="G69">
        <v>34</v>
      </c>
      <c r="H69">
        <v>34</v>
      </c>
      <c r="I69">
        <v>38</v>
      </c>
      <c r="J69">
        <v>34</v>
      </c>
      <c r="K69">
        <v>38</v>
      </c>
      <c r="L69">
        <v>38</v>
      </c>
      <c r="M69">
        <v>42</v>
      </c>
      <c r="N69">
        <v>42</v>
      </c>
      <c r="O69">
        <v>42</v>
      </c>
      <c r="P69">
        <v>46</v>
      </c>
      <c r="Q69">
        <v>44</v>
      </c>
      <c r="R69">
        <v>42</v>
      </c>
      <c r="S69">
        <v>36</v>
      </c>
      <c r="T69">
        <v>30</v>
      </c>
      <c r="U69">
        <v>30</v>
      </c>
      <c r="V69">
        <v>32</v>
      </c>
      <c r="W69">
        <v>33</v>
      </c>
      <c r="X69">
        <v>36</v>
      </c>
      <c r="Y69">
        <v>34</v>
      </c>
      <c r="Z69">
        <v>32</v>
      </c>
      <c r="AA69">
        <v>34</v>
      </c>
      <c r="AB69">
        <v>34</v>
      </c>
      <c r="AC69">
        <v>37</v>
      </c>
      <c r="AD69">
        <v>31</v>
      </c>
    </row>
    <row r="70" spans="1:30">
      <c r="A70">
        <v>29</v>
      </c>
      <c r="B70">
        <v>29</v>
      </c>
      <c r="C70">
        <v>32</v>
      </c>
      <c r="D70">
        <v>32</v>
      </c>
      <c r="E70">
        <v>28</v>
      </c>
      <c r="F70">
        <v>32</v>
      </c>
      <c r="G70">
        <v>32</v>
      </c>
      <c r="H70">
        <v>34</v>
      </c>
      <c r="I70">
        <v>34</v>
      </c>
      <c r="J70">
        <v>38</v>
      </c>
      <c r="K70">
        <v>37</v>
      </c>
      <c r="L70">
        <v>38</v>
      </c>
      <c r="M70">
        <v>41</v>
      </c>
      <c r="N70">
        <v>41</v>
      </c>
      <c r="O70">
        <v>46</v>
      </c>
      <c r="P70">
        <v>42</v>
      </c>
      <c r="Q70">
        <v>40</v>
      </c>
      <c r="R70">
        <v>40</v>
      </c>
      <c r="S70">
        <v>32</v>
      </c>
      <c r="T70">
        <v>30</v>
      </c>
      <c r="U70">
        <v>28</v>
      </c>
      <c r="V70">
        <v>31</v>
      </c>
      <c r="W70">
        <v>30</v>
      </c>
      <c r="X70">
        <v>37</v>
      </c>
      <c r="Y70">
        <v>36</v>
      </c>
      <c r="Z70">
        <v>30</v>
      </c>
      <c r="AA70">
        <v>33</v>
      </c>
      <c r="AB70">
        <v>34</v>
      </c>
      <c r="AC70">
        <v>36</v>
      </c>
    </row>
    <row r="71" spans="1:30">
      <c r="A71">
        <v>26</v>
      </c>
      <c r="B71">
        <v>29</v>
      </c>
      <c r="C71">
        <v>30</v>
      </c>
      <c r="D71">
        <v>32</v>
      </c>
      <c r="E71">
        <v>28</v>
      </c>
      <c r="F71">
        <v>31</v>
      </c>
      <c r="G71">
        <v>30</v>
      </c>
      <c r="H71">
        <v>32</v>
      </c>
      <c r="I71">
        <v>32</v>
      </c>
      <c r="J71">
        <v>32</v>
      </c>
      <c r="K71">
        <v>37</v>
      </c>
      <c r="L71">
        <v>38</v>
      </c>
      <c r="M71">
        <v>38</v>
      </c>
      <c r="N71">
        <v>39</v>
      </c>
      <c r="O71">
        <v>47</v>
      </c>
      <c r="P71">
        <v>42</v>
      </c>
      <c r="Q71">
        <v>38</v>
      </c>
      <c r="R71">
        <v>40</v>
      </c>
      <c r="S71">
        <v>33</v>
      </c>
      <c r="T71">
        <v>29</v>
      </c>
      <c r="U71">
        <v>32</v>
      </c>
      <c r="V71">
        <v>32</v>
      </c>
      <c r="W71">
        <v>32</v>
      </c>
      <c r="X71">
        <v>38</v>
      </c>
      <c r="Y71">
        <v>37</v>
      </c>
      <c r="Z71">
        <v>28</v>
      </c>
      <c r="AA71">
        <v>30</v>
      </c>
      <c r="AB71">
        <v>32</v>
      </c>
      <c r="AC71">
        <v>33</v>
      </c>
    </row>
    <row r="72" spans="1:30">
      <c r="A72">
        <v>26</v>
      </c>
      <c r="B72">
        <v>26</v>
      </c>
      <c r="C72">
        <v>31</v>
      </c>
      <c r="D72">
        <v>35</v>
      </c>
      <c r="E72">
        <v>29</v>
      </c>
      <c r="F72">
        <v>30</v>
      </c>
      <c r="G72">
        <v>30</v>
      </c>
      <c r="H72">
        <v>31</v>
      </c>
      <c r="I72">
        <v>32</v>
      </c>
      <c r="J72">
        <v>33</v>
      </c>
      <c r="K72">
        <v>39</v>
      </c>
      <c r="L72">
        <v>38</v>
      </c>
      <c r="M72">
        <v>39</v>
      </c>
      <c r="N72">
        <v>39</v>
      </c>
      <c r="O72">
        <v>50</v>
      </c>
      <c r="P72">
        <v>47</v>
      </c>
      <c r="Q72">
        <v>40</v>
      </c>
      <c r="R72">
        <v>40</v>
      </c>
      <c r="S72">
        <v>30</v>
      </c>
      <c r="T72">
        <v>28</v>
      </c>
      <c r="U72">
        <v>31</v>
      </c>
      <c r="V72">
        <v>30</v>
      </c>
      <c r="W72">
        <v>32</v>
      </c>
      <c r="X72">
        <v>38</v>
      </c>
      <c r="Y72">
        <v>40</v>
      </c>
      <c r="Z72">
        <v>28</v>
      </c>
      <c r="AB72">
        <v>34</v>
      </c>
      <c r="AC72">
        <v>32</v>
      </c>
      <c r="AD72">
        <v>28</v>
      </c>
    </row>
    <row r="73" spans="1:30">
      <c r="A73">
        <v>27</v>
      </c>
      <c r="B73">
        <v>30</v>
      </c>
      <c r="C73">
        <v>33</v>
      </c>
      <c r="D73">
        <v>38</v>
      </c>
      <c r="E73">
        <v>30</v>
      </c>
      <c r="F73">
        <v>31</v>
      </c>
      <c r="G73">
        <v>30</v>
      </c>
      <c r="H73">
        <v>34</v>
      </c>
      <c r="I73">
        <v>33</v>
      </c>
      <c r="J73">
        <v>32</v>
      </c>
      <c r="K73">
        <v>46</v>
      </c>
      <c r="L73">
        <v>40</v>
      </c>
      <c r="M73">
        <v>40</v>
      </c>
      <c r="N73">
        <v>48</v>
      </c>
      <c r="O73">
        <v>56</v>
      </c>
      <c r="P73">
        <v>50</v>
      </c>
      <c r="Q73">
        <v>43</v>
      </c>
      <c r="R73">
        <v>40</v>
      </c>
      <c r="S73">
        <v>30</v>
      </c>
      <c r="T73">
        <v>28</v>
      </c>
      <c r="U73">
        <v>30</v>
      </c>
      <c r="V73">
        <v>30</v>
      </c>
      <c r="W73">
        <v>34</v>
      </c>
      <c r="X73">
        <v>40</v>
      </c>
      <c r="Y73">
        <v>42</v>
      </c>
      <c r="Z73">
        <v>30</v>
      </c>
      <c r="AB73">
        <v>35</v>
      </c>
      <c r="AC73">
        <v>36</v>
      </c>
      <c r="AD73">
        <v>27</v>
      </c>
    </row>
    <row r="74" spans="1:30">
      <c r="A74">
        <v>28</v>
      </c>
      <c r="B74">
        <v>30</v>
      </c>
      <c r="C74">
        <v>37</v>
      </c>
      <c r="D74">
        <v>40</v>
      </c>
      <c r="E74">
        <v>34</v>
      </c>
      <c r="F74">
        <v>34</v>
      </c>
      <c r="G74">
        <v>36</v>
      </c>
      <c r="H74">
        <v>39</v>
      </c>
      <c r="I74">
        <v>39</v>
      </c>
      <c r="J74">
        <v>39</v>
      </c>
      <c r="K74">
        <v>52</v>
      </c>
      <c r="L74">
        <v>44</v>
      </c>
      <c r="M74">
        <v>48</v>
      </c>
      <c r="N74">
        <v>49</v>
      </c>
      <c r="O74">
        <v>60</v>
      </c>
      <c r="P74">
        <v>52</v>
      </c>
      <c r="Q74">
        <v>48</v>
      </c>
      <c r="R74">
        <v>48</v>
      </c>
      <c r="S74">
        <v>30</v>
      </c>
      <c r="T74">
        <v>27</v>
      </c>
      <c r="U74">
        <v>30</v>
      </c>
      <c r="V74">
        <v>31</v>
      </c>
      <c r="W74">
        <v>38</v>
      </c>
      <c r="X74">
        <v>47</v>
      </c>
      <c r="Y74">
        <v>39</v>
      </c>
      <c r="Z74">
        <v>32</v>
      </c>
      <c r="AB74">
        <v>38</v>
      </c>
      <c r="AC74">
        <v>37</v>
      </c>
      <c r="AD74">
        <v>32</v>
      </c>
    </row>
    <row r="75" spans="1:30">
      <c r="A75">
        <v>29</v>
      </c>
      <c r="B75">
        <v>31</v>
      </c>
      <c r="C75">
        <v>41</v>
      </c>
      <c r="D75">
        <v>43</v>
      </c>
      <c r="E75">
        <v>38</v>
      </c>
      <c r="F75">
        <v>40</v>
      </c>
      <c r="G75">
        <v>39</v>
      </c>
      <c r="H75">
        <v>41</v>
      </c>
      <c r="I75">
        <v>46</v>
      </c>
      <c r="J75">
        <v>49</v>
      </c>
      <c r="K75">
        <v>58</v>
      </c>
      <c r="L75">
        <v>51</v>
      </c>
      <c r="M75">
        <v>58</v>
      </c>
      <c r="N75">
        <v>56</v>
      </c>
      <c r="O75">
        <v>60</v>
      </c>
      <c r="P75">
        <v>52</v>
      </c>
      <c r="Q75">
        <v>61</v>
      </c>
      <c r="R75">
        <v>50</v>
      </c>
      <c r="S75">
        <v>32</v>
      </c>
      <c r="T75">
        <v>28</v>
      </c>
      <c r="U75">
        <v>30</v>
      </c>
      <c r="V75">
        <v>36</v>
      </c>
      <c r="W75">
        <v>41</v>
      </c>
      <c r="X75">
        <v>51</v>
      </c>
      <c r="Y75">
        <v>35</v>
      </c>
      <c r="Z75">
        <v>35</v>
      </c>
      <c r="AB75">
        <v>40</v>
      </c>
      <c r="AC75">
        <v>40</v>
      </c>
      <c r="AD75">
        <v>33</v>
      </c>
    </row>
    <row r="76" spans="1:30">
      <c r="A76">
        <v>29</v>
      </c>
      <c r="B76">
        <v>34</v>
      </c>
      <c r="C76">
        <v>42</v>
      </c>
      <c r="D76">
        <v>42</v>
      </c>
      <c r="E76">
        <v>40</v>
      </c>
      <c r="F76">
        <v>41</v>
      </c>
      <c r="G76">
        <v>41</v>
      </c>
      <c r="H76">
        <v>46</v>
      </c>
      <c r="I76">
        <v>49</v>
      </c>
      <c r="J76">
        <v>56</v>
      </c>
      <c r="K76">
        <v>57</v>
      </c>
      <c r="L76">
        <v>56</v>
      </c>
      <c r="M76">
        <v>59</v>
      </c>
      <c r="N76">
        <v>58</v>
      </c>
      <c r="O76">
        <v>57</v>
      </c>
      <c r="P76">
        <v>58</v>
      </c>
      <c r="Q76">
        <v>62</v>
      </c>
      <c r="R76">
        <v>56</v>
      </c>
      <c r="S76">
        <v>34</v>
      </c>
      <c r="T76">
        <v>28</v>
      </c>
      <c r="U76">
        <v>32</v>
      </c>
      <c r="V76">
        <v>38</v>
      </c>
      <c r="W76">
        <v>46</v>
      </c>
      <c r="X76">
        <v>54</v>
      </c>
      <c r="Y76">
        <v>31</v>
      </c>
      <c r="Z76">
        <v>36</v>
      </c>
      <c r="AA76">
        <v>46</v>
      </c>
      <c r="AB76">
        <v>42</v>
      </c>
      <c r="AC76">
        <v>38</v>
      </c>
      <c r="AD76">
        <v>33</v>
      </c>
    </row>
    <row r="77" spans="1:30">
      <c r="A77">
        <v>29</v>
      </c>
      <c r="B77">
        <v>38</v>
      </c>
      <c r="C77">
        <v>40</v>
      </c>
      <c r="D77">
        <v>40</v>
      </c>
      <c r="E77">
        <v>39</v>
      </c>
      <c r="F77">
        <v>41</v>
      </c>
      <c r="G77">
        <v>42</v>
      </c>
      <c r="H77">
        <v>46</v>
      </c>
      <c r="I77">
        <v>50</v>
      </c>
      <c r="J77">
        <v>50</v>
      </c>
      <c r="K77">
        <v>57</v>
      </c>
      <c r="L77">
        <v>57</v>
      </c>
      <c r="M77">
        <v>60</v>
      </c>
      <c r="N77">
        <v>59</v>
      </c>
      <c r="O77">
        <v>58</v>
      </c>
      <c r="P77">
        <v>60</v>
      </c>
      <c r="Q77">
        <v>60</v>
      </c>
      <c r="R77">
        <v>57</v>
      </c>
      <c r="S77">
        <v>39</v>
      </c>
      <c r="T77">
        <v>27</v>
      </c>
      <c r="U77">
        <v>36</v>
      </c>
      <c r="V77">
        <v>34</v>
      </c>
      <c r="W77">
        <v>44</v>
      </c>
      <c r="X77">
        <v>51</v>
      </c>
      <c r="Y77">
        <v>30</v>
      </c>
      <c r="Z77">
        <v>36</v>
      </c>
      <c r="AA77">
        <v>47</v>
      </c>
      <c r="AB77">
        <v>42</v>
      </c>
      <c r="AC77">
        <v>36</v>
      </c>
      <c r="AD77">
        <v>37</v>
      </c>
    </row>
    <row r="78" spans="1:30">
      <c r="A78">
        <v>30</v>
      </c>
      <c r="B78">
        <v>33</v>
      </c>
      <c r="C78">
        <v>40</v>
      </c>
      <c r="D78">
        <v>36</v>
      </c>
      <c r="E78">
        <v>34</v>
      </c>
      <c r="F78">
        <v>39</v>
      </c>
      <c r="G78">
        <v>42</v>
      </c>
      <c r="H78">
        <v>44</v>
      </c>
      <c r="I78">
        <v>39</v>
      </c>
      <c r="J78">
        <v>48</v>
      </c>
      <c r="K78">
        <v>50</v>
      </c>
      <c r="L78">
        <v>48</v>
      </c>
      <c r="M78">
        <v>51</v>
      </c>
      <c r="N78">
        <v>53</v>
      </c>
      <c r="O78">
        <v>53</v>
      </c>
      <c r="P78">
        <v>51</v>
      </c>
      <c r="Q78">
        <v>54</v>
      </c>
      <c r="R78">
        <v>54</v>
      </c>
      <c r="S78">
        <v>33</v>
      </c>
      <c r="T78">
        <v>28</v>
      </c>
      <c r="U78">
        <v>34</v>
      </c>
      <c r="V78">
        <v>30</v>
      </c>
      <c r="W78">
        <v>42</v>
      </c>
      <c r="X78">
        <v>42</v>
      </c>
      <c r="Y78">
        <v>30</v>
      </c>
      <c r="Z78">
        <v>36</v>
      </c>
      <c r="AA78">
        <v>42</v>
      </c>
      <c r="AB78">
        <v>39</v>
      </c>
      <c r="AC78">
        <v>33</v>
      </c>
      <c r="AD78">
        <v>30</v>
      </c>
    </row>
    <row r="79" spans="1:30">
      <c r="A79">
        <v>30</v>
      </c>
      <c r="B79">
        <v>30</v>
      </c>
      <c r="C79">
        <v>38</v>
      </c>
      <c r="D79">
        <v>33</v>
      </c>
      <c r="E79">
        <v>36</v>
      </c>
      <c r="F79">
        <v>36</v>
      </c>
      <c r="G79">
        <v>36</v>
      </c>
      <c r="H79">
        <v>38</v>
      </c>
      <c r="I79">
        <v>39</v>
      </c>
      <c r="J79">
        <v>42</v>
      </c>
      <c r="K79">
        <v>43</v>
      </c>
      <c r="L79">
        <v>45</v>
      </c>
      <c r="M79">
        <v>47</v>
      </c>
      <c r="N79">
        <v>49</v>
      </c>
      <c r="O79">
        <v>46</v>
      </c>
      <c r="P79">
        <v>50</v>
      </c>
      <c r="Q79">
        <v>0</v>
      </c>
      <c r="R79">
        <v>43</v>
      </c>
      <c r="S79">
        <v>0</v>
      </c>
      <c r="T79">
        <v>30</v>
      </c>
      <c r="U79">
        <v>30</v>
      </c>
      <c r="V79">
        <v>30</v>
      </c>
      <c r="W79">
        <v>42</v>
      </c>
      <c r="X79">
        <v>36</v>
      </c>
      <c r="Y79">
        <v>30</v>
      </c>
      <c r="Z79">
        <v>36</v>
      </c>
      <c r="AA79">
        <v>40</v>
      </c>
      <c r="AB79">
        <v>36</v>
      </c>
      <c r="AC79">
        <v>32</v>
      </c>
      <c r="AD79">
        <v>31</v>
      </c>
    </row>
    <row r="80" spans="1:30">
      <c r="A80">
        <v>30</v>
      </c>
      <c r="B80">
        <v>30</v>
      </c>
      <c r="C80">
        <v>36</v>
      </c>
      <c r="D80">
        <v>30</v>
      </c>
      <c r="E80">
        <v>33</v>
      </c>
      <c r="F80">
        <v>36</v>
      </c>
      <c r="G80">
        <v>36</v>
      </c>
      <c r="H80">
        <v>0</v>
      </c>
      <c r="I80">
        <v>39</v>
      </c>
      <c r="J80">
        <v>39</v>
      </c>
      <c r="K80">
        <v>40</v>
      </c>
      <c r="L80">
        <v>42</v>
      </c>
      <c r="M80">
        <v>46</v>
      </c>
      <c r="N80">
        <v>43</v>
      </c>
      <c r="O80">
        <v>44</v>
      </c>
      <c r="P80">
        <v>47</v>
      </c>
      <c r="Q80">
        <v>53</v>
      </c>
      <c r="R80">
        <v>40</v>
      </c>
      <c r="S80">
        <v>39</v>
      </c>
      <c r="T80">
        <v>30</v>
      </c>
      <c r="U80">
        <v>33</v>
      </c>
      <c r="V80">
        <v>32</v>
      </c>
      <c r="W80">
        <v>42</v>
      </c>
      <c r="X80">
        <v>39</v>
      </c>
      <c r="Y80">
        <v>30</v>
      </c>
      <c r="Z80">
        <v>38</v>
      </c>
      <c r="AA80">
        <v>40</v>
      </c>
      <c r="AB80">
        <v>39</v>
      </c>
      <c r="AC80">
        <v>33</v>
      </c>
      <c r="AD80">
        <v>32</v>
      </c>
    </row>
    <row r="81" spans="1:30">
      <c r="A81">
        <v>33</v>
      </c>
      <c r="B81">
        <v>36</v>
      </c>
      <c r="C81">
        <v>42</v>
      </c>
      <c r="D81">
        <v>36</v>
      </c>
      <c r="E81">
        <v>40</v>
      </c>
      <c r="F81">
        <v>42</v>
      </c>
      <c r="G81">
        <v>42</v>
      </c>
      <c r="H81">
        <v>39</v>
      </c>
      <c r="I81">
        <v>42</v>
      </c>
      <c r="J81">
        <v>42</v>
      </c>
      <c r="K81">
        <v>48</v>
      </c>
      <c r="L81">
        <v>51</v>
      </c>
      <c r="M81">
        <v>50</v>
      </c>
      <c r="N81">
        <v>50</v>
      </c>
      <c r="O81">
        <v>50</v>
      </c>
      <c r="P81">
        <v>51</v>
      </c>
      <c r="Q81">
        <v>57</v>
      </c>
      <c r="R81">
        <v>40</v>
      </c>
      <c r="S81">
        <v>39</v>
      </c>
      <c r="T81">
        <v>33</v>
      </c>
      <c r="U81">
        <v>40</v>
      </c>
      <c r="V81">
        <v>40</v>
      </c>
      <c r="W81">
        <v>48</v>
      </c>
      <c r="X81">
        <v>42</v>
      </c>
      <c r="Y81">
        <v>36</v>
      </c>
      <c r="Z81">
        <v>44</v>
      </c>
      <c r="AA81">
        <v>46</v>
      </c>
      <c r="AB81">
        <v>44</v>
      </c>
      <c r="AC81">
        <v>41</v>
      </c>
      <c r="AD81">
        <v>38</v>
      </c>
    </row>
    <row r="82" spans="1:30">
      <c r="A82">
        <v>36</v>
      </c>
      <c r="B82">
        <v>42</v>
      </c>
      <c r="C82">
        <v>48</v>
      </c>
      <c r="D82">
        <v>39</v>
      </c>
      <c r="E82">
        <v>47</v>
      </c>
      <c r="F82">
        <v>48</v>
      </c>
      <c r="G82">
        <v>46</v>
      </c>
      <c r="H82">
        <v>48</v>
      </c>
      <c r="I82">
        <v>48</v>
      </c>
      <c r="J82">
        <v>51</v>
      </c>
      <c r="K82">
        <v>57</v>
      </c>
      <c r="L82">
        <v>60</v>
      </c>
      <c r="M82">
        <v>57</v>
      </c>
      <c r="N82">
        <v>60</v>
      </c>
      <c r="O82">
        <v>60</v>
      </c>
      <c r="P82">
        <v>60</v>
      </c>
      <c r="Q82">
        <v>64</v>
      </c>
      <c r="R82">
        <v>50</v>
      </c>
      <c r="S82">
        <v>38</v>
      </c>
      <c r="T82">
        <v>36</v>
      </c>
      <c r="U82">
        <v>47</v>
      </c>
      <c r="V82">
        <v>47</v>
      </c>
      <c r="W82">
        <v>54</v>
      </c>
      <c r="X82">
        <v>50</v>
      </c>
      <c r="Y82">
        <v>39</v>
      </c>
      <c r="Z82">
        <v>50</v>
      </c>
      <c r="AA82">
        <v>50</v>
      </c>
      <c r="AB82">
        <v>41</v>
      </c>
      <c r="AC82">
        <v>48</v>
      </c>
      <c r="AD82">
        <v>42</v>
      </c>
    </row>
    <row r="83" spans="1:30">
      <c r="A83">
        <v>45</v>
      </c>
      <c r="B83">
        <v>48</v>
      </c>
      <c r="C83">
        <v>54</v>
      </c>
      <c r="D83">
        <v>45</v>
      </c>
      <c r="E83">
        <v>51</v>
      </c>
      <c r="F83">
        <v>54</v>
      </c>
      <c r="G83">
        <v>57</v>
      </c>
      <c r="H83">
        <v>57</v>
      </c>
      <c r="I83">
        <v>57</v>
      </c>
      <c r="J83">
        <v>63</v>
      </c>
      <c r="K83">
        <v>66</v>
      </c>
      <c r="L83">
        <v>69</v>
      </c>
      <c r="M83">
        <v>70</v>
      </c>
      <c r="N83">
        <v>70</v>
      </c>
      <c r="O83">
        <v>71</v>
      </c>
      <c r="P83">
        <v>71</v>
      </c>
      <c r="Q83">
        <v>74</v>
      </c>
      <c r="R83">
        <v>56</v>
      </c>
      <c r="S83">
        <v>44</v>
      </c>
      <c r="T83">
        <v>40</v>
      </c>
      <c r="U83">
        <v>50</v>
      </c>
      <c r="V83">
        <v>50</v>
      </c>
      <c r="W83">
        <v>60</v>
      </c>
      <c r="X83">
        <v>54</v>
      </c>
      <c r="Y83">
        <v>45</v>
      </c>
      <c r="Z83">
        <v>57</v>
      </c>
      <c r="AA83">
        <v>57</v>
      </c>
      <c r="AB83">
        <v>60</v>
      </c>
      <c r="AC83">
        <v>53</v>
      </c>
      <c r="AD83">
        <v>47</v>
      </c>
    </row>
    <row r="84" spans="1:30">
      <c r="A84">
        <v>51</v>
      </c>
      <c r="B84">
        <v>54</v>
      </c>
      <c r="C84">
        <v>60</v>
      </c>
      <c r="D84">
        <v>51</v>
      </c>
      <c r="E84">
        <v>60</v>
      </c>
      <c r="F84">
        <v>60</v>
      </c>
      <c r="G84">
        <v>63</v>
      </c>
      <c r="H84">
        <v>63</v>
      </c>
      <c r="I84">
        <v>63</v>
      </c>
      <c r="J84">
        <v>69</v>
      </c>
      <c r="K84">
        <v>73</v>
      </c>
      <c r="L84">
        <v>78</v>
      </c>
      <c r="M84">
        <v>74</v>
      </c>
      <c r="N84">
        <v>83</v>
      </c>
      <c r="O84">
        <v>79</v>
      </c>
      <c r="P84">
        <v>78</v>
      </c>
      <c r="Q84">
        <v>77</v>
      </c>
      <c r="R84">
        <v>66</v>
      </c>
      <c r="S84">
        <v>48</v>
      </c>
      <c r="T84">
        <v>46</v>
      </c>
      <c r="U84">
        <v>60</v>
      </c>
      <c r="V84">
        <v>54</v>
      </c>
      <c r="W84">
        <v>60</v>
      </c>
      <c r="X84">
        <v>57</v>
      </c>
      <c r="Y84">
        <v>50</v>
      </c>
      <c r="Z84">
        <v>60</v>
      </c>
      <c r="AA84">
        <v>60</v>
      </c>
      <c r="AB84">
        <v>60</v>
      </c>
      <c r="AC84">
        <v>58</v>
      </c>
      <c r="AD84">
        <v>51</v>
      </c>
    </row>
    <row r="85" spans="1:30">
      <c r="A85">
        <v>51</v>
      </c>
      <c r="B85">
        <v>54</v>
      </c>
      <c r="C85">
        <v>60</v>
      </c>
      <c r="D85">
        <v>51</v>
      </c>
      <c r="E85">
        <v>60</v>
      </c>
      <c r="F85">
        <v>60</v>
      </c>
      <c r="G85">
        <v>63</v>
      </c>
      <c r="H85">
        <v>60</v>
      </c>
      <c r="I85">
        <v>63</v>
      </c>
      <c r="J85">
        <v>72</v>
      </c>
      <c r="K85">
        <v>75</v>
      </c>
      <c r="L85">
        <v>78</v>
      </c>
      <c r="M85">
        <v>81</v>
      </c>
      <c r="N85">
        <v>81</v>
      </c>
      <c r="O85">
        <v>80</v>
      </c>
      <c r="P85">
        <v>81</v>
      </c>
      <c r="Q85">
        <v>78</v>
      </c>
      <c r="R85">
        <v>69</v>
      </c>
      <c r="S85">
        <v>48</v>
      </c>
      <c r="T85">
        <v>48</v>
      </c>
      <c r="U85">
        <v>57</v>
      </c>
      <c r="V85">
        <v>51</v>
      </c>
      <c r="W85">
        <v>60</v>
      </c>
      <c r="X85">
        <v>57</v>
      </c>
      <c r="Y85">
        <v>50</v>
      </c>
      <c r="Z85">
        <v>60</v>
      </c>
      <c r="AA85">
        <v>57</v>
      </c>
      <c r="AB85">
        <v>60</v>
      </c>
      <c r="AC85">
        <v>57</v>
      </c>
      <c r="AD85">
        <v>50</v>
      </c>
    </row>
    <row r="87" spans="1:30">
      <c r="AA87">
        <v>124</v>
      </c>
      <c r="AB87">
        <v>152</v>
      </c>
      <c r="AC87">
        <v>122</v>
      </c>
      <c r="AD87">
        <v>140</v>
      </c>
    </row>
    <row r="88" spans="1:30">
      <c r="AA88">
        <v>122</v>
      </c>
      <c r="AB88">
        <v>150</v>
      </c>
      <c r="AC88">
        <v>120</v>
      </c>
      <c r="AD88">
        <v>138</v>
      </c>
    </row>
    <row r="89" spans="1:30">
      <c r="AA89">
        <v>120</v>
      </c>
      <c r="AB89">
        <v>144</v>
      </c>
      <c r="AC89">
        <v>117</v>
      </c>
      <c r="AD89">
        <v>135</v>
      </c>
    </row>
    <row r="90" spans="1:30">
      <c r="AA90">
        <v>120</v>
      </c>
      <c r="AB90">
        <v>140</v>
      </c>
      <c r="AC90">
        <v>116</v>
      </c>
      <c r="AD90">
        <v>132</v>
      </c>
    </row>
    <row r="91" spans="1:30">
      <c r="AA91">
        <v>119</v>
      </c>
      <c r="AB91">
        <v>142</v>
      </c>
      <c r="AC91">
        <v>119</v>
      </c>
      <c r="AD91">
        <v>130</v>
      </c>
    </row>
    <row r="92" spans="1:30">
      <c r="AA92">
        <v>118</v>
      </c>
      <c r="AB92">
        <v>140</v>
      </c>
      <c r="AC92">
        <v>121</v>
      </c>
      <c r="AD92">
        <v>126</v>
      </c>
    </row>
    <row r="93" spans="1:30">
      <c r="AA93">
        <v>118</v>
      </c>
      <c r="AB93">
        <v>136</v>
      </c>
      <c r="AC93">
        <v>124</v>
      </c>
      <c r="AD93">
        <v>122</v>
      </c>
    </row>
    <row r="94" spans="1:30">
      <c r="AA94">
        <v>132</v>
      </c>
      <c r="AB94">
        <v>140</v>
      </c>
      <c r="AC94">
        <v>130</v>
      </c>
      <c r="AD94">
        <v>128</v>
      </c>
    </row>
    <row r="95" spans="1:30">
      <c r="AA95">
        <v>124</v>
      </c>
      <c r="AB95">
        <v>124</v>
      </c>
      <c r="AC95">
        <v>112</v>
      </c>
      <c r="AD95">
        <v>126</v>
      </c>
    </row>
    <row r="96" spans="1:30">
      <c r="AA96">
        <v>117</v>
      </c>
      <c r="AB96">
        <v>120</v>
      </c>
      <c r="AC96">
        <v>102</v>
      </c>
      <c r="AD96">
        <v>120</v>
      </c>
    </row>
    <row r="97" spans="26:30">
      <c r="AA97">
        <v>99</v>
      </c>
      <c r="AB97">
        <v>124</v>
      </c>
      <c r="AC97">
        <v>93</v>
      </c>
      <c r="AD97">
        <v>115</v>
      </c>
    </row>
    <row r="98" spans="26:30">
      <c r="AA98">
        <v>96</v>
      </c>
      <c r="AB98">
        <v>126</v>
      </c>
      <c r="AC98">
        <v>93</v>
      </c>
      <c r="AD98">
        <v>107</v>
      </c>
    </row>
    <row r="99" spans="26:30">
      <c r="AA99">
        <v>90</v>
      </c>
      <c r="AB99">
        <v>138</v>
      </c>
      <c r="AC99">
        <v>98</v>
      </c>
      <c r="AD99">
        <v>108</v>
      </c>
    </row>
    <row r="100" spans="26:30">
      <c r="AA100">
        <v>88</v>
      </c>
      <c r="AB100">
        <v>156</v>
      </c>
      <c r="AC100">
        <v>104</v>
      </c>
      <c r="AD100">
        <v>112</v>
      </c>
    </row>
    <row r="101" spans="26:30">
      <c r="AA101">
        <v>88</v>
      </c>
      <c r="AB101">
        <v>160</v>
      </c>
      <c r="AC101">
        <v>110</v>
      </c>
      <c r="AD101">
        <v>118</v>
      </c>
    </row>
    <row r="102" spans="26:30">
      <c r="AA102">
        <v>92</v>
      </c>
      <c r="AB102">
        <v>152</v>
      </c>
      <c r="AC102">
        <v>109</v>
      </c>
      <c r="AD102">
        <v>118</v>
      </c>
    </row>
    <row r="103" spans="26:30">
      <c r="AA103">
        <v>110</v>
      </c>
      <c r="AB103">
        <v>138</v>
      </c>
      <c r="AC103">
        <v>138</v>
      </c>
      <c r="AD103">
        <v>126</v>
      </c>
    </row>
    <row r="104" spans="26:30">
      <c r="AA104">
        <v>116</v>
      </c>
      <c r="AB104">
        <v>144</v>
      </c>
      <c r="AC104">
        <v>141</v>
      </c>
      <c r="AD104">
        <v>134</v>
      </c>
    </row>
    <row r="105" spans="26:30">
      <c r="AA105">
        <v>126</v>
      </c>
      <c r="AB105">
        <v>162</v>
      </c>
      <c r="AC105">
        <v>150</v>
      </c>
      <c r="AD105">
        <v>136</v>
      </c>
    </row>
    <row r="106" spans="26:30">
      <c r="AA106">
        <v>147</v>
      </c>
      <c r="AB106">
        <v>174</v>
      </c>
      <c r="AC106">
        <v>156</v>
      </c>
      <c r="AD106">
        <v>150</v>
      </c>
    </row>
    <row r="107" spans="26:30">
      <c r="AA107">
        <v>138</v>
      </c>
      <c r="AB107">
        <v>172</v>
      </c>
      <c r="AC107">
        <v>150</v>
      </c>
      <c r="AD107">
        <v>156</v>
      </c>
    </row>
    <row r="108" spans="26:30">
      <c r="AA108">
        <v>130</v>
      </c>
      <c r="AB108">
        <v>168</v>
      </c>
      <c r="AC108">
        <v>150</v>
      </c>
      <c r="AD108">
        <v>150</v>
      </c>
    </row>
    <row r="109" spans="26:30">
      <c r="AA109">
        <v>130</v>
      </c>
      <c r="AB109">
        <v>162</v>
      </c>
      <c r="AC109">
        <v>150</v>
      </c>
      <c r="AD109">
        <v>142</v>
      </c>
    </row>
    <row r="110" spans="26:30">
      <c r="AA110">
        <v>123</v>
      </c>
      <c r="AB110">
        <v>156</v>
      </c>
      <c r="AC110">
        <v>144</v>
      </c>
      <c r="AD110">
        <v>137</v>
      </c>
    </row>
    <row r="111" spans="26:30">
      <c r="Z111">
        <f>SUM(Z87:Z110)</f>
        <v>0</v>
      </c>
      <c r="AA111">
        <f>SUM(AA87:AA110)</f>
        <v>2787</v>
      </c>
      <c r="AB111">
        <f>SUM(AB87:AB110)</f>
        <v>3520</v>
      </c>
      <c r="AC111">
        <f>SUM(AC87:AC110)</f>
        <v>2969</v>
      </c>
      <c r="AD111">
        <f>SUM(AD87:AD110)</f>
        <v>3106</v>
      </c>
    </row>
    <row r="112" spans="26:30">
      <c r="Z112">
        <f>Z111/24</f>
        <v>0</v>
      </c>
      <c r="AA112">
        <f>AA111/24</f>
        <v>116.125</v>
      </c>
      <c r="AB112">
        <f>AB111/24</f>
        <v>146.66666666666666</v>
      </c>
      <c r="AC112">
        <f>AC111/24</f>
        <v>123.70833333333333</v>
      </c>
      <c r="AD112">
        <f>AD111/24</f>
        <v>129.41666666666666</v>
      </c>
    </row>
    <row r="115" spans="9:37">
      <c r="I115">
        <v>22</v>
      </c>
      <c r="J115">
        <v>34</v>
      </c>
      <c r="K115">
        <v>37</v>
      </c>
      <c r="L115">
        <v>27</v>
      </c>
      <c r="O115">
        <v>94</v>
      </c>
      <c r="P115">
        <v>130</v>
      </c>
      <c r="Q115">
        <v>108</v>
      </c>
      <c r="R115">
        <v>150</v>
      </c>
      <c r="U115">
        <v>74</v>
      </c>
      <c r="V115">
        <v>100</v>
      </c>
      <c r="W115">
        <v>87</v>
      </c>
      <c r="X115">
        <v>83</v>
      </c>
      <c r="AB115">
        <v>22</v>
      </c>
      <c r="AC115">
        <v>24</v>
      </c>
      <c r="AD115">
        <v>26</v>
      </c>
      <c r="AE115">
        <v>30</v>
      </c>
      <c r="AH115">
        <v>51</v>
      </c>
      <c r="AI115">
        <v>63</v>
      </c>
      <c r="AJ115">
        <v>63</v>
      </c>
      <c r="AK115">
        <v>76</v>
      </c>
    </row>
    <row r="116" spans="9:37">
      <c r="I116">
        <v>22</v>
      </c>
      <c r="J116">
        <v>32</v>
      </c>
      <c r="K116">
        <v>36</v>
      </c>
      <c r="L116">
        <v>24</v>
      </c>
      <c r="O116">
        <v>88</v>
      </c>
      <c r="P116">
        <v>128</v>
      </c>
      <c r="Q116">
        <v>102</v>
      </c>
      <c r="R116">
        <v>142</v>
      </c>
      <c r="U116">
        <v>72</v>
      </c>
      <c r="V116">
        <v>96</v>
      </c>
      <c r="W116">
        <v>84</v>
      </c>
      <c r="X116">
        <v>80</v>
      </c>
      <c r="AB116">
        <v>21</v>
      </c>
      <c r="AC116">
        <v>23</v>
      </c>
      <c r="AD116">
        <v>25</v>
      </c>
      <c r="AE116">
        <v>28</v>
      </c>
      <c r="AH116">
        <v>49</v>
      </c>
      <c r="AI116">
        <v>60</v>
      </c>
      <c r="AJ116">
        <v>61</v>
      </c>
      <c r="AK116">
        <v>73</v>
      </c>
    </row>
    <row r="117" spans="9:37">
      <c r="I117">
        <v>21</v>
      </c>
      <c r="J117">
        <v>30</v>
      </c>
      <c r="K117">
        <v>34</v>
      </c>
      <c r="L117">
        <v>23</v>
      </c>
      <c r="O117">
        <v>80</v>
      </c>
      <c r="P117">
        <v>120</v>
      </c>
      <c r="Q117">
        <v>92</v>
      </c>
      <c r="R117">
        <v>133</v>
      </c>
      <c r="U117">
        <v>68</v>
      </c>
      <c r="V117">
        <v>92</v>
      </c>
      <c r="W117">
        <v>78</v>
      </c>
      <c r="X117">
        <v>78</v>
      </c>
      <c r="AB117">
        <v>19</v>
      </c>
      <c r="AC117">
        <v>21</v>
      </c>
      <c r="AD117">
        <v>24</v>
      </c>
      <c r="AE117">
        <v>26</v>
      </c>
      <c r="AH117">
        <v>46</v>
      </c>
      <c r="AI117">
        <v>56</v>
      </c>
      <c r="AJ117">
        <v>58</v>
      </c>
      <c r="AK117">
        <v>70</v>
      </c>
    </row>
    <row r="118" spans="9:37">
      <c r="I118">
        <v>20</v>
      </c>
      <c r="J118">
        <v>28</v>
      </c>
      <c r="K118">
        <v>32</v>
      </c>
      <c r="L118">
        <v>22</v>
      </c>
      <c r="O118">
        <v>72</v>
      </c>
      <c r="P118">
        <v>111</v>
      </c>
      <c r="Q118">
        <v>88</v>
      </c>
      <c r="R118">
        <v>122</v>
      </c>
      <c r="U118">
        <v>65</v>
      </c>
      <c r="V118">
        <v>88</v>
      </c>
      <c r="W118">
        <v>74</v>
      </c>
      <c r="X118">
        <v>76</v>
      </c>
      <c r="AB118">
        <v>17</v>
      </c>
      <c r="AC118">
        <v>20</v>
      </c>
      <c r="AD118">
        <v>23</v>
      </c>
      <c r="AE118">
        <v>24</v>
      </c>
      <c r="AH118">
        <v>43</v>
      </c>
      <c r="AI118">
        <v>52</v>
      </c>
      <c r="AJ118">
        <v>55</v>
      </c>
      <c r="AK118">
        <v>66</v>
      </c>
    </row>
    <row r="119" spans="9:37">
      <c r="I119">
        <v>18</v>
      </c>
      <c r="J119">
        <v>26</v>
      </c>
      <c r="K119">
        <v>30</v>
      </c>
      <c r="L119">
        <v>21</v>
      </c>
      <c r="O119">
        <v>68</v>
      </c>
      <c r="P119">
        <v>100</v>
      </c>
      <c r="Q119">
        <v>85</v>
      </c>
      <c r="R119">
        <v>114</v>
      </c>
      <c r="U119">
        <v>62</v>
      </c>
      <c r="V119">
        <v>84</v>
      </c>
      <c r="W119">
        <v>70</v>
      </c>
      <c r="X119">
        <v>74</v>
      </c>
      <c r="AB119">
        <v>16</v>
      </c>
      <c r="AC119">
        <v>19</v>
      </c>
      <c r="AD119">
        <v>22</v>
      </c>
      <c r="AE119">
        <v>22</v>
      </c>
      <c r="AH119">
        <v>40</v>
      </c>
      <c r="AI119">
        <v>48</v>
      </c>
      <c r="AJ119">
        <v>52</v>
      </c>
      <c r="AK119">
        <v>60</v>
      </c>
    </row>
    <row r="120" spans="9:37">
      <c r="I120">
        <v>16</v>
      </c>
      <c r="J120">
        <v>25</v>
      </c>
      <c r="K120">
        <v>28</v>
      </c>
      <c r="L120">
        <v>20</v>
      </c>
      <c r="O120">
        <v>70</v>
      </c>
      <c r="P120">
        <v>92</v>
      </c>
      <c r="Q120">
        <v>81</v>
      </c>
      <c r="R120">
        <v>108</v>
      </c>
      <c r="U120">
        <v>59</v>
      </c>
      <c r="V120">
        <v>80</v>
      </c>
      <c r="W120">
        <v>68</v>
      </c>
      <c r="X120">
        <v>72</v>
      </c>
      <c r="AB120">
        <v>15</v>
      </c>
      <c r="AC120">
        <v>18</v>
      </c>
      <c r="AD120">
        <v>20</v>
      </c>
      <c r="AE120">
        <v>24</v>
      </c>
      <c r="AH120">
        <v>37</v>
      </c>
      <c r="AI120">
        <v>45</v>
      </c>
      <c r="AJ120">
        <v>49</v>
      </c>
      <c r="AK120">
        <v>49</v>
      </c>
    </row>
    <row r="121" spans="9:37">
      <c r="I121">
        <v>16</v>
      </c>
      <c r="J121">
        <v>23</v>
      </c>
      <c r="K121">
        <v>27</v>
      </c>
      <c r="L121">
        <v>19</v>
      </c>
      <c r="P121">
        <v>88</v>
      </c>
      <c r="Q121">
        <v>78</v>
      </c>
      <c r="R121">
        <v>104</v>
      </c>
      <c r="U121">
        <v>59</v>
      </c>
      <c r="V121">
        <v>78</v>
      </c>
      <c r="W121">
        <v>68</v>
      </c>
      <c r="X121">
        <v>70</v>
      </c>
      <c r="AB121">
        <v>15</v>
      </c>
      <c r="AC121">
        <v>17</v>
      </c>
      <c r="AD121">
        <v>18</v>
      </c>
      <c r="AE121">
        <v>20</v>
      </c>
      <c r="AH121">
        <v>36</v>
      </c>
      <c r="AI121">
        <v>42</v>
      </c>
      <c r="AJ121">
        <v>46</v>
      </c>
      <c r="AK121">
        <v>47</v>
      </c>
    </row>
    <row r="122" spans="9:37">
      <c r="I122">
        <v>16</v>
      </c>
      <c r="J122">
        <v>21</v>
      </c>
      <c r="K122">
        <v>25</v>
      </c>
      <c r="L122">
        <v>18</v>
      </c>
      <c r="P122">
        <v>82</v>
      </c>
      <c r="Q122">
        <v>76</v>
      </c>
      <c r="R122">
        <v>94</v>
      </c>
      <c r="U122">
        <v>60</v>
      </c>
      <c r="V122">
        <v>78</v>
      </c>
      <c r="W122">
        <v>68</v>
      </c>
      <c r="X122">
        <v>69</v>
      </c>
      <c r="AB122">
        <v>15</v>
      </c>
      <c r="AC122">
        <v>16</v>
      </c>
      <c r="AD122">
        <v>18</v>
      </c>
      <c r="AE122">
        <v>18</v>
      </c>
      <c r="AH122">
        <v>36</v>
      </c>
      <c r="AI122">
        <v>40</v>
      </c>
      <c r="AJ122">
        <v>46</v>
      </c>
      <c r="AK122">
        <v>45</v>
      </c>
    </row>
    <row r="123" spans="9:37">
      <c r="I123">
        <v>13</v>
      </c>
      <c r="J123">
        <v>20</v>
      </c>
      <c r="K123">
        <v>24</v>
      </c>
      <c r="L123">
        <v>16</v>
      </c>
      <c r="O123">
        <v>98</v>
      </c>
      <c r="P123">
        <v>88</v>
      </c>
      <c r="Q123">
        <v>82</v>
      </c>
      <c r="R123">
        <v>102</v>
      </c>
      <c r="U123">
        <v>49</v>
      </c>
      <c r="V123">
        <v>73</v>
      </c>
      <c r="W123">
        <v>59</v>
      </c>
      <c r="X123">
        <v>64</v>
      </c>
      <c r="AB123">
        <v>15</v>
      </c>
      <c r="AC123">
        <v>19</v>
      </c>
      <c r="AD123">
        <v>24</v>
      </c>
      <c r="AE123">
        <v>22</v>
      </c>
      <c r="AH123">
        <v>33</v>
      </c>
      <c r="AI123">
        <v>49</v>
      </c>
      <c r="AJ123">
        <v>51</v>
      </c>
      <c r="AK123">
        <v>54</v>
      </c>
    </row>
    <row r="124" spans="9:37">
      <c r="I124">
        <v>14</v>
      </c>
      <c r="J124">
        <v>21</v>
      </c>
      <c r="K124">
        <v>22</v>
      </c>
      <c r="L124">
        <v>17</v>
      </c>
      <c r="O124">
        <v>98</v>
      </c>
      <c r="P124">
        <v>86</v>
      </c>
      <c r="Q124">
        <v>78</v>
      </c>
      <c r="R124">
        <v>96</v>
      </c>
      <c r="U124">
        <v>49</v>
      </c>
      <c r="V124">
        <v>72</v>
      </c>
      <c r="W124">
        <v>58</v>
      </c>
      <c r="X124">
        <v>62</v>
      </c>
      <c r="AB124">
        <v>16</v>
      </c>
      <c r="AC124">
        <v>16</v>
      </c>
      <c r="AD124">
        <v>22</v>
      </c>
      <c r="AE124">
        <v>19</v>
      </c>
      <c r="AH124">
        <v>33</v>
      </c>
      <c r="AI124">
        <v>42</v>
      </c>
      <c r="AJ124">
        <v>49</v>
      </c>
      <c r="AK124">
        <v>49</v>
      </c>
    </row>
    <row r="125" spans="9:37">
      <c r="I125">
        <v>15</v>
      </c>
      <c r="J125">
        <v>24</v>
      </c>
      <c r="K125">
        <v>24</v>
      </c>
      <c r="L125">
        <v>18</v>
      </c>
      <c r="O125">
        <v>80</v>
      </c>
      <c r="P125">
        <v>92</v>
      </c>
      <c r="Q125">
        <v>82</v>
      </c>
      <c r="R125">
        <v>100</v>
      </c>
      <c r="U125">
        <v>48</v>
      </c>
      <c r="V125">
        <v>73</v>
      </c>
      <c r="W125">
        <v>59</v>
      </c>
      <c r="X125">
        <v>57</v>
      </c>
      <c r="AB125">
        <v>15</v>
      </c>
      <c r="AC125">
        <v>16</v>
      </c>
      <c r="AD125">
        <v>21</v>
      </c>
      <c r="AE125">
        <v>19</v>
      </c>
      <c r="AH125">
        <v>33</v>
      </c>
      <c r="AI125">
        <v>39</v>
      </c>
      <c r="AJ125">
        <v>49</v>
      </c>
      <c r="AK125">
        <v>45</v>
      </c>
    </row>
    <row r="126" spans="9:37">
      <c r="I126">
        <v>16</v>
      </c>
      <c r="J126">
        <v>26</v>
      </c>
      <c r="K126">
        <v>24</v>
      </c>
      <c r="L126">
        <v>18</v>
      </c>
      <c r="O126">
        <v>80</v>
      </c>
      <c r="P126">
        <v>110</v>
      </c>
      <c r="Q126">
        <v>84</v>
      </c>
      <c r="R126">
        <v>110</v>
      </c>
      <c r="U126">
        <v>44</v>
      </c>
      <c r="V126">
        <v>72</v>
      </c>
      <c r="W126">
        <v>59</v>
      </c>
      <c r="X126">
        <v>59</v>
      </c>
      <c r="AB126">
        <v>15</v>
      </c>
      <c r="AC126">
        <v>15</v>
      </c>
      <c r="AD126">
        <v>21</v>
      </c>
      <c r="AE126">
        <v>22</v>
      </c>
      <c r="AH126">
        <v>30</v>
      </c>
      <c r="AI126">
        <v>39</v>
      </c>
      <c r="AJ126">
        <v>48</v>
      </c>
      <c r="AK126">
        <v>48</v>
      </c>
    </row>
    <row r="127" spans="9:37">
      <c r="I127">
        <v>18</v>
      </c>
      <c r="J127">
        <v>30</v>
      </c>
      <c r="K127">
        <v>22</v>
      </c>
      <c r="L127">
        <v>18</v>
      </c>
      <c r="O127">
        <v>78</v>
      </c>
      <c r="P127">
        <v>120</v>
      </c>
      <c r="Q127">
        <v>86</v>
      </c>
      <c r="R127">
        <v>122</v>
      </c>
      <c r="U127">
        <v>50</v>
      </c>
      <c r="V127">
        <v>84</v>
      </c>
      <c r="W127">
        <v>59</v>
      </c>
      <c r="X127">
        <v>60</v>
      </c>
      <c r="AB127">
        <v>15</v>
      </c>
      <c r="AC127">
        <v>18</v>
      </c>
      <c r="AD127">
        <v>21</v>
      </c>
      <c r="AE127">
        <v>25</v>
      </c>
      <c r="AH127">
        <v>31</v>
      </c>
      <c r="AI127">
        <v>42</v>
      </c>
      <c r="AJ127">
        <v>48</v>
      </c>
      <c r="AK127">
        <v>58</v>
      </c>
    </row>
    <row r="128" spans="9:37">
      <c r="I128">
        <v>19</v>
      </c>
      <c r="J128">
        <v>34</v>
      </c>
      <c r="K128">
        <v>20</v>
      </c>
      <c r="L128">
        <v>21</v>
      </c>
      <c r="O128">
        <v>82</v>
      </c>
      <c r="P128">
        <v>128</v>
      </c>
      <c r="Q128">
        <v>92</v>
      </c>
      <c r="R128">
        <v>124</v>
      </c>
      <c r="U128">
        <v>51</v>
      </c>
      <c r="V128">
        <v>84</v>
      </c>
      <c r="W128">
        <v>61</v>
      </c>
      <c r="X128">
        <v>60</v>
      </c>
      <c r="AB128">
        <v>18</v>
      </c>
      <c r="AC128">
        <v>19</v>
      </c>
      <c r="AD128">
        <v>21</v>
      </c>
      <c r="AE128">
        <v>28</v>
      </c>
      <c r="AH128">
        <v>34</v>
      </c>
      <c r="AI128">
        <v>45</v>
      </c>
      <c r="AJ128">
        <v>46</v>
      </c>
      <c r="AK128">
        <v>60</v>
      </c>
    </row>
    <row r="129" spans="9:38">
      <c r="I129">
        <v>21</v>
      </c>
      <c r="J129">
        <v>36</v>
      </c>
      <c r="K129">
        <v>18</v>
      </c>
      <c r="L129">
        <v>19</v>
      </c>
      <c r="O129">
        <v>86</v>
      </c>
      <c r="P129">
        <v>136</v>
      </c>
      <c r="Q129">
        <v>90</v>
      </c>
      <c r="R129">
        <v>138</v>
      </c>
      <c r="U129">
        <v>58</v>
      </c>
      <c r="V129">
        <v>93</v>
      </c>
      <c r="W129">
        <v>60</v>
      </c>
      <c r="X129">
        <v>60</v>
      </c>
      <c r="AB129">
        <v>19</v>
      </c>
      <c r="AC129">
        <v>21</v>
      </c>
      <c r="AD129">
        <v>21</v>
      </c>
      <c r="AE129">
        <v>31</v>
      </c>
      <c r="AH129">
        <v>39</v>
      </c>
      <c r="AI129">
        <v>45</v>
      </c>
      <c r="AJ129">
        <v>46</v>
      </c>
      <c r="AK129">
        <v>67</v>
      </c>
    </row>
    <row r="130" spans="9:38">
      <c r="I130">
        <v>21</v>
      </c>
      <c r="J130">
        <v>33</v>
      </c>
      <c r="K130">
        <v>21</v>
      </c>
      <c r="L130">
        <v>22</v>
      </c>
      <c r="O130">
        <v>82</v>
      </c>
      <c r="P130">
        <v>130</v>
      </c>
      <c r="Q130">
        <v>88</v>
      </c>
      <c r="R130">
        <v>0</v>
      </c>
      <c r="U130">
        <v>60</v>
      </c>
      <c r="V130">
        <v>91</v>
      </c>
      <c r="W130">
        <v>58</v>
      </c>
      <c r="X130">
        <v>60</v>
      </c>
      <c r="AB130">
        <v>19</v>
      </c>
      <c r="AC130">
        <v>19</v>
      </c>
      <c r="AD130">
        <v>18</v>
      </c>
      <c r="AE130">
        <v>30</v>
      </c>
      <c r="AH130">
        <v>39</v>
      </c>
      <c r="AI130">
        <v>43</v>
      </c>
      <c r="AJ130">
        <v>40</v>
      </c>
      <c r="AK130">
        <v>72</v>
      </c>
    </row>
    <row r="131" spans="9:38">
      <c r="I131">
        <v>21</v>
      </c>
      <c r="J131">
        <v>30</v>
      </c>
      <c r="K131">
        <v>24</v>
      </c>
      <c r="L131">
        <v>25</v>
      </c>
      <c r="O131">
        <v>86</v>
      </c>
      <c r="P131">
        <v>122</v>
      </c>
      <c r="Q131">
        <v>88</v>
      </c>
      <c r="R131">
        <v>124</v>
      </c>
      <c r="U131">
        <v>60</v>
      </c>
      <c r="V131">
        <v>86</v>
      </c>
      <c r="W131">
        <v>54</v>
      </c>
      <c r="X131">
        <v>65</v>
      </c>
      <c r="AB131">
        <v>18</v>
      </c>
      <c r="AC131">
        <v>18</v>
      </c>
      <c r="AD131">
        <v>16</v>
      </c>
      <c r="AE131">
        <v>26</v>
      </c>
      <c r="AH131">
        <v>40</v>
      </c>
      <c r="AI131">
        <v>43</v>
      </c>
      <c r="AJ131">
        <v>38</v>
      </c>
      <c r="AK131">
        <v>66</v>
      </c>
    </row>
    <row r="132" spans="9:38">
      <c r="I132">
        <v>19</v>
      </c>
      <c r="J132">
        <v>27</v>
      </c>
      <c r="K132">
        <v>26</v>
      </c>
      <c r="L132">
        <v>19</v>
      </c>
      <c r="O132">
        <v>78</v>
      </c>
      <c r="P132">
        <v>102</v>
      </c>
      <c r="Q132">
        <v>80</v>
      </c>
      <c r="R132">
        <v>104</v>
      </c>
      <c r="U132">
        <v>54</v>
      </c>
      <c r="V132">
        <v>78</v>
      </c>
      <c r="W132">
        <v>54</v>
      </c>
      <c r="X132">
        <v>54</v>
      </c>
      <c r="AB132">
        <v>18</v>
      </c>
      <c r="AC132">
        <v>18</v>
      </c>
      <c r="AD132">
        <v>16</v>
      </c>
      <c r="AE132">
        <v>24</v>
      </c>
      <c r="AH132">
        <v>40</v>
      </c>
      <c r="AI132">
        <v>42</v>
      </c>
      <c r="AJ132">
        <v>37</v>
      </c>
      <c r="AK132">
        <v>52</v>
      </c>
    </row>
    <row r="133" spans="9:38">
      <c r="I133">
        <v>23</v>
      </c>
      <c r="J133">
        <v>27</v>
      </c>
      <c r="K133">
        <v>28</v>
      </c>
      <c r="L133">
        <v>18</v>
      </c>
      <c r="O133">
        <v>90</v>
      </c>
      <c r="P133">
        <v>98</v>
      </c>
      <c r="Q133">
        <v>84</v>
      </c>
      <c r="R133">
        <v>102</v>
      </c>
      <c r="U133">
        <v>72</v>
      </c>
      <c r="V133">
        <v>70</v>
      </c>
      <c r="W133">
        <v>57</v>
      </c>
      <c r="X133">
        <v>64</v>
      </c>
      <c r="AB133">
        <v>18</v>
      </c>
      <c r="AC133">
        <v>19</v>
      </c>
      <c r="AD133">
        <v>18</v>
      </c>
      <c r="AE133">
        <v>22</v>
      </c>
      <c r="AH133">
        <v>42</v>
      </c>
      <c r="AI133">
        <v>40</v>
      </c>
      <c r="AJ133">
        <v>40</v>
      </c>
      <c r="AK133">
        <v>49</v>
      </c>
    </row>
    <row r="134" spans="9:38">
      <c r="I134">
        <v>25</v>
      </c>
      <c r="J134">
        <v>29</v>
      </c>
      <c r="K134">
        <v>31</v>
      </c>
      <c r="L134">
        <v>21</v>
      </c>
      <c r="O134">
        <v>98</v>
      </c>
      <c r="P134">
        <v>110</v>
      </c>
      <c r="Q134">
        <v>94</v>
      </c>
      <c r="R134">
        <v>106</v>
      </c>
      <c r="U134">
        <v>78</v>
      </c>
      <c r="V134">
        <v>78</v>
      </c>
      <c r="W134">
        <v>64</v>
      </c>
      <c r="X134">
        <v>68</v>
      </c>
      <c r="AB134">
        <v>19</v>
      </c>
      <c r="AC134">
        <v>19</v>
      </c>
      <c r="AD134">
        <v>21</v>
      </c>
      <c r="AE134">
        <v>22</v>
      </c>
      <c r="AH134">
        <v>48</v>
      </c>
      <c r="AI134">
        <v>48</v>
      </c>
      <c r="AJ134">
        <v>46</v>
      </c>
      <c r="AK134">
        <v>55</v>
      </c>
    </row>
    <row r="135" spans="9:38">
      <c r="I135">
        <v>27</v>
      </c>
      <c r="J135">
        <v>31</v>
      </c>
      <c r="K135">
        <v>28</v>
      </c>
      <c r="L135">
        <v>25</v>
      </c>
      <c r="O135">
        <v>108</v>
      </c>
      <c r="P135">
        <v>118</v>
      </c>
      <c r="Q135">
        <v>102</v>
      </c>
      <c r="R135">
        <v>120</v>
      </c>
      <c r="U135">
        <v>81</v>
      </c>
      <c r="V135">
        <v>97</v>
      </c>
      <c r="W135">
        <v>78</v>
      </c>
      <c r="X135">
        <v>76</v>
      </c>
      <c r="AB135">
        <v>24</v>
      </c>
      <c r="AC135">
        <v>22</v>
      </c>
      <c r="AD135">
        <v>23</v>
      </c>
      <c r="AE135">
        <v>27</v>
      </c>
      <c r="AH135">
        <v>57</v>
      </c>
      <c r="AI135">
        <v>55</v>
      </c>
      <c r="AJ135">
        <v>57</v>
      </c>
      <c r="AK135">
        <v>61</v>
      </c>
    </row>
    <row r="136" spans="9:38">
      <c r="I136">
        <v>26</v>
      </c>
      <c r="J136">
        <v>42</v>
      </c>
      <c r="L136">
        <v>27</v>
      </c>
      <c r="O136">
        <v>105</v>
      </c>
      <c r="P136">
        <v>148</v>
      </c>
      <c r="Q136">
        <v>110</v>
      </c>
      <c r="R136">
        <v>132</v>
      </c>
      <c r="U136">
        <v>76</v>
      </c>
      <c r="V136">
        <v>113</v>
      </c>
      <c r="W136">
        <v>79</v>
      </c>
      <c r="X136">
        <v>80</v>
      </c>
      <c r="AB136">
        <v>22</v>
      </c>
      <c r="AC136">
        <v>25</v>
      </c>
      <c r="AD136">
        <v>22</v>
      </c>
      <c r="AE136">
        <v>36</v>
      </c>
      <c r="AH136">
        <v>55</v>
      </c>
      <c r="AI136">
        <v>58</v>
      </c>
      <c r="AJ136">
        <v>57</v>
      </c>
      <c r="AK136">
        <v>81</v>
      </c>
    </row>
    <row r="137" spans="9:38">
      <c r="I137">
        <v>25</v>
      </c>
      <c r="J137">
        <v>45</v>
      </c>
      <c r="L137">
        <v>28</v>
      </c>
      <c r="O137">
        <v>103</v>
      </c>
      <c r="P137">
        <v>156</v>
      </c>
      <c r="Q137">
        <v>110</v>
      </c>
      <c r="R137">
        <v>142</v>
      </c>
      <c r="U137">
        <v>73</v>
      </c>
      <c r="V137">
        <v>114</v>
      </c>
      <c r="W137">
        <v>80</v>
      </c>
      <c r="X137">
        <v>80</v>
      </c>
      <c r="AB137">
        <v>23</v>
      </c>
      <c r="AC137">
        <v>25</v>
      </c>
      <c r="AD137">
        <v>24</v>
      </c>
      <c r="AE137">
        <v>39</v>
      </c>
      <c r="AH137">
        <v>50</v>
      </c>
      <c r="AI137">
        <v>60</v>
      </c>
      <c r="AJ137">
        <v>60</v>
      </c>
      <c r="AK137">
        <v>87</v>
      </c>
    </row>
    <row r="138" spans="9:38">
      <c r="I138">
        <v>25</v>
      </c>
      <c r="J138">
        <v>40</v>
      </c>
      <c r="L138">
        <v>24</v>
      </c>
      <c r="P138">
        <v>160</v>
      </c>
      <c r="Q138">
        <v>104</v>
      </c>
      <c r="R138">
        <v>138</v>
      </c>
      <c r="V138">
        <v>113</v>
      </c>
      <c r="W138">
        <v>79</v>
      </c>
      <c r="X138">
        <v>79</v>
      </c>
      <c r="AC138">
        <v>25</v>
      </c>
      <c r="AD138">
        <v>24</v>
      </c>
      <c r="AE138">
        <v>36</v>
      </c>
      <c r="AI138">
        <v>61</v>
      </c>
      <c r="AJ138">
        <v>58</v>
      </c>
      <c r="AK138">
        <v>81</v>
      </c>
    </row>
    <row r="139" spans="9:38">
      <c r="I139">
        <f t="shared" ref="I139:P139" si="0">AVERAGE(I115:I135)</f>
        <v>19.19047619047619</v>
      </c>
      <c r="J139">
        <f t="shared" si="0"/>
        <v>27.952380952380953</v>
      </c>
      <c r="K139">
        <f t="shared" si="0"/>
        <v>26.714285714285715</v>
      </c>
      <c r="L139">
        <f t="shared" si="0"/>
        <v>20.523809523809526</v>
      </c>
      <c r="M139" t="e">
        <f t="shared" si="0"/>
        <v>#DIV/0!</v>
      </c>
      <c r="N139" t="e">
        <f t="shared" si="0"/>
        <v>#DIV/0!</v>
      </c>
      <c r="O139">
        <f t="shared" si="0"/>
        <v>85.05263157894737</v>
      </c>
      <c r="P139">
        <f t="shared" si="0"/>
        <v>109.0952380952381</v>
      </c>
      <c r="Q139">
        <f t="shared" ref="Q139:AL139" si="1">AVERAGE(Q115:Q138)</f>
        <v>90.166666666666671</v>
      </c>
      <c r="R139">
        <f t="shared" si="1"/>
        <v>113.625</v>
      </c>
      <c r="S139" t="e">
        <f t="shared" si="1"/>
        <v>#DIV/0!</v>
      </c>
      <c r="T139" t="e">
        <f t="shared" si="1"/>
        <v>#DIV/0!</v>
      </c>
      <c r="U139">
        <f t="shared" si="1"/>
        <v>61.826086956521742</v>
      </c>
      <c r="V139">
        <f t="shared" si="1"/>
        <v>86.958333333333329</v>
      </c>
      <c r="W139">
        <f t="shared" si="1"/>
        <v>67.291666666666671</v>
      </c>
      <c r="X139">
        <f t="shared" si="1"/>
        <v>68.75</v>
      </c>
      <c r="Y139" t="e">
        <f t="shared" si="1"/>
        <v>#DIV/0!</v>
      </c>
      <c r="Z139" t="e">
        <f t="shared" si="1"/>
        <v>#DIV/0!</v>
      </c>
      <c r="AA139" t="e">
        <f t="shared" si="1"/>
        <v>#DIV/0!</v>
      </c>
      <c r="AB139">
        <f t="shared" si="1"/>
        <v>18</v>
      </c>
      <c r="AC139">
        <f t="shared" si="1"/>
        <v>19.666666666666668</v>
      </c>
      <c r="AD139">
        <f t="shared" si="1"/>
        <v>21.208333333333332</v>
      </c>
      <c r="AE139">
        <f t="shared" si="1"/>
        <v>25.833333333333332</v>
      </c>
      <c r="AF139" t="e">
        <f t="shared" si="1"/>
        <v>#DIV/0!</v>
      </c>
      <c r="AG139" t="e">
        <f t="shared" si="1"/>
        <v>#DIV/0!</v>
      </c>
      <c r="AH139">
        <f t="shared" si="1"/>
        <v>40.956521739130437</v>
      </c>
      <c r="AI139">
        <f t="shared" si="1"/>
        <v>48.208333333333336</v>
      </c>
      <c r="AJ139">
        <f t="shared" si="1"/>
        <v>50</v>
      </c>
      <c r="AK139">
        <f t="shared" si="1"/>
        <v>61.291666666666664</v>
      </c>
      <c r="AL139" t="e">
        <f t="shared" si="1"/>
        <v>#DIV/0!</v>
      </c>
    </row>
    <row r="141" spans="9:38">
      <c r="I141">
        <v>122</v>
      </c>
      <c r="J141">
        <v>136</v>
      </c>
      <c r="K141">
        <v>146</v>
      </c>
      <c r="L141">
        <v>156</v>
      </c>
      <c r="M141">
        <v>142</v>
      </c>
      <c r="N141">
        <v>149</v>
      </c>
      <c r="O141">
        <v>152</v>
      </c>
      <c r="P141">
        <v>162</v>
      </c>
      <c r="Q141">
        <v>152</v>
      </c>
      <c r="R141">
        <v>0</v>
      </c>
      <c r="S141">
        <v>170</v>
      </c>
      <c r="T141">
        <v>176</v>
      </c>
      <c r="U141">
        <v>172</v>
      </c>
      <c r="V141">
        <v>176</v>
      </c>
      <c r="W141">
        <v>176</v>
      </c>
      <c r="X141">
        <v>176</v>
      </c>
      <c r="Y141">
        <v>172</v>
      </c>
      <c r="Z141">
        <v>168</v>
      </c>
      <c r="AA141">
        <v>158</v>
      </c>
      <c r="AB141">
        <v>124</v>
      </c>
      <c r="AC141">
        <v>120</v>
      </c>
      <c r="AD141">
        <v>140</v>
      </c>
      <c r="AE141">
        <v>130</v>
      </c>
      <c r="AF141">
        <v>148</v>
      </c>
      <c r="AG141">
        <v>140</v>
      </c>
      <c r="AH141">
        <v>132</v>
      </c>
      <c r="AI141">
        <v>142</v>
      </c>
      <c r="AJ141">
        <v>142</v>
      </c>
      <c r="AK141">
        <v>146</v>
      </c>
      <c r="AL141">
        <v>140</v>
      </c>
    </row>
    <row r="142" spans="9:38">
      <c r="I142">
        <v>120</v>
      </c>
      <c r="J142">
        <v>131</v>
      </c>
      <c r="K142">
        <v>144</v>
      </c>
      <c r="L142">
        <v>152</v>
      </c>
      <c r="M142">
        <v>140</v>
      </c>
      <c r="N142">
        <v>150</v>
      </c>
      <c r="O142">
        <v>150</v>
      </c>
      <c r="P142">
        <v>158</v>
      </c>
      <c r="Q142">
        <v>150</v>
      </c>
      <c r="R142">
        <v>152</v>
      </c>
      <c r="S142">
        <v>164</v>
      </c>
      <c r="T142">
        <v>171</v>
      </c>
      <c r="U142">
        <v>168</v>
      </c>
      <c r="V142">
        <v>174</v>
      </c>
      <c r="W142">
        <v>174</v>
      </c>
      <c r="X142">
        <v>174</v>
      </c>
      <c r="Y142">
        <v>164</v>
      </c>
      <c r="Z142">
        <v>165</v>
      </c>
      <c r="AA142">
        <v>156</v>
      </c>
      <c r="AB142">
        <v>122</v>
      </c>
      <c r="AC142">
        <v>118</v>
      </c>
      <c r="AD142">
        <v>137</v>
      </c>
      <c r="AE142">
        <v>128</v>
      </c>
      <c r="AF142">
        <v>145</v>
      </c>
      <c r="AG142">
        <v>137</v>
      </c>
      <c r="AH142">
        <v>128</v>
      </c>
      <c r="AI142">
        <v>140</v>
      </c>
      <c r="AJ142">
        <v>140</v>
      </c>
      <c r="AK142">
        <v>142</v>
      </c>
      <c r="AL142">
        <v>138</v>
      </c>
    </row>
    <row r="143" spans="9:38">
      <c r="I143">
        <v>117</v>
      </c>
      <c r="J143">
        <v>128</v>
      </c>
      <c r="K143">
        <v>138</v>
      </c>
      <c r="L143">
        <v>147</v>
      </c>
      <c r="M143">
        <v>137</v>
      </c>
      <c r="N143">
        <v>146</v>
      </c>
      <c r="O143">
        <v>145</v>
      </c>
      <c r="P143">
        <v>156</v>
      </c>
      <c r="Q143">
        <v>144</v>
      </c>
      <c r="R143">
        <v>148</v>
      </c>
      <c r="S143">
        <v>160</v>
      </c>
      <c r="T143">
        <v>165</v>
      </c>
      <c r="U143">
        <v>164</v>
      </c>
      <c r="V143">
        <v>172</v>
      </c>
      <c r="W143">
        <v>171</v>
      </c>
      <c r="X143">
        <v>170</v>
      </c>
      <c r="Y143">
        <v>160</v>
      </c>
      <c r="Z143">
        <v>162</v>
      </c>
      <c r="AA143">
        <v>151</v>
      </c>
      <c r="AB143">
        <v>120</v>
      </c>
      <c r="AC143">
        <v>117</v>
      </c>
      <c r="AD143">
        <v>135</v>
      </c>
      <c r="AE143">
        <v>126</v>
      </c>
      <c r="AF143">
        <v>142</v>
      </c>
      <c r="AG143">
        <v>135</v>
      </c>
      <c r="AH143">
        <v>125</v>
      </c>
      <c r="AI143">
        <v>138</v>
      </c>
      <c r="AJ143">
        <v>137</v>
      </c>
      <c r="AK143">
        <v>140</v>
      </c>
      <c r="AL143">
        <v>135</v>
      </c>
    </row>
    <row r="144" spans="9:38">
      <c r="I144">
        <v>116</v>
      </c>
      <c r="J144">
        <v>126</v>
      </c>
      <c r="K144">
        <v>132</v>
      </c>
      <c r="L144">
        <v>141</v>
      </c>
      <c r="M144">
        <v>132</v>
      </c>
      <c r="N144">
        <v>140</v>
      </c>
      <c r="O144">
        <v>143</v>
      </c>
      <c r="P144">
        <v>150</v>
      </c>
      <c r="Q144">
        <v>140</v>
      </c>
      <c r="R144">
        <v>144</v>
      </c>
      <c r="S144">
        <v>154</v>
      </c>
      <c r="T144">
        <v>159</v>
      </c>
      <c r="U144">
        <v>160</v>
      </c>
      <c r="V144">
        <v>170</v>
      </c>
      <c r="W144">
        <v>167</v>
      </c>
      <c r="X144">
        <v>168</v>
      </c>
      <c r="Y144">
        <v>159</v>
      </c>
      <c r="Z144">
        <v>160</v>
      </c>
      <c r="AA144">
        <v>148</v>
      </c>
      <c r="AB144">
        <v>120</v>
      </c>
      <c r="AC144">
        <v>15</v>
      </c>
      <c r="AD144">
        <v>130</v>
      </c>
      <c r="AE144">
        <v>120</v>
      </c>
      <c r="AF144">
        <v>138</v>
      </c>
      <c r="AG144">
        <v>132</v>
      </c>
      <c r="AH144">
        <v>120</v>
      </c>
      <c r="AI144">
        <v>135</v>
      </c>
      <c r="AJ144">
        <v>135</v>
      </c>
      <c r="AK144">
        <v>137</v>
      </c>
      <c r="AL144">
        <v>132</v>
      </c>
    </row>
    <row r="145" spans="9:38">
      <c r="I145">
        <v>118</v>
      </c>
      <c r="J145">
        <v>124</v>
      </c>
      <c r="K145">
        <v>129</v>
      </c>
      <c r="L145">
        <v>134</v>
      </c>
      <c r="M145">
        <v>130</v>
      </c>
      <c r="N145">
        <v>136</v>
      </c>
      <c r="O145">
        <v>141</v>
      </c>
      <c r="P145">
        <v>148</v>
      </c>
      <c r="Q145">
        <v>142</v>
      </c>
      <c r="R145">
        <v>140</v>
      </c>
      <c r="S145">
        <v>150</v>
      </c>
      <c r="T145">
        <v>157</v>
      </c>
      <c r="U145">
        <v>162</v>
      </c>
      <c r="V145">
        <v>167</v>
      </c>
      <c r="W145">
        <v>164</v>
      </c>
      <c r="X145">
        <v>165</v>
      </c>
      <c r="Y145">
        <v>152</v>
      </c>
      <c r="Z145">
        <v>158</v>
      </c>
      <c r="AA145">
        <v>147</v>
      </c>
      <c r="AB145">
        <v>119</v>
      </c>
      <c r="AC145">
        <v>12</v>
      </c>
      <c r="AD145">
        <v>126</v>
      </c>
      <c r="AE145">
        <v>122</v>
      </c>
      <c r="AF145">
        <v>136</v>
      </c>
      <c r="AG145">
        <v>135</v>
      </c>
      <c r="AH145">
        <v>122</v>
      </c>
      <c r="AI145">
        <v>132</v>
      </c>
      <c r="AJ145">
        <v>138</v>
      </c>
      <c r="AK145">
        <v>141</v>
      </c>
      <c r="AL145">
        <v>130</v>
      </c>
    </row>
    <row r="146" spans="9:38">
      <c r="I146">
        <v>121</v>
      </c>
      <c r="J146">
        <v>122</v>
      </c>
      <c r="K146">
        <v>124</v>
      </c>
      <c r="L146">
        <v>132</v>
      </c>
      <c r="M146">
        <v>131</v>
      </c>
      <c r="N146">
        <v>135</v>
      </c>
      <c r="O146">
        <v>139</v>
      </c>
      <c r="P146">
        <v>145</v>
      </c>
      <c r="Q146">
        <v>140</v>
      </c>
      <c r="R146">
        <v>141</v>
      </c>
      <c r="S146">
        <v>146</v>
      </c>
      <c r="T146">
        <v>154</v>
      </c>
      <c r="U146">
        <v>164</v>
      </c>
      <c r="V146">
        <v>164</v>
      </c>
      <c r="W146">
        <v>161</v>
      </c>
      <c r="X146">
        <v>164</v>
      </c>
      <c r="Y146">
        <v>147</v>
      </c>
      <c r="Z146">
        <v>156</v>
      </c>
      <c r="AA146">
        <v>145</v>
      </c>
      <c r="AB146">
        <v>118</v>
      </c>
      <c r="AC146">
        <v>110</v>
      </c>
      <c r="AD146">
        <v>121</v>
      </c>
      <c r="AE146">
        <v>128</v>
      </c>
      <c r="AF146">
        <v>132</v>
      </c>
      <c r="AG146">
        <v>138</v>
      </c>
      <c r="AH146">
        <v>126</v>
      </c>
      <c r="AI146">
        <v>130</v>
      </c>
      <c r="AJ146">
        <v>140</v>
      </c>
      <c r="AK146">
        <v>143</v>
      </c>
      <c r="AL146">
        <v>126</v>
      </c>
    </row>
    <row r="147" spans="9:38">
      <c r="I147">
        <v>124</v>
      </c>
      <c r="J147">
        <v>124</v>
      </c>
      <c r="K147">
        <v>136</v>
      </c>
      <c r="L147">
        <v>128</v>
      </c>
      <c r="M147">
        <v>132</v>
      </c>
      <c r="N147">
        <v>130</v>
      </c>
      <c r="O147">
        <v>138</v>
      </c>
      <c r="P147">
        <v>144</v>
      </c>
      <c r="Q147">
        <v>136</v>
      </c>
      <c r="R147">
        <v>134</v>
      </c>
      <c r="S147">
        <v>140</v>
      </c>
      <c r="T147">
        <v>150</v>
      </c>
      <c r="U147">
        <v>165</v>
      </c>
      <c r="V147">
        <v>162</v>
      </c>
      <c r="W147">
        <v>158</v>
      </c>
      <c r="X147">
        <v>162</v>
      </c>
      <c r="Y147">
        <v>162</v>
      </c>
      <c r="Z147">
        <v>154</v>
      </c>
      <c r="AA147">
        <v>144</v>
      </c>
      <c r="AB147">
        <v>118</v>
      </c>
      <c r="AC147">
        <v>124</v>
      </c>
      <c r="AD147">
        <v>118</v>
      </c>
      <c r="AE147">
        <v>134</v>
      </c>
      <c r="AF147">
        <v>140</v>
      </c>
      <c r="AG147">
        <v>140</v>
      </c>
      <c r="AH147">
        <v>128</v>
      </c>
      <c r="AI147">
        <v>128</v>
      </c>
      <c r="AJ147">
        <v>142</v>
      </c>
      <c r="AK147">
        <v>144</v>
      </c>
      <c r="AL147">
        <v>122</v>
      </c>
    </row>
    <row r="148" spans="9:38">
      <c r="I148">
        <v>130</v>
      </c>
      <c r="J148">
        <v>132</v>
      </c>
      <c r="K148">
        <v>128</v>
      </c>
      <c r="L148">
        <v>134</v>
      </c>
      <c r="M148">
        <v>128</v>
      </c>
      <c r="N148">
        <v>132</v>
      </c>
      <c r="O148">
        <v>138</v>
      </c>
      <c r="P148">
        <v>142</v>
      </c>
      <c r="Q148">
        <v>140</v>
      </c>
      <c r="R148">
        <v>130</v>
      </c>
      <c r="S148">
        <v>138</v>
      </c>
      <c r="T148">
        <v>152</v>
      </c>
      <c r="U148">
        <v>156</v>
      </c>
      <c r="V148">
        <v>154</v>
      </c>
      <c r="W148">
        <v>156</v>
      </c>
      <c r="X148">
        <v>160</v>
      </c>
      <c r="Y148">
        <v>150</v>
      </c>
      <c r="Z148">
        <v>156</v>
      </c>
      <c r="AA148">
        <v>140</v>
      </c>
      <c r="AB148">
        <v>132</v>
      </c>
      <c r="AC148">
        <v>126</v>
      </c>
      <c r="AD148">
        <v>140</v>
      </c>
      <c r="AE148">
        <v>136</v>
      </c>
      <c r="AF148">
        <v>152</v>
      </c>
      <c r="AG148">
        <v>142</v>
      </c>
      <c r="AH148">
        <v>130</v>
      </c>
      <c r="AI148">
        <v>132</v>
      </c>
      <c r="AJ148">
        <v>146</v>
      </c>
      <c r="AK148">
        <v>144</v>
      </c>
      <c r="AL148">
        <v>128</v>
      </c>
    </row>
    <row r="149" spans="9:38">
      <c r="I149">
        <v>112</v>
      </c>
      <c r="J149">
        <v>124</v>
      </c>
      <c r="K149">
        <v>116</v>
      </c>
      <c r="L149">
        <v>135</v>
      </c>
      <c r="M149">
        <v>120</v>
      </c>
      <c r="N149">
        <v>118</v>
      </c>
      <c r="O149">
        <v>123</v>
      </c>
      <c r="P149">
        <v>132</v>
      </c>
      <c r="Q149">
        <v>124</v>
      </c>
      <c r="R149">
        <v>124</v>
      </c>
      <c r="S149">
        <v>120</v>
      </c>
      <c r="T149">
        <v>136</v>
      </c>
      <c r="U149">
        <v>144</v>
      </c>
      <c r="V149">
        <v>140</v>
      </c>
      <c r="W149">
        <v>134</v>
      </c>
      <c r="X149">
        <v>152</v>
      </c>
      <c r="Y149">
        <v>128</v>
      </c>
      <c r="Z149">
        <v>144</v>
      </c>
      <c r="AA149">
        <v>126</v>
      </c>
      <c r="AB149">
        <v>124</v>
      </c>
      <c r="AC149">
        <v>116</v>
      </c>
      <c r="AD149">
        <v>128</v>
      </c>
      <c r="AE149">
        <v>126</v>
      </c>
      <c r="AF149">
        <v>140</v>
      </c>
      <c r="AG149">
        <v>142</v>
      </c>
      <c r="AH149">
        <v>128</v>
      </c>
      <c r="AI149">
        <v>120</v>
      </c>
      <c r="AJ149">
        <v>132</v>
      </c>
      <c r="AK149">
        <v>137</v>
      </c>
      <c r="AL149">
        <v>126</v>
      </c>
    </row>
    <row r="150" spans="9:38">
      <c r="I150">
        <v>102</v>
      </c>
      <c r="J150">
        <v>112</v>
      </c>
      <c r="K150">
        <v>106</v>
      </c>
      <c r="L150">
        <v>130</v>
      </c>
      <c r="M150">
        <v>115</v>
      </c>
      <c r="N150">
        <v>120</v>
      </c>
      <c r="O150">
        <v>120</v>
      </c>
      <c r="P150">
        <v>122</v>
      </c>
      <c r="Q150">
        <v>120</v>
      </c>
      <c r="R150">
        <v>126</v>
      </c>
      <c r="S150">
        <v>123</v>
      </c>
      <c r="T150">
        <v>140</v>
      </c>
      <c r="U150">
        <v>136</v>
      </c>
      <c r="V150">
        <v>132</v>
      </c>
      <c r="W150">
        <v>140</v>
      </c>
      <c r="X150">
        <v>145</v>
      </c>
      <c r="Y150">
        <v>132</v>
      </c>
      <c r="Z150">
        <v>144</v>
      </c>
      <c r="AA150">
        <v>114</v>
      </c>
      <c r="AB150">
        <v>117</v>
      </c>
      <c r="AC150">
        <v>112</v>
      </c>
      <c r="AD150">
        <v>122</v>
      </c>
      <c r="AE150">
        <v>124</v>
      </c>
      <c r="AF150">
        <v>134</v>
      </c>
      <c r="AG150">
        <v>141</v>
      </c>
      <c r="AH150">
        <v>117</v>
      </c>
      <c r="AI150">
        <v>114</v>
      </c>
      <c r="AJ150">
        <v>120</v>
      </c>
      <c r="AK150">
        <v>130</v>
      </c>
      <c r="AL150">
        <v>120</v>
      </c>
    </row>
    <row r="151" spans="9:38">
      <c r="I151">
        <v>93</v>
      </c>
      <c r="J151">
        <v>108</v>
      </c>
      <c r="K151">
        <v>105</v>
      </c>
      <c r="L151">
        <v>120</v>
      </c>
      <c r="M151">
        <v>113</v>
      </c>
      <c r="N151">
        <v>118</v>
      </c>
      <c r="O151">
        <v>118</v>
      </c>
      <c r="P151">
        <v>118</v>
      </c>
      <c r="Q151">
        <v>124</v>
      </c>
      <c r="R151">
        <v>122</v>
      </c>
      <c r="S151">
        <v>134</v>
      </c>
      <c r="T151">
        <v>134</v>
      </c>
      <c r="U151">
        <v>132</v>
      </c>
      <c r="V151">
        <v>136</v>
      </c>
      <c r="W151">
        <v>147</v>
      </c>
      <c r="X151">
        <v>149</v>
      </c>
      <c r="Y151">
        <v>147</v>
      </c>
      <c r="Z151">
        <v>143</v>
      </c>
      <c r="AA151">
        <v>110</v>
      </c>
      <c r="AB151">
        <v>99</v>
      </c>
      <c r="AC151">
        <v>114</v>
      </c>
      <c r="AD151">
        <v>120</v>
      </c>
      <c r="AE151">
        <v>114</v>
      </c>
      <c r="AF151">
        <v>130</v>
      </c>
      <c r="AG151">
        <v>137</v>
      </c>
      <c r="AH151">
        <v>110</v>
      </c>
      <c r="AI151">
        <v>102</v>
      </c>
      <c r="AJ151">
        <v>129</v>
      </c>
      <c r="AK151">
        <v>128</v>
      </c>
      <c r="AL151">
        <v>115</v>
      </c>
    </row>
    <row r="152" spans="9:38">
      <c r="I152">
        <v>93</v>
      </c>
      <c r="J152">
        <v>114</v>
      </c>
      <c r="K152">
        <v>111</v>
      </c>
      <c r="L152">
        <v>120</v>
      </c>
      <c r="M152">
        <v>116</v>
      </c>
      <c r="N152">
        <v>116</v>
      </c>
      <c r="O152">
        <v>118</v>
      </c>
      <c r="P152">
        <v>127</v>
      </c>
      <c r="Q152">
        <v>126</v>
      </c>
      <c r="R152">
        <v>124</v>
      </c>
      <c r="S152">
        <v>142</v>
      </c>
      <c r="T152">
        <v>142</v>
      </c>
      <c r="U152">
        <v>138</v>
      </c>
      <c r="V152">
        <v>144</v>
      </c>
      <c r="W152">
        <v>152</v>
      </c>
      <c r="X152">
        <v>156</v>
      </c>
      <c r="Y152">
        <v>150</v>
      </c>
      <c r="Z152">
        <v>126</v>
      </c>
      <c r="AA152">
        <v>110</v>
      </c>
      <c r="AB152">
        <v>96</v>
      </c>
      <c r="AC152">
        <v>112</v>
      </c>
      <c r="AD152">
        <v>106</v>
      </c>
      <c r="AE152">
        <v>118</v>
      </c>
      <c r="AF152">
        <v>136</v>
      </c>
      <c r="AG152">
        <v>132</v>
      </c>
      <c r="AH152">
        <v>106</v>
      </c>
      <c r="AI152">
        <v>96</v>
      </c>
      <c r="AJ152">
        <v>0</v>
      </c>
      <c r="AK152">
        <v>132</v>
      </c>
      <c r="AL152">
        <v>107</v>
      </c>
    </row>
    <row r="153" spans="9:38">
      <c r="I153">
        <v>98</v>
      </c>
      <c r="J153">
        <v>110</v>
      </c>
      <c r="K153">
        <v>122</v>
      </c>
      <c r="L153">
        <v>125</v>
      </c>
      <c r="M153">
        <v>120</v>
      </c>
      <c r="N153">
        <v>120</v>
      </c>
      <c r="O153">
        <v>122</v>
      </c>
      <c r="P153">
        <v>136</v>
      </c>
      <c r="Q153">
        <v>138</v>
      </c>
      <c r="R153">
        <v>136</v>
      </c>
      <c r="S153">
        <v>159</v>
      </c>
      <c r="T153">
        <v>152</v>
      </c>
      <c r="U153">
        <v>150</v>
      </c>
      <c r="V153">
        <v>152</v>
      </c>
      <c r="W153">
        <v>157</v>
      </c>
      <c r="X153">
        <v>156</v>
      </c>
      <c r="Y153">
        <v>161</v>
      </c>
      <c r="Z153">
        <v>136</v>
      </c>
      <c r="AA153">
        <v>110</v>
      </c>
      <c r="AB153">
        <v>90</v>
      </c>
      <c r="AC153">
        <v>106</v>
      </c>
      <c r="AD153">
        <v>104</v>
      </c>
      <c r="AE153">
        <v>130</v>
      </c>
      <c r="AF153">
        <v>150</v>
      </c>
      <c r="AG153">
        <v>120</v>
      </c>
      <c r="AH153">
        <v>107</v>
      </c>
      <c r="AI153">
        <v>97</v>
      </c>
      <c r="AJ153">
        <v>114</v>
      </c>
      <c r="AK153">
        <v>124</v>
      </c>
      <c r="AL153">
        <v>108</v>
      </c>
    </row>
    <row r="154" spans="9:38">
      <c r="I154">
        <v>104</v>
      </c>
      <c r="J154">
        <v>118</v>
      </c>
      <c r="K154">
        <v>130</v>
      </c>
      <c r="L154">
        <v>136</v>
      </c>
      <c r="M154">
        <v>128</v>
      </c>
      <c r="N154">
        <v>130</v>
      </c>
      <c r="O154">
        <v>136</v>
      </c>
      <c r="P154">
        <v>138</v>
      </c>
      <c r="Q154">
        <v>156</v>
      </c>
      <c r="R154">
        <v>146</v>
      </c>
      <c r="S154">
        <v>163</v>
      </c>
      <c r="T154">
        <v>162</v>
      </c>
      <c r="U154">
        <v>164</v>
      </c>
      <c r="V154">
        <v>158</v>
      </c>
      <c r="W154">
        <v>158</v>
      </c>
      <c r="X154">
        <v>158</v>
      </c>
      <c r="Y154">
        <v>165</v>
      </c>
      <c r="Z154">
        <v>138</v>
      </c>
      <c r="AA154">
        <v>102</v>
      </c>
      <c r="AB154">
        <v>88</v>
      </c>
      <c r="AC154">
        <v>110</v>
      </c>
      <c r="AD154">
        <v>120</v>
      </c>
      <c r="AE154">
        <v>130</v>
      </c>
      <c r="AF154">
        <v>150</v>
      </c>
      <c r="AG154">
        <v>112</v>
      </c>
      <c r="AH154">
        <v>117</v>
      </c>
      <c r="AI154">
        <v>100</v>
      </c>
      <c r="AJ154">
        <v>128</v>
      </c>
      <c r="AK154">
        <v>126</v>
      </c>
      <c r="AL154">
        <v>112</v>
      </c>
    </row>
    <row r="155" spans="9:38">
      <c r="I155">
        <v>110</v>
      </c>
      <c r="J155">
        <v>122</v>
      </c>
      <c r="K155">
        <v>135</v>
      </c>
      <c r="L155">
        <v>138</v>
      </c>
      <c r="M155">
        <v>136</v>
      </c>
      <c r="N155">
        <v>134</v>
      </c>
      <c r="O155">
        <v>138</v>
      </c>
      <c r="P155">
        <v>142</v>
      </c>
      <c r="Q155">
        <v>160</v>
      </c>
      <c r="R155">
        <v>152</v>
      </c>
      <c r="S155">
        <v>162</v>
      </c>
      <c r="T155">
        <v>168</v>
      </c>
      <c r="U155">
        <v>166</v>
      </c>
      <c r="V155">
        <v>160</v>
      </c>
      <c r="W155">
        <v>160</v>
      </c>
      <c r="X155">
        <v>159</v>
      </c>
      <c r="Y155">
        <v>166</v>
      </c>
      <c r="Z155">
        <v>158</v>
      </c>
      <c r="AA155">
        <v>114</v>
      </c>
      <c r="AB155">
        <v>88</v>
      </c>
      <c r="AC155">
        <v>112</v>
      </c>
      <c r="AD155">
        <v>120</v>
      </c>
      <c r="AE155">
        <v>136</v>
      </c>
      <c r="AF155">
        <v>152</v>
      </c>
      <c r="AG155">
        <v>107</v>
      </c>
      <c r="AH155">
        <v>116</v>
      </c>
      <c r="AI155">
        <v>102</v>
      </c>
      <c r="AJ155">
        <v>132</v>
      </c>
      <c r="AK155">
        <v>116</v>
      </c>
      <c r="AL155">
        <v>118</v>
      </c>
    </row>
    <row r="156" spans="9:38">
      <c r="I156">
        <v>109</v>
      </c>
      <c r="J156">
        <v>124</v>
      </c>
      <c r="K156">
        <v>136</v>
      </c>
      <c r="L156">
        <v>136</v>
      </c>
      <c r="M156">
        <v>132</v>
      </c>
      <c r="N156">
        <v>138</v>
      </c>
      <c r="O156">
        <v>134</v>
      </c>
      <c r="P156">
        <v>144</v>
      </c>
      <c r="Q156">
        <v>152</v>
      </c>
      <c r="R156">
        <v>150</v>
      </c>
      <c r="S156">
        <v>160</v>
      </c>
      <c r="T156">
        <v>166</v>
      </c>
      <c r="U156">
        <v>164</v>
      </c>
      <c r="V156">
        <v>160</v>
      </c>
      <c r="W156">
        <v>158</v>
      </c>
      <c r="X156">
        <v>158</v>
      </c>
      <c r="Y156">
        <v>174</v>
      </c>
      <c r="Z156">
        <v>156</v>
      </c>
      <c r="AA156">
        <v>128</v>
      </c>
      <c r="AB156">
        <v>92</v>
      </c>
      <c r="AC156">
        <v>122</v>
      </c>
      <c r="AD156">
        <v>120</v>
      </c>
      <c r="AE156">
        <v>138</v>
      </c>
      <c r="AF156">
        <v>150</v>
      </c>
      <c r="AG156">
        <v>109</v>
      </c>
      <c r="AH156">
        <v>118</v>
      </c>
      <c r="AI156">
        <v>106</v>
      </c>
      <c r="AJ156">
        <v>130</v>
      </c>
      <c r="AK156">
        <v>122</v>
      </c>
      <c r="AL156">
        <v>118</v>
      </c>
    </row>
    <row r="157" spans="9:38">
      <c r="I157">
        <v>138</v>
      </c>
      <c r="J157">
        <v>126</v>
      </c>
      <c r="K157">
        <v>162</v>
      </c>
      <c r="L157">
        <v>132</v>
      </c>
      <c r="M157">
        <v>154</v>
      </c>
      <c r="N157">
        <v>134</v>
      </c>
      <c r="O157">
        <v>156</v>
      </c>
      <c r="P157">
        <v>138</v>
      </c>
      <c r="Q157">
        <v>138</v>
      </c>
      <c r="R157">
        <v>141</v>
      </c>
      <c r="S157">
        <v>168</v>
      </c>
      <c r="T157">
        <v>162</v>
      </c>
      <c r="U157">
        <v>172</v>
      </c>
      <c r="V157">
        <v>112</v>
      </c>
      <c r="W157">
        <v>174</v>
      </c>
      <c r="X157">
        <v>158</v>
      </c>
      <c r="Y157">
        <v>178</v>
      </c>
      <c r="Z157">
        <v>152</v>
      </c>
      <c r="AA157">
        <v>154</v>
      </c>
      <c r="AB157">
        <v>110</v>
      </c>
      <c r="AC157">
        <v>136</v>
      </c>
      <c r="AD157">
        <v>116</v>
      </c>
      <c r="AE157">
        <v>157</v>
      </c>
      <c r="AF157">
        <v>138</v>
      </c>
      <c r="AG157">
        <v>138</v>
      </c>
      <c r="AH157">
        <v>126</v>
      </c>
      <c r="AI157">
        <v>144</v>
      </c>
      <c r="AJ157">
        <v>138</v>
      </c>
      <c r="AK157">
        <v>156</v>
      </c>
      <c r="AL157">
        <v>126</v>
      </c>
    </row>
    <row r="158" spans="9:38">
      <c r="I158">
        <v>141</v>
      </c>
      <c r="J158">
        <v>129</v>
      </c>
      <c r="K158">
        <v>156</v>
      </c>
      <c r="L158">
        <v>126</v>
      </c>
      <c r="M158">
        <v>148</v>
      </c>
      <c r="N158">
        <v>132</v>
      </c>
      <c r="O158">
        <v>150</v>
      </c>
      <c r="P158">
        <v>136</v>
      </c>
      <c r="Q158">
        <v>144</v>
      </c>
      <c r="R158">
        <v>144</v>
      </c>
      <c r="S158">
        <v>166</v>
      </c>
      <c r="T158">
        <v>162</v>
      </c>
      <c r="U158">
        <v>166</v>
      </c>
      <c r="V158">
        <v>152</v>
      </c>
      <c r="W158">
        <v>160</v>
      </c>
      <c r="X158">
        <v>152</v>
      </c>
      <c r="Y158">
        <v>168</v>
      </c>
      <c r="Z158">
        <v>136</v>
      </c>
      <c r="AA158">
        <v>0</v>
      </c>
      <c r="AB158">
        <v>116</v>
      </c>
      <c r="AC158">
        <v>148</v>
      </c>
      <c r="AD158">
        <v>126</v>
      </c>
      <c r="AE158">
        <v>172</v>
      </c>
      <c r="AF158">
        <v>156</v>
      </c>
      <c r="AG158">
        <v>141</v>
      </c>
      <c r="AH158">
        <v>144</v>
      </c>
      <c r="AI158">
        <v>150</v>
      </c>
      <c r="AJ158">
        <v>150</v>
      </c>
      <c r="AK158">
        <v>150</v>
      </c>
      <c r="AL158">
        <v>134</v>
      </c>
    </row>
    <row r="159" spans="9:38">
      <c r="I159">
        <v>150</v>
      </c>
      <c r="J159">
        <v>138</v>
      </c>
      <c r="K159">
        <v>168</v>
      </c>
      <c r="L159">
        <v>135</v>
      </c>
      <c r="M159">
        <v>162</v>
      </c>
      <c r="N159">
        <v>138</v>
      </c>
      <c r="O159">
        <v>159</v>
      </c>
      <c r="P159">
        <v>0</v>
      </c>
      <c r="Q159">
        <v>162</v>
      </c>
      <c r="R159">
        <v>154</v>
      </c>
      <c r="S159">
        <v>164</v>
      </c>
      <c r="T159">
        <v>159</v>
      </c>
      <c r="U159">
        <v>175</v>
      </c>
      <c r="V159">
        <v>150</v>
      </c>
      <c r="W159">
        <v>170</v>
      </c>
      <c r="X159">
        <v>156</v>
      </c>
      <c r="Y159">
        <v>166</v>
      </c>
      <c r="Z159">
        <v>142</v>
      </c>
      <c r="AA159">
        <v>172</v>
      </c>
      <c r="AB159">
        <v>126</v>
      </c>
      <c r="AC159">
        <v>150</v>
      </c>
      <c r="AD159">
        <v>134</v>
      </c>
      <c r="AE159">
        <v>168</v>
      </c>
      <c r="AF159">
        <v>162</v>
      </c>
      <c r="AG159">
        <v>141</v>
      </c>
      <c r="AH159">
        <v>148</v>
      </c>
      <c r="AI159">
        <v>168</v>
      </c>
      <c r="AJ159">
        <v>156</v>
      </c>
      <c r="AK159">
        <v>164</v>
      </c>
      <c r="AL159">
        <v>136</v>
      </c>
    </row>
    <row r="160" spans="9:38">
      <c r="I160">
        <v>156</v>
      </c>
      <c r="J160">
        <v>162</v>
      </c>
      <c r="K160">
        <v>174</v>
      </c>
      <c r="L160">
        <v>138</v>
      </c>
      <c r="M160">
        <v>174</v>
      </c>
      <c r="N160">
        <v>159</v>
      </c>
      <c r="O160">
        <v>174</v>
      </c>
      <c r="P160">
        <v>168</v>
      </c>
      <c r="Q160">
        <v>174</v>
      </c>
      <c r="R160">
        <v>168</v>
      </c>
      <c r="S160">
        <v>184</v>
      </c>
      <c r="T160">
        <v>180</v>
      </c>
      <c r="U160">
        <v>188</v>
      </c>
      <c r="V160">
        <v>172</v>
      </c>
      <c r="W160">
        <v>190</v>
      </c>
      <c r="X160">
        <v>188</v>
      </c>
      <c r="Y160">
        <v>183</v>
      </c>
      <c r="Z160">
        <v>156</v>
      </c>
      <c r="AA160">
        <v>164</v>
      </c>
      <c r="AB160">
        <v>147</v>
      </c>
      <c r="AC160">
        <v>166</v>
      </c>
      <c r="AD160">
        <v>152</v>
      </c>
      <c r="AE160">
        <v>174</v>
      </c>
      <c r="AF160">
        <v>160</v>
      </c>
      <c r="AG160">
        <v>147</v>
      </c>
      <c r="AH160">
        <v>174</v>
      </c>
      <c r="AI160">
        <v>168</v>
      </c>
      <c r="AJ160">
        <v>160</v>
      </c>
      <c r="AK160">
        <v>168</v>
      </c>
      <c r="AL160">
        <v>150</v>
      </c>
    </row>
    <row r="161" spans="9:38">
      <c r="I161">
        <v>150</v>
      </c>
      <c r="J161">
        <v>156</v>
      </c>
      <c r="K161">
        <v>168</v>
      </c>
      <c r="L161">
        <v>144</v>
      </c>
      <c r="M161">
        <v>162</v>
      </c>
      <c r="N161">
        <v>162</v>
      </c>
      <c r="O161">
        <v>170</v>
      </c>
      <c r="P161">
        <v>165</v>
      </c>
      <c r="Q161">
        <v>172</v>
      </c>
      <c r="R161">
        <v>174</v>
      </c>
      <c r="S161">
        <v>192</v>
      </c>
      <c r="T161">
        <v>192</v>
      </c>
      <c r="U161">
        <v>189</v>
      </c>
      <c r="V161">
        <v>177</v>
      </c>
      <c r="W161">
        <v>195</v>
      </c>
      <c r="X161">
        <v>190</v>
      </c>
      <c r="Y161">
        <v>174</v>
      </c>
      <c r="Z161">
        <v>160</v>
      </c>
      <c r="AA161">
        <v>166</v>
      </c>
      <c r="AB161">
        <v>138</v>
      </c>
      <c r="AC161">
        <v>168</v>
      </c>
      <c r="AD161">
        <v>154</v>
      </c>
      <c r="AE161">
        <v>174</v>
      </c>
      <c r="AF161">
        <v>163</v>
      </c>
      <c r="AG161">
        <v>150</v>
      </c>
      <c r="AH161">
        <v>172</v>
      </c>
      <c r="AI161">
        <v>172</v>
      </c>
      <c r="AJ161">
        <v>171</v>
      </c>
      <c r="AK161">
        <v>160</v>
      </c>
      <c r="AL161">
        <v>156</v>
      </c>
    </row>
    <row r="162" spans="9:38">
      <c r="I162">
        <v>150</v>
      </c>
      <c r="J162">
        <v>156</v>
      </c>
      <c r="K162">
        <v>162</v>
      </c>
      <c r="L162">
        <v>147</v>
      </c>
      <c r="M162">
        <v>166</v>
      </c>
      <c r="N162">
        <v>162</v>
      </c>
      <c r="O162">
        <v>174</v>
      </c>
      <c r="P162">
        <v>168</v>
      </c>
      <c r="Q162">
        <v>168</v>
      </c>
      <c r="R162">
        <v>180</v>
      </c>
      <c r="S162">
        <v>178</v>
      </c>
      <c r="T162">
        <v>186</v>
      </c>
      <c r="U162">
        <v>190</v>
      </c>
      <c r="V162">
        <v>184</v>
      </c>
      <c r="W162">
        <v>195</v>
      </c>
      <c r="X162">
        <v>184</v>
      </c>
      <c r="Y162">
        <v>174</v>
      </c>
      <c r="Z162">
        <v>166</v>
      </c>
      <c r="AA162">
        <v>140</v>
      </c>
      <c r="AB162">
        <v>130</v>
      </c>
      <c r="AC162">
        <v>164</v>
      </c>
      <c r="AD162">
        <v>142</v>
      </c>
      <c r="AE162">
        <v>159</v>
      </c>
      <c r="AF162">
        <v>157</v>
      </c>
      <c r="AG162">
        <v>144</v>
      </c>
      <c r="AH162">
        <v>162</v>
      </c>
      <c r="AI162">
        <v>162</v>
      </c>
      <c r="AJ162">
        <v>168</v>
      </c>
      <c r="AK162">
        <v>166</v>
      </c>
      <c r="AL162">
        <v>150</v>
      </c>
    </row>
    <row r="163" spans="9:38">
      <c r="I163">
        <v>150</v>
      </c>
      <c r="J163">
        <v>159</v>
      </c>
      <c r="K163">
        <v>162</v>
      </c>
      <c r="L163">
        <v>150</v>
      </c>
      <c r="M163">
        <v>166</v>
      </c>
      <c r="N163">
        <v>165</v>
      </c>
      <c r="O163">
        <v>168</v>
      </c>
      <c r="P163">
        <v>165</v>
      </c>
      <c r="Q163">
        <v>162</v>
      </c>
      <c r="R163">
        <v>180</v>
      </c>
      <c r="S163">
        <v>182</v>
      </c>
      <c r="T163">
        <v>186</v>
      </c>
      <c r="U163">
        <v>186</v>
      </c>
      <c r="V163">
        <v>190</v>
      </c>
      <c r="W163">
        <v>190</v>
      </c>
      <c r="X163">
        <v>190</v>
      </c>
      <c r="Y163">
        <v>180</v>
      </c>
      <c r="Z163">
        <v>160</v>
      </c>
      <c r="AA163">
        <v>138</v>
      </c>
      <c r="AB163">
        <v>130</v>
      </c>
      <c r="AC163">
        <v>162</v>
      </c>
      <c r="AD163">
        <v>144</v>
      </c>
      <c r="AE163">
        <v>159</v>
      </c>
      <c r="AF163">
        <v>150</v>
      </c>
      <c r="AG163">
        <v>140</v>
      </c>
      <c r="AH163">
        <v>156</v>
      </c>
      <c r="AI163">
        <v>154</v>
      </c>
      <c r="AJ163">
        <v>162</v>
      </c>
      <c r="AK163">
        <v>156</v>
      </c>
      <c r="AL163">
        <v>142</v>
      </c>
    </row>
    <row r="164" spans="9:38">
      <c r="I164">
        <v>144</v>
      </c>
      <c r="J164">
        <v>156</v>
      </c>
      <c r="K164">
        <v>162</v>
      </c>
      <c r="L164">
        <v>150</v>
      </c>
      <c r="M164">
        <v>162</v>
      </c>
      <c r="N164">
        <v>165</v>
      </c>
      <c r="O164">
        <v>168</v>
      </c>
      <c r="P164">
        <v>162</v>
      </c>
      <c r="Q164">
        <v>156</v>
      </c>
      <c r="R164">
        <v>174</v>
      </c>
      <c r="S164">
        <v>180</v>
      </c>
      <c r="T164">
        <v>183</v>
      </c>
      <c r="U164">
        <v>186</v>
      </c>
      <c r="V164">
        <v>186</v>
      </c>
      <c r="W164">
        <v>186</v>
      </c>
      <c r="X164">
        <v>182</v>
      </c>
      <c r="Y164">
        <v>171</v>
      </c>
      <c r="Z164">
        <v>168</v>
      </c>
      <c r="AA164">
        <v>130</v>
      </c>
      <c r="AB164">
        <v>123</v>
      </c>
      <c r="AC164">
        <v>150</v>
      </c>
      <c r="AD164">
        <v>138</v>
      </c>
      <c r="AE164">
        <v>152</v>
      </c>
      <c r="AF164">
        <v>144</v>
      </c>
      <c r="AG164">
        <v>130</v>
      </c>
      <c r="AH164">
        <v>150</v>
      </c>
      <c r="AI164">
        <v>150</v>
      </c>
      <c r="AJ164">
        <v>156</v>
      </c>
      <c r="AK164">
        <v>154</v>
      </c>
      <c r="AL164">
        <v>137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31"/>
  <sheetViews>
    <sheetView topLeftCell="A16" zoomScaleNormal="100" workbookViewId="0">
      <selection activeCell="S28" sqref="S28"/>
    </sheetView>
  </sheetViews>
  <sheetFormatPr defaultRowHeight="15"/>
  <cols>
    <col min="1" max="18" width="3" customWidth="1"/>
    <col min="19" max="1025" width="8.7109375" customWidth="1"/>
  </cols>
  <sheetData>
    <row r="2" spans="1:18">
      <c r="A2">
        <v>32</v>
      </c>
      <c r="B2">
        <v>44</v>
      </c>
      <c r="C2">
        <v>30</v>
      </c>
      <c r="D2">
        <v>30</v>
      </c>
      <c r="E2">
        <v>59</v>
      </c>
      <c r="F2">
        <v>57</v>
      </c>
      <c r="G2">
        <v>40</v>
      </c>
      <c r="H2">
        <v>64</v>
      </c>
      <c r="I2">
        <v>46</v>
      </c>
      <c r="J2">
        <v>46</v>
      </c>
      <c r="K2">
        <v>72</v>
      </c>
      <c r="L2">
        <v>55</v>
      </c>
      <c r="M2">
        <v>43</v>
      </c>
      <c r="N2">
        <v>69</v>
      </c>
      <c r="O2">
        <v>62</v>
      </c>
      <c r="P2">
        <v>30</v>
      </c>
      <c r="Q2">
        <v>43</v>
      </c>
      <c r="R2">
        <v>40</v>
      </c>
    </row>
    <row r="3" spans="1:18">
      <c r="A3">
        <v>32</v>
      </c>
      <c r="B3">
        <v>40</v>
      </c>
      <c r="C3">
        <v>30</v>
      </c>
      <c r="D3">
        <v>30</v>
      </c>
      <c r="E3">
        <v>59</v>
      </c>
      <c r="F3">
        <v>56</v>
      </c>
      <c r="G3">
        <v>38</v>
      </c>
      <c r="H3">
        <v>58</v>
      </c>
      <c r="I3">
        <v>40</v>
      </c>
      <c r="J3">
        <v>46</v>
      </c>
      <c r="K3">
        <v>70</v>
      </c>
      <c r="L3">
        <v>52</v>
      </c>
      <c r="M3">
        <v>43</v>
      </c>
      <c r="N3">
        <v>69</v>
      </c>
      <c r="O3">
        <v>60</v>
      </c>
      <c r="P3">
        <v>30</v>
      </c>
      <c r="Q3">
        <v>43</v>
      </c>
      <c r="R3">
        <v>38</v>
      </c>
    </row>
    <row r="4" spans="1:18">
      <c r="A4">
        <v>30</v>
      </c>
      <c r="B4">
        <v>39</v>
      </c>
      <c r="C4">
        <v>31</v>
      </c>
      <c r="D4">
        <v>31</v>
      </c>
      <c r="E4">
        <v>54</v>
      </c>
      <c r="F4">
        <v>54</v>
      </c>
      <c r="G4">
        <v>35</v>
      </c>
      <c r="H4">
        <v>54</v>
      </c>
      <c r="I4">
        <v>44</v>
      </c>
      <c r="J4">
        <v>44</v>
      </c>
      <c r="K4">
        <v>68</v>
      </c>
      <c r="L4">
        <v>50</v>
      </c>
      <c r="M4">
        <v>51</v>
      </c>
      <c r="N4">
        <v>64</v>
      </c>
      <c r="O4">
        <v>58</v>
      </c>
      <c r="P4">
        <v>28</v>
      </c>
      <c r="Q4">
        <v>43</v>
      </c>
      <c r="R4">
        <v>34</v>
      </c>
    </row>
    <row r="5" spans="1:18">
      <c r="A5">
        <v>30</v>
      </c>
      <c r="B5">
        <v>37</v>
      </c>
      <c r="C5">
        <v>32</v>
      </c>
      <c r="D5">
        <v>32</v>
      </c>
      <c r="E5">
        <v>51</v>
      </c>
      <c r="F5">
        <v>50</v>
      </c>
      <c r="G5">
        <v>34</v>
      </c>
      <c r="H5">
        <v>51</v>
      </c>
      <c r="I5">
        <v>39</v>
      </c>
      <c r="J5">
        <v>40</v>
      </c>
      <c r="K5">
        <v>65</v>
      </c>
      <c r="L5">
        <v>46</v>
      </c>
      <c r="M5">
        <v>54</v>
      </c>
      <c r="N5">
        <v>59</v>
      </c>
      <c r="O5">
        <v>56</v>
      </c>
      <c r="P5">
        <v>27</v>
      </c>
      <c r="Q5">
        <v>0</v>
      </c>
      <c r="R5">
        <v>33</v>
      </c>
    </row>
    <row r="6" spans="1:18">
      <c r="A6">
        <v>32</v>
      </c>
      <c r="B6">
        <v>34</v>
      </c>
      <c r="C6">
        <v>32</v>
      </c>
      <c r="D6">
        <v>32</v>
      </c>
      <c r="E6">
        <v>44</v>
      </c>
      <c r="F6">
        <v>46</v>
      </c>
      <c r="G6">
        <v>34</v>
      </c>
      <c r="H6">
        <v>45</v>
      </c>
      <c r="I6">
        <v>38</v>
      </c>
      <c r="J6">
        <v>39</v>
      </c>
      <c r="K6">
        <v>55</v>
      </c>
      <c r="L6">
        <v>43</v>
      </c>
      <c r="M6">
        <v>54</v>
      </c>
      <c r="N6">
        <v>56</v>
      </c>
      <c r="O6">
        <v>54</v>
      </c>
      <c r="P6">
        <v>27</v>
      </c>
      <c r="Q6">
        <v>0</v>
      </c>
      <c r="R6">
        <v>31</v>
      </c>
    </row>
    <row r="7" spans="1:18">
      <c r="A7">
        <v>32</v>
      </c>
      <c r="B7">
        <v>35</v>
      </c>
      <c r="C7">
        <v>31</v>
      </c>
      <c r="D7">
        <v>31</v>
      </c>
      <c r="E7">
        <v>37</v>
      </c>
      <c r="F7">
        <v>44</v>
      </c>
      <c r="G7">
        <v>36</v>
      </c>
      <c r="H7">
        <v>45</v>
      </c>
      <c r="I7">
        <v>38</v>
      </c>
      <c r="J7">
        <v>37</v>
      </c>
      <c r="K7">
        <v>45</v>
      </c>
      <c r="L7">
        <v>50</v>
      </c>
      <c r="M7">
        <v>62</v>
      </c>
      <c r="N7">
        <v>46</v>
      </c>
      <c r="O7">
        <v>53</v>
      </c>
      <c r="P7">
        <v>28</v>
      </c>
      <c r="Q7">
        <v>46</v>
      </c>
      <c r="R7">
        <v>30</v>
      </c>
    </row>
    <row r="8" spans="1:18">
      <c r="A8">
        <v>31</v>
      </c>
      <c r="B8">
        <v>34</v>
      </c>
      <c r="C8">
        <v>30</v>
      </c>
      <c r="D8">
        <v>30</v>
      </c>
      <c r="E8">
        <v>37</v>
      </c>
      <c r="F8">
        <v>36</v>
      </c>
      <c r="G8">
        <v>34</v>
      </c>
      <c r="H8">
        <v>34</v>
      </c>
      <c r="I8">
        <v>37</v>
      </c>
      <c r="J8">
        <v>37</v>
      </c>
      <c r="K8">
        <v>45</v>
      </c>
      <c r="L8">
        <v>49</v>
      </c>
      <c r="M8">
        <v>60</v>
      </c>
      <c r="N8">
        <v>48</v>
      </c>
      <c r="O8">
        <v>41</v>
      </c>
      <c r="P8">
        <v>32</v>
      </c>
      <c r="Q8">
        <v>42</v>
      </c>
      <c r="R8">
        <v>30</v>
      </c>
    </row>
    <row r="9" spans="1:18">
      <c r="A9">
        <v>31</v>
      </c>
      <c r="B9">
        <v>30</v>
      </c>
      <c r="C9">
        <v>28</v>
      </c>
      <c r="D9">
        <v>28</v>
      </c>
      <c r="E9">
        <v>36</v>
      </c>
      <c r="F9">
        <v>34</v>
      </c>
      <c r="G9">
        <v>33</v>
      </c>
      <c r="H9">
        <v>39</v>
      </c>
      <c r="I9">
        <v>36</v>
      </c>
      <c r="J9">
        <v>38</v>
      </c>
      <c r="K9">
        <v>46</v>
      </c>
      <c r="L9">
        <v>51</v>
      </c>
      <c r="M9">
        <v>56</v>
      </c>
      <c r="N9">
        <v>45</v>
      </c>
      <c r="O9">
        <v>38</v>
      </c>
      <c r="P9">
        <v>32</v>
      </c>
      <c r="Q9">
        <v>37</v>
      </c>
      <c r="R9">
        <v>32</v>
      </c>
    </row>
    <row r="10" spans="1:18">
      <c r="A10">
        <v>32</v>
      </c>
      <c r="B10">
        <v>32</v>
      </c>
      <c r="C10">
        <v>29</v>
      </c>
      <c r="D10">
        <v>29</v>
      </c>
      <c r="E10">
        <v>35</v>
      </c>
      <c r="F10">
        <v>35</v>
      </c>
      <c r="G10">
        <v>30</v>
      </c>
      <c r="H10">
        <v>37</v>
      </c>
      <c r="I10">
        <v>38</v>
      </c>
      <c r="J10">
        <v>36</v>
      </c>
      <c r="K10">
        <v>42</v>
      </c>
      <c r="L10">
        <v>48</v>
      </c>
      <c r="M10">
        <v>51</v>
      </c>
      <c r="N10">
        <v>42</v>
      </c>
      <c r="O10">
        <v>38</v>
      </c>
      <c r="P10">
        <v>34</v>
      </c>
      <c r="Q10">
        <v>34</v>
      </c>
      <c r="R10">
        <v>30</v>
      </c>
    </row>
    <row r="11" spans="1:18">
      <c r="A11">
        <v>34</v>
      </c>
      <c r="C11">
        <v>29</v>
      </c>
      <c r="D11">
        <v>29</v>
      </c>
      <c r="E11">
        <v>36</v>
      </c>
      <c r="F11">
        <v>36</v>
      </c>
      <c r="G11">
        <v>32</v>
      </c>
      <c r="H11">
        <v>0</v>
      </c>
      <c r="I11">
        <v>35</v>
      </c>
      <c r="J11">
        <v>32</v>
      </c>
      <c r="K11">
        <v>45</v>
      </c>
      <c r="L11">
        <v>48</v>
      </c>
      <c r="M11">
        <v>43</v>
      </c>
      <c r="N11">
        <v>40</v>
      </c>
      <c r="O11">
        <v>40</v>
      </c>
      <c r="P11">
        <v>35</v>
      </c>
      <c r="Q11">
        <v>35</v>
      </c>
      <c r="R11">
        <v>32</v>
      </c>
    </row>
    <row r="12" spans="1:18">
      <c r="A12">
        <v>35</v>
      </c>
      <c r="C12">
        <v>31</v>
      </c>
      <c r="D12">
        <v>31</v>
      </c>
      <c r="E12">
        <v>35</v>
      </c>
      <c r="F12">
        <v>37</v>
      </c>
      <c r="G12">
        <v>33</v>
      </c>
      <c r="H12">
        <v>0</v>
      </c>
      <c r="I12">
        <v>39</v>
      </c>
      <c r="J12">
        <v>31</v>
      </c>
      <c r="K12">
        <v>46</v>
      </c>
      <c r="L12">
        <v>46</v>
      </c>
      <c r="M12">
        <v>50</v>
      </c>
      <c r="N12">
        <v>44</v>
      </c>
      <c r="O12">
        <v>45</v>
      </c>
      <c r="P12">
        <v>34</v>
      </c>
      <c r="Q12">
        <v>30</v>
      </c>
      <c r="R12">
        <v>34</v>
      </c>
    </row>
    <row r="13" spans="1:18">
      <c r="A13">
        <v>37</v>
      </c>
      <c r="C13">
        <v>37</v>
      </c>
      <c r="D13">
        <v>37</v>
      </c>
      <c r="E13">
        <v>37</v>
      </c>
      <c r="F13">
        <v>37</v>
      </c>
      <c r="G13">
        <v>37</v>
      </c>
      <c r="H13">
        <v>56</v>
      </c>
      <c r="I13">
        <v>46</v>
      </c>
      <c r="J13">
        <v>41</v>
      </c>
      <c r="K13">
        <v>50</v>
      </c>
      <c r="L13">
        <v>50</v>
      </c>
      <c r="M13">
        <v>57</v>
      </c>
      <c r="N13">
        <v>50</v>
      </c>
      <c r="O13">
        <v>47</v>
      </c>
      <c r="P13">
        <v>36</v>
      </c>
      <c r="Q13">
        <v>36</v>
      </c>
      <c r="R13">
        <v>34</v>
      </c>
    </row>
    <row r="14" spans="1:18">
      <c r="A14">
        <v>39</v>
      </c>
      <c r="C14">
        <v>39</v>
      </c>
      <c r="D14">
        <v>33</v>
      </c>
      <c r="E14">
        <v>37</v>
      </c>
      <c r="F14">
        <v>38</v>
      </c>
      <c r="G14">
        <v>40</v>
      </c>
      <c r="H14">
        <v>56</v>
      </c>
      <c r="I14">
        <v>42</v>
      </c>
      <c r="J14">
        <v>40</v>
      </c>
      <c r="K14">
        <v>50</v>
      </c>
      <c r="L14">
        <v>54</v>
      </c>
      <c r="M14">
        <v>65</v>
      </c>
      <c r="N14">
        <v>50</v>
      </c>
      <c r="O14">
        <v>50</v>
      </c>
      <c r="P14">
        <v>37</v>
      </c>
      <c r="Q14">
        <v>34</v>
      </c>
      <c r="R14">
        <v>36</v>
      </c>
    </row>
    <row r="15" spans="1:18">
      <c r="A15">
        <v>38</v>
      </c>
      <c r="C15">
        <v>35</v>
      </c>
      <c r="D15">
        <v>35</v>
      </c>
      <c r="E15">
        <v>38</v>
      </c>
      <c r="F15">
        <v>40</v>
      </c>
      <c r="G15">
        <v>44</v>
      </c>
      <c r="H15">
        <v>60</v>
      </c>
      <c r="I15">
        <v>43</v>
      </c>
      <c r="J15">
        <v>46</v>
      </c>
      <c r="K15">
        <v>52</v>
      </c>
      <c r="L15">
        <v>55</v>
      </c>
      <c r="M15">
        <v>70</v>
      </c>
      <c r="N15">
        <v>60</v>
      </c>
      <c r="O15">
        <v>54</v>
      </c>
      <c r="P15">
        <v>37</v>
      </c>
      <c r="Q15">
        <v>34</v>
      </c>
      <c r="R15">
        <v>36</v>
      </c>
    </row>
    <row r="16" spans="1:18">
      <c r="A16">
        <v>41</v>
      </c>
      <c r="C16">
        <v>39</v>
      </c>
      <c r="D16">
        <v>39</v>
      </c>
      <c r="E16">
        <v>40</v>
      </c>
      <c r="F16">
        <v>42</v>
      </c>
      <c r="G16">
        <v>46</v>
      </c>
      <c r="H16">
        <v>62</v>
      </c>
      <c r="I16">
        <v>44</v>
      </c>
      <c r="J16">
        <v>49</v>
      </c>
      <c r="K16">
        <v>62</v>
      </c>
      <c r="L16">
        <v>59</v>
      </c>
      <c r="M16">
        <v>70</v>
      </c>
      <c r="N16">
        <v>63</v>
      </c>
      <c r="O16">
        <v>58</v>
      </c>
      <c r="P16">
        <v>36</v>
      </c>
      <c r="Q16">
        <v>36</v>
      </c>
      <c r="R16">
        <v>38</v>
      </c>
    </row>
    <row r="17" spans="1:19">
      <c r="A17">
        <v>42</v>
      </c>
      <c r="C17">
        <v>41</v>
      </c>
      <c r="D17">
        <v>41</v>
      </c>
      <c r="E17">
        <v>42</v>
      </c>
      <c r="F17">
        <v>42</v>
      </c>
      <c r="G17">
        <v>45</v>
      </c>
      <c r="H17">
        <v>62</v>
      </c>
      <c r="I17">
        <v>45</v>
      </c>
      <c r="J17">
        <v>51</v>
      </c>
      <c r="K17">
        <v>60</v>
      </c>
      <c r="L17">
        <v>58</v>
      </c>
      <c r="N17">
        <v>66</v>
      </c>
      <c r="O17">
        <v>55</v>
      </c>
      <c r="P17">
        <v>37</v>
      </c>
      <c r="Q17">
        <v>39</v>
      </c>
      <c r="R17">
        <v>39</v>
      </c>
    </row>
    <row r="18" spans="1:19">
      <c r="A18">
        <v>41</v>
      </c>
      <c r="C18">
        <v>42</v>
      </c>
      <c r="D18">
        <v>42</v>
      </c>
      <c r="E18">
        <v>33</v>
      </c>
      <c r="F18">
        <v>40</v>
      </c>
      <c r="G18">
        <v>43</v>
      </c>
      <c r="H18">
        <v>56</v>
      </c>
      <c r="I18">
        <v>45</v>
      </c>
      <c r="J18">
        <v>44</v>
      </c>
      <c r="K18">
        <v>55</v>
      </c>
      <c r="L18">
        <v>56</v>
      </c>
      <c r="N18">
        <v>60</v>
      </c>
      <c r="O18">
        <v>55</v>
      </c>
      <c r="P18">
        <v>36</v>
      </c>
      <c r="Q18">
        <v>40</v>
      </c>
      <c r="R18">
        <v>40</v>
      </c>
    </row>
    <row r="19" spans="1:19">
      <c r="A19">
        <v>45</v>
      </c>
      <c r="C19">
        <v>42</v>
      </c>
      <c r="D19">
        <v>42</v>
      </c>
      <c r="E19">
        <v>34</v>
      </c>
      <c r="F19">
        <v>38</v>
      </c>
      <c r="G19">
        <v>42</v>
      </c>
      <c r="H19">
        <v>54</v>
      </c>
      <c r="I19">
        <v>46</v>
      </c>
      <c r="J19">
        <v>45</v>
      </c>
      <c r="K19">
        <v>48</v>
      </c>
      <c r="L19">
        <v>58</v>
      </c>
      <c r="N19">
        <v>42</v>
      </c>
      <c r="O19">
        <v>52</v>
      </c>
      <c r="P19">
        <v>0</v>
      </c>
      <c r="Q19">
        <v>41</v>
      </c>
      <c r="R19">
        <v>41</v>
      </c>
    </row>
    <row r="20" spans="1:19">
      <c r="A20">
        <v>44</v>
      </c>
      <c r="C20">
        <v>49</v>
      </c>
      <c r="D20">
        <v>49</v>
      </c>
      <c r="E20">
        <v>35</v>
      </c>
      <c r="F20">
        <v>36</v>
      </c>
      <c r="G20">
        <v>38</v>
      </c>
      <c r="H20">
        <v>47</v>
      </c>
      <c r="I20">
        <v>48</v>
      </c>
      <c r="J20">
        <v>35</v>
      </c>
      <c r="K20">
        <v>48</v>
      </c>
      <c r="L20">
        <v>60</v>
      </c>
      <c r="N20">
        <v>45</v>
      </c>
      <c r="O20">
        <v>52</v>
      </c>
      <c r="P20">
        <v>37</v>
      </c>
      <c r="Q20">
        <v>42</v>
      </c>
      <c r="R20">
        <v>41</v>
      </c>
    </row>
    <row r="21" spans="1:19">
      <c r="A21">
        <v>42</v>
      </c>
      <c r="C21">
        <v>36</v>
      </c>
      <c r="D21">
        <v>36</v>
      </c>
      <c r="E21">
        <v>35</v>
      </c>
      <c r="F21">
        <v>34</v>
      </c>
      <c r="G21">
        <v>37</v>
      </c>
      <c r="H21">
        <v>46</v>
      </c>
      <c r="I21">
        <v>48</v>
      </c>
      <c r="J21">
        <v>40</v>
      </c>
      <c r="K21">
        <v>52</v>
      </c>
      <c r="L21">
        <v>55</v>
      </c>
      <c r="N21">
        <v>56</v>
      </c>
      <c r="O21">
        <v>49</v>
      </c>
      <c r="P21">
        <v>33</v>
      </c>
      <c r="Q21">
        <v>39</v>
      </c>
      <c r="R21">
        <v>42</v>
      </c>
    </row>
    <row r="22" spans="1:19">
      <c r="A22">
        <v>40</v>
      </c>
      <c r="C22">
        <v>38</v>
      </c>
      <c r="D22">
        <v>38</v>
      </c>
      <c r="E22">
        <v>36</v>
      </c>
      <c r="F22">
        <v>35</v>
      </c>
      <c r="G22">
        <v>38</v>
      </c>
      <c r="H22">
        <v>48</v>
      </c>
      <c r="I22">
        <v>50</v>
      </c>
      <c r="J22">
        <v>42</v>
      </c>
      <c r="K22">
        <v>60</v>
      </c>
      <c r="L22">
        <v>48</v>
      </c>
      <c r="N22">
        <v>61</v>
      </c>
      <c r="O22">
        <v>46</v>
      </c>
      <c r="P22">
        <v>38</v>
      </c>
      <c r="Q22">
        <v>40</v>
      </c>
      <c r="R22">
        <v>39</v>
      </c>
    </row>
    <row r="23" spans="1:19">
      <c r="A23">
        <v>42</v>
      </c>
      <c r="C23">
        <v>38</v>
      </c>
      <c r="D23">
        <v>38</v>
      </c>
      <c r="E23">
        <v>39</v>
      </c>
      <c r="F23">
        <v>36</v>
      </c>
      <c r="G23">
        <v>43</v>
      </c>
      <c r="H23">
        <v>66</v>
      </c>
      <c r="I23">
        <v>58</v>
      </c>
      <c r="J23">
        <v>44</v>
      </c>
      <c r="K23">
        <v>68</v>
      </c>
      <c r="L23">
        <v>48</v>
      </c>
      <c r="N23">
        <v>63</v>
      </c>
      <c r="O23">
        <v>41</v>
      </c>
      <c r="P23">
        <v>43</v>
      </c>
      <c r="Q23">
        <v>42</v>
      </c>
      <c r="R23">
        <v>40</v>
      </c>
    </row>
    <row r="24" spans="1:19">
      <c r="A24">
        <v>44</v>
      </c>
      <c r="C24">
        <v>41</v>
      </c>
      <c r="D24">
        <v>41</v>
      </c>
      <c r="E24">
        <v>41</v>
      </c>
      <c r="F24">
        <v>36</v>
      </c>
      <c r="G24">
        <v>44</v>
      </c>
      <c r="H24">
        <v>66</v>
      </c>
      <c r="I24">
        <v>75</v>
      </c>
      <c r="J24">
        <v>51</v>
      </c>
      <c r="K24">
        <v>70</v>
      </c>
      <c r="L24">
        <v>52</v>
      </c>
      <c r="N24">
        <v>65</v>
      </c>
      <c r="O24">
        <v>41</v>
      </c>
      <c r="P24">
        <v>43</v>
      </c>
      <c r="Q24">
        <v>40</v>
      </c>
      <c r="R24">
        <v>40</v>
      </c>
    </row>
    <row r="25" spans="1:19">
      <c r="A25">
        <v>42</v>
      </c>
      <c r="C25">
        <v>39</v>
      </c>
      <c r="D25">
        <v>39</v>
      </c>
      <c r="E25">
        <v>42</v>
      </c>
      <c r="G25">
        <v>42</v>
      </c>
      <c r="H25">
        <v>67</v>
      </c>
      <c r="J25">
        <v>52</v>
      </c>
      <c r="K25">
        <v>72</v>
      </c>
      <c r="L25">
        <v>52</v>
      </c>
      <c r="O25">
        <v>40</v>
      </c>
      <c r="P25">
        <v>47</v>
      </c>
      <c r="Q25">
        <v>41</v>
      </c>
      <c r="R25">
        <v>41</v>
      </c>
    </row>
    <row r="27" spans="1:19">
      <c r="S27">
        <v>0.36</v>
      </c>
    </row>
    <row r="28" spans="1:19">
      <c r="S28">
        <v>12500</v>
      </c>
    </row>
    <row r="29" spans="1:19">
      <c r="S29">
        <f>S28*S27</f>
        <v>4500</v>
      </c>
    </row>
    <row r="30" spans="1:19">
      <c r="S30">
        <f>S29/30</f>
        <v>150</v>
      </c>
    </row>
    <row r="31" spans="1:19">
      <c r="S31">
        <f>S30*27</f>
        <v>4050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2:U28"/>
  <sheetViews>
    <sheetView topLeftCell="A13" zoomScaleNormal="100" workbookViewId="0">
      <selection activeCell="U25" sqref="U25"/>
    </sheetView>
  </sheetViews>
  <sheetFormatPr defaultRowHeight="15"/>
  <cols>
    <col min="1" max="12" width="5.140625" customWidth="1"/>
    <col min="13" max="1025" width="8.7109375" customWidth="1"/>
  </cols>
  <sheetData>
    <row r="2" spans="8:21">
      <c r="H2">
        <v>88</v>
      </c>
      <c r="I2">
        <v>110</v>
      </c>
      <c r="J2">
        <v>85</v>
      </c>
      <c r="K2">
        <v>76</v>
      </c>
      <c r="N2">
        <v>177</v>
      </c>
      <c r="O2">
        <v>192</v>
      </c>
      <c r="P2">
        <v>172</v>
      </c>
      <c r="Q2">
        <v>198</v>
      </c>
      <c r="S2">
        <v>34</v>
      </c>
      <c r="T2">
        <v>32</v>
      </c>
      <c r="U2">
        <v>33</v>
      </c>
    </row>
    <row r="3" spans="8:21">
      <c r="H3">
        <v>80</v>
      </c>
      <c r="I3">
        <v>102</v>
      </c>
      <c r="J3">
        <v>77</v>
      </c>
      <c r="K3">
        <v>75</v>
      </c>
      <c r="N3">
        <v>164</v>
      </c>
      <c r="O3">
        <v>182</v>
      </c>
      <c r="P3">
        <v>168</v>
      </c>
      <c r="Q3">
        <v>185</v>
      </c>
      <c r="S3">
        <v>34</v>
      </c>
      <c r="T3">
        <v>33</v>
      </c>
      <c r="U3">
        <v>30</v>
      </c>
    </row>
    <row r="4" spans="8:21">
      <c r="H4">
        <v>76</v>
      </c>
      <c r="I4">
        <v>98</v>
      </c>
      <c r="J4">
        <v>72</v>
      </c>
      <c r="K4">
        <v>72</v>
      </c>
      <c r="N4">
        <v>155</v>
      </c>
      <c r="O4">
        <v>180</v>
      </c>
      <c r="P4">
        <v>164</v>
      </c>
      <c r="Q4">
        <v>178</v>
      </c>
      <c r="S4">
        <v>32</v>
      </c>
      <c r="T4">
        <v>34</v>
      </c>
      <c r="U4">
        <v>30</v>
      </c>
    </row>
    <row r="5" spans="8:21">
      <c r="H5">
        <v>71</v>
      </c>
      <c r="I5">
        <v>94</v>
      </c>
      <c r="J5">
        <v>70</v>
      </c>
      <c r="K5">
        <v>66</v>
      </c>
      <c r="N5">
        <v>147</v>
      </c>
      <c r="O5">
        <v>168</v>
      </c>
      <c r="P5">
        <v>155</v>
      </c>
      <c r="Q5">
        <v>170</v>
      </c>
      <c r="S5">
        <v>30</v>
      </c>
      <c r="T5">
        <v>37</v>
      </c>
      <c r="U5">
        <v>27</v>
      </c>
    </row>
    <row r="6" spans="8:21">
      <c r="H6">
        <v>69</v>
      </c>
      <c r="I6">
        <v>85</v>
      </c>
      <c r="J6">
        <v>70</v>
      </c>
      <c r="K6">
        <v>63</v>
      </c>
      <c r="N6">
        <v>138</v>
      </c>
      <c r="O6">
        <v>158</v>
      </c>
      <c r="P6">
        <v>145</v>
      </c>
      <c r="Q6">
        <v>164</v>
      </c>
      <c r="S6">
        <v>30</v>
      </c>
      <c r="T6">
        <v>37</v>
      </c>
      <c r="U6">
        <v>27</v>
      </c>
    </row>
    <row r="7" spans="8:21">
      <c r="H7">
        <v>70</v>
      </c>
      <c r="I7">
        <v>74</v>
      </c>
      <c r="J7">
        <v>65</v>
      </c>
      <c r="K7">
        <v>60</v>
      </c>
      <c r="N7">
        <v>133</v>
      </c>
      <c r="O7">
        <v>157</v>
      </c>
      <c r="P7">
        <v>136</v>
      </c>
      <c r="Q7">
        <v>158</v>
      </c>
      <c r="S7">
        <v>34</v>
      </c>
      <c r="T7">
        <v>36</v>
      </c>
      <c r="U7">
        <v>32</v>
      </c>
    </row>
    <row r="8" spans="8:21">
      <c r="H8">
        <v>62</v>
      </c>
      <c r="I8">
        <v>74</v>
      </c>
      <c r="J8">
        <v>65</v>
      </c>
      <c r="K8">
        <v>61</v>
      </c>
      <c r="N8">
        <v>133</v>
      </c>
      <c r="O8">
        <v>157</v>
      </c>
      <c r="P8">
        <v>139</v>
      </c>
      <c r="Q8">
        <v>154</v>
      </c>
      <c r="S8">
        <v>38</v>
      </c>
      <c r="T8">
        <v>38</v>
      </c>
      <c r="U8">
        <v>23</v>
      </c>
    </row>
    <row r="9" spans="8:21">
      <c r="H9">
        <v>77</v>
      </c>
      <c r="I9">
        <v>85</v>
      </c>
      <c r="J9">
        <v>77</v>
      </c>
      <c r="K9">
        <v>72</v>
      </c>
      <c r="N9">
        <v>143</v>
      </c>
      <c r="O9">
        <v>165</v>
      </c>
      <c r="P9">
        <v>155</v>
      </c>
      <c r="Q9">
        <v>162</v>
      </c>
      <c r="S9">
        <v>39</v>
      </c>
      <c r="T9">
        <v>37</v>
      </c>
      <c r="U9">
        <v>30</v>
      </c>
    </row>
    <row r="10" spans="8:21">
      <c r="H10">
        <v>74</v>
      </c>
      <c r="I10">
        <v>83</v>
      </c>
      <c r="J10">
        <v>72</v>
      </c>
      <c r="K10">
        <v>67</v>
      </c>
      <c r="N10">
        <v>130</v>
      </c>
      <c r="O10">
        <v>152</v>
      </c>
      <c r="P10">
        <v>198</v>
      </c>
      <c r="Q10">
        <v>148</v>
      </c>
      <c r="S10">
        <v>48</v>
      </c>
      <c r="T10">
        <v>39</v>
      </c>
      <c r="U10">
        <v>32</v>
      </c>
    </row>
    <row r="11" spans="8:21">
      <c r="H11">
        <v>77</v>
      </c>
      <c r="I11">
        <v>87</v>
      </c>
      <c r="J11">
        <v>70</v>
      </c>
      <c r="K11">
        <v>70</v>
      </c>
      <c r="N11">
        <v>128</v>
      </c>
      <c r="O11">
        <v>153</v>
      </c>
      <c r="P11">
        <v>221</v>
      </c>
      <c r="Q11">
        <v>138</v>
      </c>
      <c r="S11">
        <v>45</v>
      </c>
      <c r="T11">
        <v>45</v>
      </c>
      <c r="U11">
        <v>42</v>
      </c>
    </row>
    <row r="12" spans="8:21">
      <c r="H12">
        <v>77</v>
      </c>
      <c r="I12">
        <v>87</v>
      </c>
      <c r="J12">
        <v>74</v>
      </c>
      <c r="K12">
        <v>73</v>
      </c>
      <c r="N12">
        <v>124</v>
      </c>
      <c r="O12">
        <v>147</v>
      </c>
      <c r="P12">
        <v>228</v>
      </c>
      <c r="Q12">
        <v>137</v>
      </c>
      <c r="S12">
        <v>42</v>
      </c>
      <c r="T12">
        <v>45</v>
      </c>
      <c r="U12">
        <v>50</v>
      </c>
    </row>
    <row r="13" spans="8:21">
      <c r="H13">
        <v>85</v>
      </c>
      <c r="I13">
        <v>95</v>
      </c>
      <c r="J13">
        <v>73</v>
      </c>
      <c r="K13">
        <v>75</v>
      </c>
      <c r="N13">
        <v>130</v>
      </c>
      <c r="O13">
        <v>147</v>
      </c>
      <c r="P13">
        <v>199</v>
      </c>
      <c r="Q13">
        <v>140</v>
      </c>
      <c r="S13">
        <v>45</v>
      </c>
      <c r="T13">
        <v>46</v>
      </c>
      <c r="U13">
        <v>48</v>
      </c>
    </row>
    <row r="14" spans="8:21">
      <c r="H14">
        <v>84</v>
      </c>
      <c r="I14">
        <v>96</v>
      </c>
      <c r="J14">
        <v>79</v>
      </c>
      <c r="K14">
        <v>73</v>
      </c>
      <c r="N14">
        <v>129</v>
      </c>
      <c r="O14">
        <v>151</v>
      </c>
      <c r="P14">
        <v>182</v>
      </c>
      <c r="Q14">
        <v>144</v>
      </c>
      <c r="S14">
        <v>48</v>
      </c>
      <c r="T14">
        <v>46</v>
      </c>
      <c r="U14">
        <v>42</v>
      </c>
    </row>
    <row r="15" spans="8:21">
      <c r="H15">
        <v>90</v>
      </c>
      <c r="I15">
        <v>107</v>
      </c>
      <c r="J15">
        <v>81</v>
      </c>
      <c r="K15">
        <v>67</v>
      </c>
      <c r="N15">
        <v>137</v>
      </c>
      <c r="O15">
        <v>157</v>
      </c>
      <c r="P15">
        <v>171</v>
      </c>
      <c r="Q15">
        <v>159</v>
      </c>
      <c r="S15">
        <v>48</v>
      </c>
      <c r="T15">
        <v>46</v>
      </c>
      <c r="U15">
        <v>46</v>
      </c>
    </row>
    <row r="16" spans="8:21">
      <c r="H16">
        <v>94</v>
      </c>
      <c r="I16">
        <v>111</v>
      </c>
      <c r="J16">
        <v>89</v>
      </c>
      <c r="K16">
        <v>71</v>
      </c>
      <c r="N16">
        <v>142</v>
      </c>
      <c r="O16">
        <v>165</v>
      </c>
      <c r="P16">
        <v>174</v>
      </c>
      <c r="Q16">
        <v>169</v>
      </c>
      <c r="S16">
        <v>46</v>
      </c>
      <c r="T16">
        <v>45</v>
      </c>
      <c r="U16">
        <v>42</v>
      </c>
    </row>
    <row r="17" spans="8:21">
      <c r="H17">
        <v>95</v>
      </c>
      <c r="I17">
        <v>107</v>
      </c>
      <c r="J17">
        <v>67</v>
      </c>
      <c r="K17">
        <v>75</v>
      </c>
      <c r="N17">
        <v>137</v>
      </c>
      <c r="O17">
        <v>180</v>
      </c>
      <c r="P17">
        <v>225</v>
      </c>
      <c r="Q17">
        <v>162</v>
      </c>
      <c r="S17">
        <v>48</v>
      </c>
      <c r="T17">
        <v>45</v>
      </c>
      <c r="U17">
        <v>36</v>
      </c>
    </row>
    <row r="18" spans="8:21">
      <c r="H18">
        <v>89</v>
      </c>
      <c r="I18">
        <v>102</v>
      </c>
      <c r="J18">
        <v>69</v>
      </c>
      <c r="K18">
        <v>67</v>
      </c>
      <c r="N18">
        <v>130</v>
      </c>
      <c r="O18">
        <v>153</v>
      </c>
      <c r="P18">
        <v>219</v>
      </c>
      <c r="Q18">
        <v>155</v>
      </c>
      <c r="S18">
        <v>46</v>
      </c>
      <c r="T18">
        <v>46</v>
      </c>
      <c r="U18">
        <v>36</v>
      </c>
    </row>
    <row r="19" spans="8:21">
      <c r="H19">
        <v>86</v>
      </c>
      <c r="I19">
        <v>99</v>
      </c>
      <c r="J19">
        <v>67</v>
      </c>
      <c r="K19">
        <v>70</v>
      </c>
      <c r="N19">
        <v>128</v>
      </c>
      <c r="O19">
        <v>153</v>
      </c>
      <c r="P19">
        <v>224</v>
      </c>
      <c r="Q19">
        <v>151</v>
      </c>
      <c r="S19">
        <v>46</v>
      </c>
      <c r="T19">
        <v>45</v>
      </c>
      <c r="U19">
        <v>34</v>
      </c>
    </row>
    <row r="20" spans="8:21">
      <c r="H20">
        <v>82</v>
      </c>
      <c r="I20">
        <v>97</v>
      </c>
      <c r="J20">
        <v>66</v>
      </c>
      <c r="K20">
        <v>66</v>
      </c>
      <c r="N20">
        <v>139</v>
      </c>
      <c r="O20">
        <v>164</v>
      </c>
      <c r="P20">
        <v>213</v>
      </c>
      <c r="Q20">
        <v>173</v>
      </c>
      <c r="S20">
        <v>44</v>
      </c>
      <c r="T20">
        <v>44</v>
      </c>
      <c r="U20">
        <v>32</v>
      </c>
    </row>
    <row r="21" spans="8:21">
      <c r="H21">
        <v>89</v>
      </c>
      <c r="I21">
        <v>102</v>
      </c>
      <c r="J21">
        <v>71</v>
      </c>
      <c r="K21">
        <v>68</v>
      </c>
      <c r="N21">
        <v>150</v>
      </c>
      <c r="O21">
        <v>199</v>
      </c>
      <c r="Q21">
        <v>184</v>
      </c>
      <c r="S21">
        <v>44</v>
      </c>
      <c r="T21">
        <v>45</v>
      </c>
      <c r="U21">
        <v>32</v>
      </c>
    </row>
    <row r="22" spans="8:21">
      <c r="H22">
        <v>99</v>
      </c>
      <c r="I22">
        <v>112</v>
      </c>
      <c r="J22">
        <v>73</v>
      </c>
      <c r="K22">
        <v>70</v>
      </c>
      <c r="N22">
        <v>164</v>
      </c>
      <c r="O22">
        <v>207</v>
      </c>
      <c r="Q22">
        <v>196</v>
      </c>
      <c r="S22">
        <v>43</v>
      </c>
      <c r="T22">
        <v>45</v>
      </c>
      <c r="U22">
        <v>32</v>
      </c>
    </row>
    <row r="23" spans="8:21">
      <c r="H23">
        <v>104</v>
      </c>
      <c r="I23">
        <v>117</v>
      </c>
      <c r="J23">
        <v>83</v>
      </c>
      <c r="K23">
        <v>73</v>
      </c>
      <c r="N23">
        <v>173</v>
      </c>
      <c r="O23">
        <v>214</v>
      </c>
      <c r="Q23">
        <v>263</v>
      </c>
      <c r="S23">
        <v>42</v>
      </c>
      <c r="T23">
        <v>43</v>
      </c>
    </row>
    <row r="24" spans="8:21">
      <c r="H24">
        <v>107</v>
      </c>
      <c r="I24">
        <v>123</v>
      </c>
      <c r="J24">
        <v>83</v>
      </c>
      <c r="K24">
        <v>72</v>
      </c>
      <c r="N24">
        <v>191</v>
      </c>
      <c r="O24">
        <v>215</v>
      </c>
      <c r="Q24">
        <v>246</v>
      </c>
      <c r="S24">
        <v>42</v>
      </c>
      <c r="T24">
        <v>42</v>
      </c>
    </row>
    <row r="25" spans="8:21">
      <c r="H25">
        <v>105</v>
      </c>
      <c r="I25">
        <v>118</v>
      </c>
      <c r="J25">
        <v>85</v>
      </c>
      <c r="K25">
        <v>72</v>
      </c>
      <c r="N25">
        <v>185</v>
      </c>
      <c r="O25">
        <v>215</v>
      </c>
      <c r="S25">
        <v>40</v>
      </c>
      <c r="T25">
        <v>40</v>
      </c>
    </row>
    <row r="26" spans="8:21">
      <c r="H26">
        <f>SUM(H2:H25)</f>
        <v>2030</v>
      </c>
      <c r="I26">
        <f>SUM(I2:I25)</f>
        <v>2365</v>
      </c>
      <c r="J26">
        <f>SUM(J2:J25)</f>
        <v>1783</v>
      </c>
      <c r="K26">
        <f>SUM(K2:K25)</f>
        <v>1674</v>
      </c>
      <c r="N26">
        <f>SUM(N2:N25)</f>
        <v>3507</v>
      </c>
      <c r="O26">
        <f>SUM(O2:O25)</f>
        <v>4131</v>
      </c>
    </row>
    <row r="27" spans="8:21">
      <c r="H27">
        <f>H26/24</f>
        <v>84.583333333333329</v>
      </c>
      <c r="I27">
        <f>I26/24</f>
        <v>98.541666666666671</v>
      </c>
      <c r="J27">
        <f>J26/24</f>
        <v>74.291666666666671</v>
      </c>
      <c r="K27">
        <f>K26/24</f>
        <v>69.75</v>
      </c>
      <c r="M27">
        <v>167.33</v>
      </c>
      <c r="N27">
        <f>N26/24</f>
        <v>146.125</v>
      </c>
      <c r="O27">
        <f>O26/24</f>
        <v>172.125</v>
      </c>
    </row>
    <row r="28" spans="8:21">
      <c r="M28">
        <f>M27*12500</f>
        <v>2091625.0000000002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D56"/>
  <sheetViews>
    <sheetView topLeftCell="B41" zoomScaleNormal="100" workbookViewId="0">
      <selection activeCell="T56" sqref="T56"/>
    </sheetView>
  </sheetViews>
  <sheetFormatPr defaultRowHeight="15"/>
  <cols>
    <col min="1" max="26" width="8.7109375" customWidth="1"/>
    <col min="27" max="30" width="3" customWidth="1"/>
    <col min="31" max="1025" width="8.7109375" customWidth="1"/>
  </cols>
  <sheetData>
    <row r="2" spans="2:30">
      <c r="B2">
        <v>142</v>
      </c>
      <c r="C2">
        <v>128</v>
      </c>
      <c r="D2">
        <v>135</v>
      </c>
      <c r="E2">
        <v>128</v>
      </c>
      <c r="J2">
        <v>44</v>
      </c>
      <c r="K2">
        <v>39</v>
      </c>
      <c r="L2">
        <v>43</v>
      </c>
      <c r="M2">
        <v>39</v>
      </c>
      <c r="P2">
        <v>80</v>
      </c>
      <c r="Q2">
        <v>96</v>
      </c>
      <c r="R2">
        <v>86</v>
      </c>
      <c r="S2">
        <v>97</v>
      </c>
      <c r="U2">
        <v>73</v>
      </c>
      <c r="V2">
        <v>67</v>
      </c>
      <c r="W2">
        <v>72</v>
      </c>
      <c r="X2">
        <v>63</v>
      </c>
      <c r="AA2">
        <v>27</v>
      </c>
      <c r="AB2">
        <v>27</v>
      </c>
      <c r="AC2">
        <v>25</v>
      </c>
      <c r="AD2">
        <v>30</v>
      </c>
    </row>
    <row r="3" spans="2:30">
      <c r="B3">
        <v>140</v>
      </c>
      <c r="C3">
        <v>126</v>
      </c>
      <c r="D3">
        <v>134</v>
      </c>
      <c r="E3">
        <v>123</v>
      </c>
      <c r="J3">
        <v>42</v>
      </c>
      <c r="K3">
        <v>36</v>
      </c>
      <c r="L3">
        <v>43</v>
      </c>
      <c r="M3">
        <v>42</v>
      </c>
      <c r="P3">
        <v>75</v>
      </c>
      <c r="Q3">
        <v>90</v>
      </c>
      <c r="R3">
        <v>84</v>
      </c>
      <c r="S3">
        <v>94</v>
      </c>
      <c r="U3">
        <v>69</v>
      </c>
      <c r="V3">
        <v>64</v>
      </c>
      <c r="W3">
        <v>55</v>
      </c>
      <c r="X3">
        <v>63</v>
      </c>
      <c r="AA3">
        <v>25</v>
      </c>
      <c r="AB3">
        <v>27</v>
      </c>
      <c r="AC3">
        <v>24</v>
      </c>
      <c r="AD3">
        <v>29</v>
      </c>
    </row>
    <row r="4" spans="2:30">
      <c r="B4">
        <v>138</v>
      </c>
      <c r="C4">
        <v>125</v>
      </c>
      <c r="D4">
        <v>133</v>
      </c>
      <c r="E4">
        <v>120</v>
      </c>
      <c r="J4">
        <v>40</v>
      </c>
      <c r="K4">
        <v>32</v>
      </c>
      <c r="L4">
        <v>42</v>
      </c>
      <c r="M4">
        <v>45</v>
      </c>
      <c r="P4">
        <v>70</v>
      </c>
      <c r="Q4">
        <v>85</v>
      </c>
      <c r="R4">
        <v>80</v>
      </c>
      <c r="S4">
        <v>90</v>
      </c>
      <c r="U4">
        <v>65</v>
      </c>
      <c r="V4">
        <v>60</v>
      </c>
      <c r="W4">
        <v>49</v>
      </c>
      <c r="X4">
        <v>60</v>
      </c>
      <c r="AA4">
        <v>22</v>
      </c>
      <c r="AB4">
        <v>27</v>
      </c>
      <c r="AC4">
        <v>24</v>
      </c>
      <c r="AD4">
        <v>27</v>
      </c>
    </row>
    <row r="5" spans="2:30">
      <c r="B5">
        <v>136</v>
      </c>
      <c r="C5">
        <v>123</v>
      </c>
      <c r="D5">
        <v>130</v>
      </c>
      <c r="E5">
        <v>118</v>
      </c>
      <c r="J5">
        <v>38</v>
      </c>
      <c r="K5">
        <v>30</v>
      </c>
      <c r="L5">
        <v>41</v>
      </c>
      <c r="M5">
        <v>50</v>
      </c>
      <c r="P5">
        <v>67</v>
      </c>
      <c r="Q5">
        <v>82</v>
      </c>
      <c r="R5">
        <v>74</v>
      </c>
      <c r="S5">
        <v>88</v>
      </c>
      <c r="U5">
        <v>60</v>
      </c>
      <c r="V5">
        <v>57</v>
      </c>
      <c r="W5">
        <v>47</v>
      </c>
      <c r="X5">
        <v>61</v>
      </c>
      <c r="AA5">
        <v>25</v>
      </c>
      <c r="AB5">
        <v>26</v>
      </c>
      <c r="AC5">
        <v>22</v>
      </c>
      <c r="AD5">
        <v>25</v>
      </c>
    </row>
    <row r="6" spans="2:30">
      <c r="B6">
        <v>134</v>
      </c>
      <c r="C6">
        <v>122</v>
      </c>
      <c r="D6">
        <v>127</v>
      </c>
      <c r="E6">
        <v>116</v>
      </c>
      <c r="J6">
        <v>34</v>
      </c>
      <c r="K6">
        <v>28</v>
      </c>
      <c r="L6">
        <v>39</v>
      </c>
      <c r="M6">
        <v>55</v>
      </c>
      <c r="P6">
        <v>85</v>
      </c>
      <c r="Q6">
        <v>79</v>
      </c>
      <c r="R6">
        <v>70</v>
      </c>
      <c r="S6">
        <v>86</v>
      </c>
      <c r="U6">
        <v>57</v>
      </c>
      <c r="V6">
        <v>52</v>
      </c>
      <c r="W6">
        <v>46</v>
      </c>
      <c r="X6">
        <v>46</v>
      </c>
      <c r="AA6">
        <v>25</v>
      </c>
      <c r="AB6">
        <v>24</v>
      </c>
      <c r="AC6">
        <v>20</v>
      </c>
      <c r="AD6">
        <v>23</v>
      </c>
    </row>
    <row r="7" spans="2:30">
      <c r="B7">
        <v>132</v>
      </c>
      <c r="C7">
        <v>120</v>
      </c>
      <c r="D7">
        <v>125</v>
      </c>
      <c r="E7">
        <v>112</v>
      </c>
      <c r="J7">
        <v>32</v>
      </c>
      <c r="K7">
        <v>27</v>
      </c>
      <c r="L7">
        <v>36</v>
      </c>
      <c r="M7">
        <v>27</v>
      </c>
      <c r="P7">
        <v>63</v>
      </c>
      <c r="Q7">
        <v>77</v>
      </c>
      <c r="R7">
        <v>68</v>
      </c>
      <c r="S7">
        <v>86</v>
      </c>
      <c r="U7">
        <v>53</v>
      </c>
      <c r="V7">
        <v>48</v>
      </c>
      <c r="W7">
        <v>44</v>
      </c>
      <c r="X7">
        <v>48</v>
      </c>
      <c r="AA7">
        <v>24</v>
      </c>
      <c r="AB7">
        <v>22</v>
      </c>
      <c r="AC7">
        <v>19</v>
      </c>
      <c r="AD7">
        <v>21</v>
      </c>
    </row>
    <row r="8" spans="2:30">
      <c r="B8">
        <v>130</v>
      </c>
      <c r="C8">
        <v>118</v>
      </c>
      <c r="D8">
        <v>131</v>
      </c>
      <c r="E8">
        <v>108</v>
      </c>
      <c r="J8">
        <v>30</v>
      </c>
      <c r="K8">
        <v>28</v>
      </c>
      <c r="L8">
        <v>33</v>
      </c>
      <c r="M8">
        <v>24</v>
      </c>
      <c r="P8">
        <v>62</v>
      </c>
      <c r="Q8">
        <v>76</v>
      </c>
      <c r="R8">
        <v>68</v>
      </c>
      <c r="S8">
        <v>86</v>
      </c>
      <c r="U8">
        <v>51</v>
      </c>
      <c r="V8">
        <v>46</v>
      </c>
      <c r="W8">
        <v>42</v>
      </c>
      <c r="X8">
        <v>45</v>
      </c>
      <c r="AA8">
        <v>19</v>
      </c>
      <c r="AB8">
        <v>20</v>
      </c>
      <c r="AC8">
        <v>18</v>
      </c>
      <c r="AD8">
        <v>19</v>
      </c>
    </row>
    <row r="9" spans="2:30">
      <c r="B9">
        <v>128</v>
      </c>
      <c r="C9">
        <v>109</v>
      </c>
      <c r="D9">
        <v>124</v>
      </c>
      <c r="E9">
        <v>106</v>
      </c>
      <c r="J9">
        <v>33</v>
      </c>
      <c r="K9">
        <v>28</v>
      </c>
      <c r="L9">
        <v>34</v>
      </c>
      <c r="M9">
        <v>27</v>
      </c>
      <c r="P9">
        <v>60</v>
      </c>
      <c r="Q9">
        <v>74</v>
      </c>
      <c r="R9">
        <v>68</v>
      </c>
      <c r="S9">
        <v>70</v>
      </c>
      <c r="U9">
        <v>58</v>
      </c>
      <c r="V9">
        <v>45</v>
      </c>
      <c r="W9">
        <v>40</v>
      </c>
      <c r="X9">
        <v>45</v>
      </c>
      <c r="AA9">
        <v>19</v>
      </c>
      <c r="AB9">
        <v>18</v>
      </c>
      <c r="AC9">
        <v>18</v>
      </c>
      <c r="AD9">
        <v>24</v>
      </c>
    </row>
    <row r="10" spans="2:30">
      <c r="B10">
        <v>113</v>
      </c>
      <c r="C10">
        <v>100</v>
      </c>
      <c r="D10">
        <v>112</v>
      </c>
      <c r="E10">
        <v>101</v>
      </c>
      <c r="J10">
        <v>28</v>
      </c>
      <c r="K10">
        <v>28</v>
      </c>
      <c r="L10">
        <v>34</v>
      </c>
      <c r="M10">
        <v>22</v>
      </c>
      <c r="P10">
        <v>60</v>
      </c>
      <c r="Q10">
        <v>72</v>
      </c>
      <c r="R10">
        <v>67</v>
      </c>
      <c r="S10">
        <v>67</v>
      </c>
      <c r="U10">
        <v>52</v>
      </c>
      <c r="V10">
        <v>49</v>
      </c>
      <c r="W10">
        <v>44</v>
      </c>
      <c r="X10">
        <v>40</v>
      </c>
      <c r="AA10">
        <v>16</v>
      </c>
      <c r="AB10">
        <v>19</v>
      </c>
      <c r="AC10">
        <v>21</v>
      </c>
      <c r="AD10">
        <v>22</v>
      </c>
    </row>
    <row r="11" spans="2:30">
      <c r="B11">
        <v>108</v>
      </c>
      <c r="C11">
        <v>97</v>
      </c>
      <c r="D11">
        <v>109</v>
      </c>
      <c r="E11">
        <v>97</v>
      </c>
      <c r="J11">
        <v>28</v>
      </c>
      <c r="K11">
        <v>28</v>
      </c>
      <c r="L11">
        <v>30</v>
      </c>
      <c r="M11">
        <v>23</v>
      </c>
      <c r="P11">
        <v>57</v>
      </c>
      <c r="Q11">
        <v>70</v>
      </c>
      <c r="R11">
        <v>66</v>
      </c>
      <c r="S11">
        <v>67</v>
      </c>
      <c r="U11">
        <v>46</v>
      </c>
      <c r="V11">
        <v>43</v>
      </c>
      <c r="W11">
        <v>46</v>
      </c>
      <c r="X11">
        <v>41</v>
      </c>
      <c r="AA11">
        <v>17</v>
      </c>
      <c r="AB11">
        <v>21</v>
      </c>
      <c r="AC11">
        <v>18</v>
      </c>
      <c r="AD11">
        <v>19</v>
      </c>
    </row>
    <row r="12" spans="2:30">
      <c r="B12">
        <v>105</v>
      </c>
      <c r="C12">
        <v>97</v>
      </c>
      <c r="D12">
        <v>99</v>
      </c>
      <c r="E12">
        <v>97</v>
      </c>
      <c r="J12">
        <v>31</v>
      </c>
      <c r="K12">
        <v>29</v>
      </c>
      <c r="L12">
        <v>30</v>
      </c>
      <c r="M12">
        <v>27</v>
      </c>
      <c r="P12">
        <v>59</v>
      </c>
      <c r="Q12">
        <v>70</v>
      </c>
      <c r="R12">
        <v>66</v>
      </c>
      <c r="S12">
        <v>69</v>
      </c>
      <c r="U12">
        <v>46</v>
      </c>
      <c r="V12">
        <v>42</v>
      </c>
      <c r="W12">
        <v>48</v>
      </c>
      <c r="X12">
        <v>42</v>
      </c>
      <c r="AA12">
        <v>18</v>
      </c>
      <c r="AB12">
        <v>21</v>
      </c>
      <c r="AC12">
        <v>19</v>
      </c>
      <c r="AD12">
        <v>21</v>
      </c>
    </row>
    <row r="13" spans="2:30">
      <c r="B13">
        <v>105</v>
      </c>
      <c r="C13">
        <v>92</v>
      </c>
      <c r="D13">
        <v>100</v>
      </c>
      <c r="E13">
        <v>96</v>
      </c>
      <c r="J13">
        <v>33</v>
      </c>
      <c r="K13">
        <v>31</v>
      </c>
      <c r="L13">
        <v>32</v>
      </c>
      <c r="M13">
        <v>29</v>
      </c>
      <c r="P13">
        <v>63</v>
      </c>
      <c r="Q13">
        <v>71</v>
      </c>
      <c r="R13">
        <v>63</v>
      </c>
      <c r="S13">
        <v>71</v>
      </c>
      <c r="U13">
        <v>51</v>
      </c>
      <c r="V13">
        <v>43</v>
      </c>
      <c r="W13">
        <v>49</v>
      </c>
      <c r="X13">
        <v>43</v>
      </c>
      <c r="AA13">
        <v>18</v>
      </c>
      <c r="AB13">
        <v>19</v>
      </c>
      <c r="AC13">
        <v>19</v>
      </c>
      <c r="AD13">
        <v>21</v>
      </c>
    </row>
    <row r="14" spans="2:30">
      <c r="B14">
        <v>112</v>
      </c>
      <c r="C14">
        <v>99</v>
      </c>
      <c r="D14">
        <v>102</v>
      </c>
      <c r="E14">
        <v>121</v>
      </c>
      <c r="J14">
        <v>39</v>
      </c>
      <c r="K14">
        <v>35</v>
      </c>
      <c r="L14">
        <v>39</v>
      </c>
      <c r="M14">
        <v>33</v>
      </c>
      <c r="P14">
        <v>70</v>
      </c>
      <c r="Q14">
        <v>72</v>
      </c>
      <c r="R14">
        <v>63</v>
      </c>
      <c r="S14">
        <v>91</v>
      </c>
      <c r="U14">
        <v>54</v>
      </c>
      <c r="V14">
        <v>45</v>
      </c>
      <c r="W14">
        <v>52</v>
      </c>
      <c r="X14">
        <v>48</v>
      </c>
      <c r="AA14">
        <v>19</v>
      </c>
      <c r="AB14">
        <v>21</v>
      </c>
      <c r="AC14">
        <v>19</v>
      </c>
      <c r="AD14">
        <v>22</v>
      </c>
    </row>
    <row r="15" spans="2:30">
      <c r="B15">
        <v>123</v>
      </c>
      <c r="C15">
        <v>103</v>
      </c>
      <c r="D15">
        <v>114</v>
      </c>
      <c r="E15">
        <v>115</v>
      </c>
      <c r="J15">
        <v>41</v>
      </c>
      <c r="K15">
        <v>36</v>
      </c>
      <c r="L15">
        <v>43</v>
      </c>
      <c r="M15">
        <v>35</v>
      </c>
      <c r="P15">
        <v>71</v>
      </c>
      <c r="Q15">
        <v>84</v>
      </c>
      <c r="R15">
        <v>73</v>
      </c>
      <c r="S15">
        <v>96</v>
      </c>
      <c r="U15">
        <v>67</v>
      </c>
      <c r="V15">
        <v>54</v>
      </c>
      <c r="W15">
        <v>63</v>
      </c>
      <c r="X15">
        <v>52</v>
      </c>
      <c r="AA15">
        <v>22</v>
      </c>
      <c r="AB15">
        <v>27</v>
      </c>
      <c r="AC15">
        <v>24</v>
      </c>
      <c r="AD15">
        <v>27</v>
      </c>
    </row>
    <row r="16" spans="2:30">
      <c r="B16">
        <v>129</v>
      </c>
      <c r="C16">
        <v>106</v>
      </c>
      <c r="D16">
        <v>116</v>
      </c>
      <c r="E16">
        <v>113</v>
      </c>
      <c r="J16">
        <v>45</v>
      </c>
      <c r="K16">
        <v>37</v>
      </c>
      <c r="L16">
        <v>42</v>
      </c>
      <c r="M16">
        <v>35</v>
      </c>
      <c r="P16">
        <v>72</v>
      </c>
      <c r="Q16">
        <v>83</v>
      </c>
      <c r="R16">
        <v>78</v>
      </c>
      <c r="S16">
        <v>89</v>
      </c>
      <c r="U16">
        <v>67</v>
      </c>
      <c r="V16">
        <v>57</v>
      </c>
      <c r="W16">
        <v>62</v>
      </c>
      <c r="X16">
        <v>58</v>
      </c>
      <c r="AA16">
        <v>22</v>
      </c>
      <c r="AB16">
        <v>26</v>
      </c>
      <c r="AC16">
        <v>24</v>
      </c>
      <c r="AD16">
        <v>31</v>
      </c>
    </row>
    <row r="17" spans="2:30">
      <c r="B17">
        <v>118</v>
      </c>
      <c r="C17">
        <v>109</v>
      </c>
      <c r="D17">
        <v>119</v>
      </c>
      <c r="E17">
        <v>106</v>
      </c>
      <c r="J17">
        <v>39</v>
      </c>
      <c r="K17">
        <v>35</v>
      </c>
      <c r="L17">
        <v>41</v>
      </c>
      <c r="M17">
        <v>33</v>
      </c>
      <c r="P17">
        <v>71</v>
      </c>
      <c r="Q17">
        <v>81</v>
      </c>
      <c r="R17">
        <v>76</v>
      </c>
      <c r="S17">
        <v>77</v>
      </c>
      <c r="U17">
        <v>60</v>
      </c>
      <c r="V17">
        <v>57</v>
      </c>
      <c r="W17">
        <v>63</v>
      </c>
      <c r="X17">
        <v>57</v>
      </c>
      <c r="AA17">
        <v>21</v>
      </c>
      <c r="AB17">
        <v>27</v>
      </c>
      <c r="AC17">
        <v>24</v>
      </c>
      <c r="AD17">
        <v>25</v>
      </c>
    </row>
    <row r="18" spans="2:30">
      <c r="B18">
        <v>121</v>
      </c>
      <c r="C18">
        <v>108</v>
      </c>
      <c r="D18">
        <v>119</v>
      </c>
      <c r="E18">
        <v>98</v>
      </c>
      <c r="J18">
        <v>34</v>
      </c>
      <c r="K18">
        <v>32</v>
      </c>
      <c r="L18">
        <v>39</v>
      </c>
      <c r="M18">
        <v>35</v>
      </c>
      <c r="P18">
        <v>67</v>
      </c>
      <c r="Q18">
        <v>81</v>
      </c>
      <c r="R18">
        <v>70</v>
      </c>
      <c r="S18">
        <v>70</v>
      </c>
      <c r="U18">
        <v>57</v>
      </c>
      <c r="V18">
        <v>55</v>
      </c>
      <c r="W18">
        <v>58</v>
      </c>
      <c r="X18">
        <v>52</v>
      </c>
      <c r="AA18">
        <v>21</v>
      </c>
      <c r="AB18">
        <v>25</v>
      </c>
      <c r="AC18">
        <v>25</v>
      </c>
      <c r="AD18">
        <v>29</v>
      </c>
    </row>
    <row r="19" spans="2:30">
      <c r="B19">
        <v>119</v>
      </c>
      <c r="C19">
        <v>104</v>
      </c>
      <c r="D19">
        <v>121</v>
      </c>
      <c r="E19">
        <v>102</v>
      </c>
      <c r="J19">
        <v>34</v>
      </c>
      <c r="K19">
        <v>31</v>
      </c>
      <c r="L19">
        <v>34</v>
      </c>
      <c r="M19">
        <v>33</v>
      </c>
      <c r="P19">
        <v>61</v>
      </c>
      <c r="Q19">
        <v>74</v>
      </c>
      <c r="R19">
        <v>68</v>
      </c>
      <c r="S19">
        <v>70</v>
      </c>
      <c r="U19">
        <v>54</v>
      </c>
      <c r="V19">
        <v>51</v>
      </c>
      <c r="W19">
        <v>57</v>
      </c>
      <c r="X19">
        <v>46</v>
      </c>
      <c r="AA19">
        <v>21</v>
      </c>
      <c r="AB19">
        <v>24</v>
      </c>
      <c r="AC19">
        <v>24</v>
      </c>
      <c r="AD19">
        <v>30</v>
      </c>
    </row>
    <row r="20" spans="2:30">
      <c r="B20">
        <v>126</v>
      </c>
      <c r="C20">
        <v>111</v>
      </c>
      <c r="D20">
        <v>13</v>
      </c>
      <c r="E20">
        <v>123</v>
      </c>
      <c r="J20">
        <v>36</v>
      </c>
      <c r="K20">
        <v>31</v>
      </c>
      <c r="L20">
        <v>39</v>
      </c>
      <c r="M20">
        <v>34</v>
      </c>
      <c r="P20">
        <v>70</v>
      </c>
      <c r="Q20">
        <v>86</v>
      </c>
      <c r="R20">
        <v>69</v>
      </c>
      <c r="S20">
        <v>74</v>
      </c>
      <c r="U20">
        <v>48</v>
      </c>
      <c r="V20">
        <v>49</v>
      </c>
      <c r="W20">
        <v>60</v>
      </c>
      <c r="X20">
        <v>54</v>
      </c>
      <c r="AA20">
        <v>22</v>
      </c>
      <c r="AB20">
        <v>24</v>
      </c>
      <c r="AC20">
        <v>24</v>
      </c>
      <c r="AD20">
        <v>25</v>
      </c>
    </row>
    <row r="21" spans="2:30">
      <c r="B21">
        <v>145</v>
      </c>
      <c r="C21">
        <v>128</v>
      </c>
      <c r="D21">
        <v>151</v>
      </c>
      <c r="E21">
        <v>124</v>
      </c>
      <c r="J21">
        <v>39</v>
      </c>
      <c r="K21">
        <v>40</v>
      </c>
      <c r="L21">
        <v>46</v>
      </c>
      <c r="M21">
        <v>39</v>
      </c>
      <c r="P21">
        <v>78</v>
      </c>
      <c r="Q21">
        <v>103</v>
      </c>
      <c r="R21">
        <v>87</v>
      </c>
      <c r="S21">
        <v>94</v>
      </c>
      <c r="U21">
        <v>72</v>
      </c>
      <c r="V21">
        <v>51</v>
      </c>
      <c r="W21">
        <v>60</v>
      </c>
      <c r="X21">
        <v>61</v>
      </c>
      <c r="AA21">
        <v>24</v>
      </c>
      <c r="AB21">
        <v>31</v>
      </c>
      <c r="AC21">
        <v>27</v>
      </c>
      <c r="AD21">
        <v>28</v>
      </c>
    </row>
    <row r="22" spans="2:30">
      <c r="B22">
        <v>153</v>
      </c>
      <c r="C22">
        <v>138</v>
      </c>
      <c r="D22">
        <v>151</v>
      </c>
      <c r="E22">
        <v>142</v>
      </c>
      <c r="J22">
        <v>45</v>
      </c>
      <c r="K22">
        <v>44</v>
      </c>
      <c r="L22">
        <v>45</v>
      </c>
      <c r="M22">
        <v>43</v>
      </c>
      <c r="P22">
        <v>90</v>
      </c>
      <c r="Q22">
        <v>102</v>
      </c>
      <c r="R22">
        <v>93</v>
      </c>
      <c r="S22">
        <v>102</v>
      </c>
      <c r="U22">
        <v>76</v>
      </c>
      <c r="V22">
        <v>67</v>
      </c>
      <c r="W22">
        <v>55</v>
      </c>
      <c r="X22">
        <v>66</v>
      </c>
      <c r="AA22">
        <v>27</v>
      </c>
      <c r="AB22">
        <v>31</v>
      </c>
      <c r="AC22">
        <v>28</v>
      </c>
      <c r="AD22">
        <v>30</v>
      </c>
    </row>
    <row r="23" spans="2:30">
      <c r="B23">
        <v>154</v>
      </c>
      <c r="C23">
        <v>113</v>
      </c>
      <c r="D23">
        <v>155</v>
      </c>
      <c r="E23">
        <v>140</v>
      </c>
      <c r="J23">
        <v>49</v>
      </c>
      <c r="K23">
        <v>50</v>
      </c>
      <c r="L23">
        <v>56</v>
      </c>
      <c r="M23">
        <v>46</v>
      </c>
      <c r="P23">
        <v>90</v>
      </c>
      <c r="Q23">
        <v>103</v>
      </c>
      <c r="R23">
        <v>99</v>
      </c>
      <c r="S23">
        <v>100</v>
      </c>
      <c r="U23">
        <v>81</v>
      </c>
      <c r="V23">
        <v>76</v>
      </c>
      <c r="W23">
        <v>87</v>
      </c>
      <c r="X23">
        <v>78</v>
      </c>
      <c r="AA23">
        <v>28</v>
      </c>
      <c r="AB23">
        <v>31</v>
      </c>
      <c r="AC23">
        <v>28</v>
      </c>
      <c r="AD23">
        <v>33</v>
      </c>
    </row>
    <row r="24" spans="2:30">
      <c r="B24">
        <v>154</v>
      </c>
      <c r="C24">
        <v>114</v>
      </c>
      <c r="D24">
        <v>145</v>
      </c>
      <c r="E24">
        <v>137</v>
      </c>
      <c r="J24">
        <v>54</v>
      </c>
      <c r="K24">
        <v>50</v>
      </c>
      <c r="L24">
        <v>54</v>
      </c>
      <c r="M24">
        <v>49</v>
      </c>
      <c r="P24">
        <v>97</v>
      </c>
      <c r="Q24">
        <v>103</v>
      </c>
      <c r="R24">
        <v>102</v>
      </c>
      <c r="S24">
        <v>100</v>
      </c>
      <c r="U24">
        <v>81</v>
      </c>
      <c r="V24">
        <v>79</v>
      </c>
      <c r="W24">
        <v>86</v>
      </c>
      <c r="X24">
        <v>79</v>
      </c>
      <c r="AA24">
        <v>28</v>
      </c>
      <c r="AB24">
        <v>30</v>
      </c>
      <c r="AC24">
        <v>30</v>
      </c>
      <c r="AD24">
        <v>33</v>
      </c>
    </row>
    <row r="25" spans="2:30">
      <c r="B25">
        <v>150</v>
      </c>
      <c r="C25">
        <v>112</v>
      </c>
      <c r="D25">
        <v>149</v>
      </c>
      <c r="J25">
        <v>48</v>
      </c>
      <c r="K25">
        <v>52</v>
      </c>
      <c r="L25">
        <v>51</v>
      </c>
      <c r="M25">
        <v>46</v>
      </c>
      <c r="P25">
        <v>94</v>
      </c>
      <c r="Q25">
        <v>107</v>
      </c>
      <c r="R25">
        <v>110</v>
      </c>
      <c r="S25">
        <v>100</v>
      </c>
      <c r="U25">
        <v>78</v>
      </c>
      <c r="V25">
        <v>76</v>
      </c>
      <c r="W25">
        <v>82</v>
      </c>
      <c r="X25">
        <v>75</v>
      </c>
      <c r="AA25">
        <v>30</v>
      </c>
      <c r="AB25">
        <v>33</v>
      </c>
      <c r="AC25">
        <v>30</v>
      </c>
      <c r="AD25">
        <v>30</v>
      </c>
    </row>
    <row r="27" spans="2:30">
      <c r="G27">
        <v>119.72629999999999</v>
      </c>
    </row>
    <row r="28" spans="2:30">
      <c r="G28">
        <f>12500*G27</f>
        <v>1496578.75</v>
      </c>
    </row>
    <row r="31" spans="2:30">
      <c r="B31">
        <v>89</v>
      </c>
      <c r="C31">
        <v>90</v>
      </c>
      <c r="D31">
        <v>78</v>
      </c>
      <c r="E31">
        <v>89</v>
      </c>
      <c r="H31">
        <v>60</v>
      </c>
      <c r="I31">
        <v>49</v>
      </c>
      <c r="J31">
        <v>59</v>
      </c>
      <c r="K31">
        <v>57</v>
      </c>
      <c r="M31">
        <v>88</v>
      </c>
      <c r="N31">
        <v>84</v>
      </c>
      <c r="O31">
        <v>94</v>
      </c>
      <c r="P31">
        <v>86</v>
      </c>
      <c r="S31">
        <v>78</v>
      </c>
      <c r="T31">
        <v>88</v>
      </c>
      <c r="U31">
        <v>66</v>
      </c>
    </row>
    <row r="32" spans="2:30">
      <c r="B32">
        <v>80</v>
      </c>
      <c r="C32">
        <v>88</v>
      </c>
      <c r="D32">
        <v>72</v>
      </c>
      <c r="E32">
        <v>85</v>
      </c>
      <c r="H32">
        <v>57</v>
      </c>
      <c r="I32">
        <v>52</v>
      </c>
      <c r="J32">
        <v>62</v>
      </c>
      <c r="K32">
        <v>60</v>
      </c>
      <c r="M32">
        <v>88</v>
      </c>
      <c r="N32">
        <v>84</v>
      </c>
      <c r="O32">
        <v>94</v>
      </c>
      <c r="P32">
        <v>86</v>
      </c>
      <c r="S32">
        <v>78</v>
      </c>
      <c r="T32">
        <v>88</v>
      </c>
      <c r="U32">
        <v>65</v>
      </c>
    </row>
    <row r="33" spans="2:21">
      <c r="B33">
        <v>76</v>
      </c>
      <c r="C33">
        <v>84</v>
      </c>
      <c r="D33">
        <v>68</v>
      </c>
      <c r="E33">
        <v>82</v>
      </c>
      <c r="H33">
        <v>55</v>
      </c>
      <c r="I33">
        <v>48</v>
      </c>
      <c r="J33">
        <v>64</v>
      </c>
      <c r="K33">
        <v>54</v>
      </c>
      <c r="M33">
        <v>88</v>
      </c>
      <c r="N33">
        <v>84</v>
      </c>
      <c r="O33">
        <v>88</v>
      </c>
      <c r="P33">
        <v>84</v>
      </c>
      <c r="S33">
        <v>74</v>
      </c>
      <c r="T33">
        <v>88</v>
      </c>
      <c r="U33">
        <v>65</v>
      </c>
    </row>
    <row r="34" spans="2:21">
      <c r="B34">
        <v>71</v>
      </c>
      <c r="C34">
        <v>80</v>
      </c>
      <c r="D34">
        <v>65</v>
      </c>
      <c r="E34">
        <v>78</v>
      </c>
      <c r="H34">
        <v>52</v>
      </c>
      <c r="I34">
        <v>45</v>
      </c>
      <c r="J34">
        <v>60</v>
      </c>
      <c r="K34">
        <v>50</v>
      </c>
      <c r="M34">
        <v>88</v>
      </c>
      <c r="N34">
        <v>84</v>
      </c>
      <c r="O34">
        <v>88</v>
      </c>
      <c r="P34">
        <v>84</v>
      </c>
      <c r="S34">
        <v>72</v>
      </c>
      <c r="T34">
        <v>88</v>
      </c>
      <c r="U34">
        <v>64</v>
      </c>
    </row>
    <row r="35" spans="2:21">
      <c r="B35">
        <v>66</v>
      </c>
      <c r="C35">
        <v>71</v>
      </c>
      <c r="D35">
        <v>62</v>
      </c>
      <c r="E35">
        <v>75</v>
      </c>
      <c r="H35">
        <v>49</v>
      </c>
      <c r="I35">
        <v>42</v>
      </c>
      <c r="J35">
        <v>56</v>
      </c>
      <c r="K35">
        <v>46</v>
      </c>
      <c r="M35">
        <v>87</v>
      </c>
      <c r="N35">
        <v>82</v>
      </c>
      <c r="O35">
        <v>90</v>
      </c>
      <c r="P35">
        <v>82</v>
      </c>
      <c r="S35">
        <v>70</v>
      </c>
      <c r="T35">
        <v>86</v>
      </c>
      <c r="U35">
        <v>63</v>
      </c>
    </row>
    <row r="36" spans="2:21">
      <c r="B36">
        <v>61</v>
      </c>
      <c r="C36">
        <v>68</v>
      </c>
      <c r="D36">
        <v>59</v>
      </c>
      <c r="E36">
        <v>72</v>
      </c>
      <c r="H36">
        <v>45</v>
      </c>
      <c r="I36">
        <v>39</v>
      </c>
      <c r="J36">
        <v>50</v>
      </c>
      <c r="K36">
        <v>42</v>
      </c>
      <c r="M36">
        <v>86</v>
      </c>
      <c r="N36">
        <v>80</v>
      </c>
      <c r="O36">
        <v>88</v>
      </c>
      <c r="P36">
        <v>82</v>
      </c>
      <c r="S36">
        <v>72</v>
      </c>
      <c r="T36">
        <v>94</v>
      </c>
      <c r="U36">
        <v>63</v>
      </c>
    </row>
    <row r="37" spans="2:21">
      <c r="B37">
        <v>61</v>
      </c>
      <c r="C37">
        <v>70</v>
      </c>
      <c r="D37">
        <v>64</v>
      </c>
      <c r="E37">
        <v>68</v>
      </c>
      <c r="H37">
        <v>41</v>
      </c>
      <c r="I37">
        <v>36</v>
      </c>
      <c r="J37">
        <v>47</v>
      </c>
      <c r="K37">
        <v>39</v>
      </c>
      <c r="M37">
        <v>85</v>
      </c>
      <c r="N37">
        <v>76</v>
      </c>
      <c r="O37">
        <v>89</v>
      </c>
      <c r="P37">
        <v>80</v>
      </c>
      <c r="S37">
        <v>72</v>
      </c>
      <c r="T37">
        <v>82</v>
      </c>
      <c r="U37">
        <v>62</v>
      </c>
    </row>
    <row r="38" spans="2:21">
      <c r="B38">
        <v>71</v>
      </c>
      <c r="C38">
        <v>82</v>
      </c>
      <c r="D38">
        <v>75</v>
      </c>
      <c r="E38">
        <v>79</v>
      </c>
      <c r="H38">
        <v>38</v>
      </c>
      <c r="I38">
        <v>33</v>
      </c>
      <c r="J38">
        <v>43</v>
      </c>
      <c r="K38">
        <v>36</v>
      </c>
      <c r="M38">
        <v>84</v>
      </c>
      <c r="N38">
        <v>72</v>
      </c>
      <c r="O38">
        <v>98</v>
      </c>
      <c r="P38">
        <v>80</v>
      </c>
      <c r="S38">
        <v>75</v>
      </c>
      <c r="T38">
        <v>80</v>
      </c>
      <c r="U38">
        <v>61</v>
      </c>
    </row>
    <row r="39" spans="2:21">
      <c r="B39">
        <v>62</v>
      </c>
      <c r="C39">
        <v>83</v>
      </c>
      <c r="D39">
        <v>73</v>
      </c>
      <c r="E39">
        <v>73</v>
      </c>
      <c r="H39">
        <v>38</v>
      </c>
      <c r="I39">
        <v>32</v>
      </c>
      <c r="J39">
        <v>40</v>
      </c>
      <c r="K39">
        <v>35</v>
      </c>
      <c r="M39">
        <v>83</v>
      </c>
      <c r="N39">
        <v>76</v>
      </c>
      <c r="O39">
        <v>97</v>
      </c>
      <c r="P39">
        <v>78</v>
      </c>
      <c r="S39">
        <v>74</v>
      </c>
      <c r="T39">
        <v>76</v>
      </c>
      <c r="U39">
        <v>60</v>
      </c>
    </row>
    <row r="40" spans="2:21">
      <c r="B40">
        <v>62</v>
      </c>
      <c r="C40">
        <v>83</v>
      </c>
      <c r="D40">
        <v>74</v>
      </c>
      <c r="E40">
        <v>74</v>
      </c>
      <c r="H40">
        <v>29</v>
      </c>
      <c r="I40">
        <v>29</v>
      </c>
      <c r="J40">
        <v>35</v>
      </c>
      <c r="K40">
        <v>40</v>
      </c>
      <c r="M40">
        <v>82</v>
      </c>
      <c r="N40">
        <v>83</v>
      </c>
      <c r="O40">
        <v>96</v>
      </c>
      <c r="P40">
        <v>80</v>
      </c>
      <c r="S40">
        <v>73</v>
      </c>
      <c r="T40">
        <v>78</v>
      </c>
      <c r="U40">
        <v>59</v>
      </c>
    </row>
    <row r="41" spans="2:21">
      <c r="B41">
        <v>66</v>
      </c>
      <c r="C41">
        <v>84</v>
      </c>
      <c r="D41">
        <v>73</v>
      </c>
      <c r="E41">
        <v>75</v>
      </c>
      <c r="H41">
        <v>34</v>
      </c>
      <c r="I41">
        <v>28</v>
      </c>
      <c r="J41">
        <v>35</v>
      </c>
      <c r="K41">
        <v>46</v>
      </c>
      <c r="M41">
        <v>84</v>
      </c>
      <c r="N41">
        <v>86</v>
      </c>
      <c r="O41">
        <v>94</v>
      </c>
      <c r="P41">
        <v>80</v>
      </c>
      <c r="S41">
        <v>75</v>
      </c>
      <c r="T41">
        <v>78</v>
      </c>
      <c r="U41">
        <v>66</v>
      </c>
    </row>
    <row r="42" spans="2:21">
      <c r="B42">
        <v>67</v>
      </c>
      <c r="C42">
        <v>85</v>
      </c>
      <c r="D42">
        <v>70</v>
      </c>
      <c r="E42">
        <v>82</v>
      </c>
      <c r="H42">
        <v>34</v>
      </c>
      <c r="I42">
        <v>29</v>
      </c>
      <c r="J42">
        <v>36</v>
      </c>
      <c r="K42">
        <v>50</v>
      </c>
      <c r="M42">
        <v>90</v>
      </c>
      <c r="N42">
        <v>90</v>
      </c>
      <c r="O42">
        <v>100</v>
      </c>
      <c r="P42">
        <v>90</v>
      </c>
      <c r="S42">
        <v>75</v>
      </c>
      <c r="T42">
        <v>70</v>
      </c>
      <c r="U42">
        <v>68</v>
      </c>
    </row>
    <row r="43" spans="2:21">
      <c r="B43">
        <v>71</v>
      </c>
      <c r="C43">
        <v>84</v>
      </c>
      <c r="D43">
        <v>69</v>
      </c>
      <c r="E43">
        <v>84</v>
      </c>
      <c r="H43">
        <v>40</v>
      </c>
      <c r="I43">
        <v>34</v>
      </c>
      <c r="J43">
        <v>39</v>
      </c>
      <c r="K43">
        <v>52</v>
      </c>
      <c r="M43">
        <v>90</v>
      </c>
      <c r="N43">
        <v>98</v>
      </c>
      <c r="O43">
        <v>108</v>
      </c>
      <c r="P43">
        <v>100</v>
      </c>
      <c r="S43">
        <v>80</v>
      </c>
      <c r="T43">
        <v>68</v>
      </c>
      <c r="U43">
        <v>74</v>
      </c>
    </row>
    <row r="44" spans="2:21">
      <c r="B44">
        <v>80</v>
      </c>
      <c r="C44">
        <v>98</v>
      </c>
      <c r="D44">
        <v>72</v>
      </c>
      <c r="E44">
        <v>88</v>
      </c>
      <c r="H44">
        <v>46</v>
      </c>
      <c r="I44">
        <v>38</v>
      </c>
      <c r="J44">
        <v>42</v>
      </c>
      <c r="K44">
        <v>48</v>
      </c>
      <c r="M44">
        <v>90</v>
      </c>
      <c r="N44">
        <v>98</v>
      </c>
      <c r="O44">
        <v>116</v>
      </c>
      <c r="P44">
        <v>101</v>
      </c>
      <c r="S44">
        <v>95</v>
      </c>
      <c r="T44">
        <v>72</v>
      </c>
      <c r="U44">
        <v>63</v>
      </c>
    </row>
    <row r="45" spans="2:21">
      <c r="B45">
        <v>83</v>
      </c>
      <c r="C45">
        <v>96</v>
      </c>
      <c r="D45">
        <v>83</v>
      </c>
      <c r="E45">
        <v>99</v>
      </c>
      <c r="H45">
        <v>50</v>
      </c>
      <c r="I45">
        <v>37</v>
      </c>
      <c r="J45">
        <v>48</v>
      </c>
      <c r="K45">
        <v>44</v>
      </c>
      <c r="M45">
        <v>88</v>
      </c>
      <c r="N45">
        <v>100</v>
      </c>
      <c r="O45">
        <v>120</v>
      </c>
      <c r="P45">
        <v>101</v>
      </c>
      <c r="S45">
        <v>90</v>
      </c>
      <c r="T45">
        <v>79</v>
      </c>
      <c r="U45">
        <v>63</v>
      </c>
    </row>
    <row r="46" spans="2:21">
      <c r="B46">
        <v>80</v>
      </c>
      <c r="C46">
        <v>91</v>
      </c>
      <c r="D46">
        <v>85</v>
      </c>
      <c r="E46">
        <v>97</v>
      </c>
      <c r="H46">
        <v>51</v>
      </c>
      <c r="I46">
        <v>39</v>
      </c>
      <c r="J46">
        <v>50</v>
      </c>
      <c r="K46">
        <v>40</v>
      </c>
      <c r="M46">
        <v>96</v>
      </c>
      <c r="N46">
        <v>100</v>
      </c>
      <c r="O46">
        <v>111</v>
      </c>
      <c r="P46">
        <v>102</v>
      </c>
      <c r="S46">
        <v>90</v>
      </c>
      <c r="T46">
        <v>70</v>
      </c>
      <c r="U46">
        <v>57</v>
      </c>
    </row>
    <row r="47" spans="2:21">
      <c r="B47">
        <v>65</v>
      </c>
      <c r="C47">
        <v>92</v>
      </c>
      <c r="D47">
        <v>80</v>
      </c>
      <c r="E47">
        <v>88</v>
      </c>
      <c r="H47">
        <v>46</v>
      </c>
      <c r="I47">
        <v>40</v>
      </c>
      <c r="J47">
        <v>46</v>
      </c>
      <c r="K47">
        <v>41</v>
      </c>
      <c r="M47">
        <v>101</v>
      </c>
      <c r="N47">
        <v>99</v>
      </c>
      <c r="O47">
        <v>108</v>
      </c>
      <c r="P47">
        <v>90</v>
      </c>
      <c r="S47">
        <v>84</v>
      </c>
      <c r="T47">
        <v>72</v>
      </c>
      <c r="U47">
        <v>57</v>
      </c>
    </row>
    <row r="48" spans="2:21">
      <c r="B48">
        <v>74</v>
      </c>
      <c r="C48">
        <v>90</v>
      </c>
      <c r="D48">
        <v>94</v>
      </c>
      <c r="E48">
        <v>84</v>
      </c>
      <c r="H48">
        <v>46</v>
      </c>
      <c r="I48">
        <v>40</v>
      </c>
      <c r="J48">
        <v>45</v>
      </c>
      <c r="K48">
        <v>43</v>
      </c>
      <c r="M48">
        <v>101</v>
      </c>
      <c r="N48">
        <v>99</v>
      </c>
      <c r="O48">
        <v>110</v>
      </c>
      <c r="P48">
        <v>91</v>
      </c>
      <c r="S48">
        <v>87</v>
      </c>
      <c r="T48">
        <v>74</v>
      </c>
      <c r="U48">
        <v>59</v>
      </c>
    </row>
    <row r="49" spans="2:21">
      <c r="B49">
        <v>73</v>
      </c>
      <c r="C49">
        <v>99</v>
      </c>
      <c r="D49">
        <v>94</v>
      </c>
      <c r="E49">
        <v>90</v>
      </c>
      <c r="H49">
        <v>47</v>
      </c>
      <c r="I49">
        <v>37</v>
      </c>
      <c r="J49">
        <v>52</v>
      </c>
      <c r="K49">
        <v>52</v>
      </c>
      <c r="M49">
        <v>90</v>
      </c>
      <c r="N49">
        <v>96</v>
      </c>
      <c r="O49">
        <v>112</v>
      </c>
      <c r="P49">
        <v>93</v>
      </c>
      <c r="S49">
        <v>90</v>
      </c>
      <c r="T49">
        <v>76</v>
      </c>
      <c r="U49">
        <v>60</v>
      </c>
    </row>
    <row r="50" spans="2:21">
      <c r="B50">
        <v>76</v>
      </c>
      <c r="C50">
        <v>105</v>
      </c>
      <c r="D50">
        <v>90</v>
      </c>
      <c r="E50">
        <v>94</v>
      </c>
      <c r="H50">
        <v>50</v>
      </c>
      <c r="I50">
        <v>46</v>
      </c>
      <c r="J50">
        <v>56</v>
      </c>
      <c r="K50">
        <v>56</v>
      </c>
      <c r="M50">
        <v>86</v>
      </c>
      <c r="N50">
        <v>92</v>
      </c>
      <c r="O50">
        <v>116</v>
      </c>
      <c r="P50">
        <v>95</v>
      </c>
      <c r="S50">
        <v>93</v>
      </c>
      <c r="T50">
        <v>79</v>
      </c>
      <c r="U50">
        <v>65</v>
      </c>
    </row>
    <row r="51" spans="2:21">
      <c r="B51">
        <v>85</v>
      </c>
      <c r="C51">
        <v>108</v>
      </c>
      <c r="D51">
        <v>94</v>
      </c>
      <c r="E51">
        <v>100</v>
      </c>
      <c r="H51">
        <v>56</v>
      </c>
      <c r="I51">
        <v>54</v>
      </c>
      <c r="J51">
        <v>62</v>
      </c>
      <c r="K51">
        <v>59</v>
      </c>
      <c r="M51">
        <v>84</v>
      </c>
      <c r="N51">
        <v>96</v>
      </c>
      <c r="O51">
        <v>116</v>
      </c>
      <c r="P51">
        <v>97</v>
      </c>
      <c r="S51">
        <v>96</v>
      </c>
      <c r="T51">
        <v>85</v>
      </c>
      <c r="U51">
        <v>72</v>
      </c>
    </row>
    <row r="52" spans="2:21">
      <c r="B52">
        <v>90</v>
      </c>
      <c r="C52">
        <v>114</v>
      </c>
      <c r="D52">
        <v>96</v>
      </c>
      <c r="E52">
        <v>93</v>
      </c>
      <c r="H52">
        <v>64</v>
      </c>
      <c r="I52">
        <v>66</v>
      </c>
      <c r="J52">
        <v>65</v>
      </c>
      <c r="K52">
        <v>62</v>
      </c>
      <c r="M52">
        <v>81</v>
      </c>
      <c r="N52">
        <v>99</v>
      </c>
      <c r="O52">
        <v>112</v>
      </c>
      <c r="P52">
        <v>93</v>
      </c>
      <c r="S52">
        <v>100</v>
      </c>
      <c r="T52">
        <v>90</v>
      </c>
      <c r="U52">
        <v>70</v>
      </c>
    </row>
    <row r="53" spans="2:21">
      <c r="B53">
        <v>101</v>
      </c>
      <c r="C53">
        <v>114</v>
      </c>
      <c r="D53">
        <v>97</v>
      </c>
      <c r="E53">
        <v>107</v>
      </c>
      <c r="H53">
        <v>64</v>
      </c>
      <c r="I53">
        <v>73</v>
      </c>
      <c r="J53">
        <v>65</v>
      </c>
      <c r="N53">
        <v>99</v>
      </c>
      <c r="O53">
        <v>115</v>
      </c>
      <c r="P53">
        <v>90</v>
      </c>
      <c r="S53">
        <v>105</v>
      </c>
      <c r="T53">
        <v>80</v>
      </c>
      <c r="U53">
        <v>68</v>
      </c>
    </row>
    <row r="54" spans="2:21">
      <c r="B54">
        <v>100</v>
      </c>
      <c r="E54">
        <v>107</v>
      </c>
      <c r="G54">
        <f>82*12500</f>
        <v>1025000</v>
      </c>
      <c r="H54">
        <v>63</v>
      </c>
      <c r="I54">
        <v>54</v>
      </c>
      <c r="J54">
        <v>66</v>
      </c>
      <c r="N54">
        <v>99</v>
      </c>
      <c r="O54">
        <v>83</v>
      </c>
      <c r="P54">
        <v>88</v>
      </c>
      <c r="S54">
        <v>100</v>
      </c>
      <c r="T54">
        <v>85</v>
      </c>
      <c r="U54">
        <v>66</v>
      </c>
    </row>
    <row r="55" spans="2:21">
      <c r="L55">
        <v>47.34</v>
      </c>
      <c r="Q55">
        <v>92.25</v>
      </c>
      <c r="T55">
        <v>75.832999999999998</v>
      </c>
    </row>
    <row r="56" spans="2:21">
      <c r="L56">
        <f>L55*12500</f>
        <v>591750</v>
      </c>
      <c r="Q56">
        <f>Q55*12500</f>
        <v>1153125</v>
      </c>
      <c r="T56">
        <f>T55*12500</f>
        <v>947912.5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5"/>
  <sheetViews>
    <sheetView topLeftCell="A283" zoomScaleNormal="100" workbookViewId="0">
      <selection activeCell="B295" sqref="B295"/>
    </sheetView>
  </sheetViews>
  <sheetFormatPr defaultRowHeight="15"/>
  <cols>
    <col min="1" max="1" width="5.7109375" customWidth="1"/>
    <col min="2" max="3" width="14.7109375" customWidth="1"/>
    <col min="4" max="4" width="25.42578125" customWidth="1"/>
    <col min="5" max="5" width="13.5703125" customWidth="1"/>
    <col min="6" max="6" width="19.85546875" customWidth="1"/>
    <col min="7" max="8" width="12.42578125" customWidth="1"/>
    <col min="9" max="9" width="16" customWidth="1"/>
    <col min="10" max="10" width="18.42578125" customWidth="1"/>
    <col min="11" max="11" width="19.42578125" customWidth="1"/>
    <col min="12" max="1025" width="8.7109375" customWidth="1"/>
  </cols>
  <sheetData>
    <row r="1" spans="1:11" ht="23.25" customHeight="1">
      <c r="A1" s="1355" t="s">
        <v>2131</v>
      </c>
      <c r="B1" s="1355"/>
      <c r="C1" s="1355"/>
      <c r="D1" s="1355"/>
      <c r="E1" s="1355"/>
      <c r="F1" s="1355"/>
      <c r="G1" s="1355"/>
      <c r="H1" s="1355"/>
      <c r="I1" s="1355"/>
      <c r="J1" s="1355"/>
      <c r="K1" s="1355"/>
    </row>
    <row r="2" spans="1:11" ht="18.75" customHeight="1">
      <c r="A2" s="1356" t="s">
        <v>2132</v>
      </c>
      <c r="B2" s="1356"/>
      <c r="C2" s="1356"/>
      <c r="D2" s="1356"/>
      <c r="E2" s="1356"/>
      <c r="F2" s="1356"/>
      <c r="G2" s="1356"/>
      <c r="H2" s="1356"/>
      <c r="I2" s="1356"/>
      <c r="J2" s="849" t="s">
        <v>3121</v>
      </c>
      <c r="K2" s="850"/>
    </row>
    <row r="3" spans="1:11" ht="45">
      <c r="A3" s="851" t="s">
        <v>345</v>
      </c>
      <c r="B3" s="852" t="s">
        <v>2133</v>
      </c>
      <c r="C3" s="852"/>
      <c r="D3" s="853" t="s">
        <v>2134</v>
      </c>
      <c r="E3" s="854"/>
      <c r="F3" s="851" t="s">
        <v>2135</v>
      </c>
      <c r="G3" s="489" t="s">
        <v>2136</v>
      </c>
      <c r="H3" s="851" t="s">
        <v>2137</v>
      </c>
      <c r="I3" s="851" t="s">
        <v>2138</v>
      </c>
      <c r="J3" s="855" t="s">
        <v>2139</v>
      </c>
      <c r="K3" s="851" t="s">
        <v>2140</v>
      </c>
    </row>
    <row r="4" spans="1:11" ht="21">
      <c r="A4" s="495"/>
      <c r="B4" s="495"/>
      <c r="C4" s="495"/>
      <c r="D4" s="856" t="s">
        <v>2141</v>
      </c>
      <c r="E4" s="854"/>
      <c r="F4" s="495"/>
      <c r="G4" s="494"/>
      <c r="H4" s="495"/>
      <c r="I4" s="495"/>
      <c r="J4" s="495"/>
      <c r="K4" s="857">
        <v>4.5398042858531898E-2</v>
      </c>
    </row>
    <row r="5" spans="1:11" ht="22.5" customHeight="1">
      <c r="A5" s="507">
        <v>1</v>
      </c>
      <c r="B5" s="1347" t="s">
        <v>921</v>
      </c>
      <c r="C5" s="507" t="s">
        <v>2142</v>
      </c>
      <c r="D5" s="511" t="s">
        <v>2143</v>
      </c>
      <c r="E5" s="859" t="s">
        <v>2144</v>
      </c>
      <c r="F5" s="507">
        <v>812092.62060000002</v>
      </c>
      <c r="G5" s="861">
        <v>0</v>
      </c>
      <c r="H5" s="507"/>
      <c r="I5" s="860">
        <v>812092.62060000002</v>
      </c>
      <c r="J5" s="860">
        <v>812092.62060000002</v>
      </c>
      <c r="K5" s="862">
        <v>848960.03619509598</v>
      </c>
    </row>
    <row r="6" spans="1:11">
      <c r="A6" s="507">
        <v>2</v>
      </c>
      <c r="B6" s="1347"/>
      <c r="C6" s="507" t="s">
        <v>2145</v>
      </c>
      <c r="D6" s="511" t="s">
        <v>2146</v>
      </c>
      <c r="E6" s="859"/>
      <c r="F6" s="507">
        <v>142199.999999983</v>
      </c>
      <c r="G6" s="494"/>
      <c r="H6" s="507"/>
      <c r="I6" s="507">
        <v>142199.999999983</v>
      </c>
      <c r="J6" s="860">
        <v>142199.999999983</v>
      </c>
      <c r="K6" s="862">
        <v>148655.601694465</v>
      </c>
    </row>
    <row r="7" spans="1:11">
      <c r="A7" s="507">
        <v>3</v>
      </c>
      <c r="B7" s="1347"/>
      <c r="C7" s="507" t="s">
        <v>2147</v>
      </c>
      <c r="D7" s="511" t="s">
        <v>1368</v>
      </c>
      <c r="E7" s="859"/>
      <c r="F7" s="507">
        <v>62199.999999999804</v>
      </c>
      <c r="G7" s="494"/>
      <c r="H7" s="507"/>
      <c r="I7" s="507">
        <v>62199.999999999804</v>
      </c>
      <c r="J7" s="860">
        <v>62199.999999999804</v>
      </c>
      <c r="K7" s="862">
        <v>65023.758265800498</v>
      </c>
    </row>
    <row r="8" spans="1:11">
      <c r="A8" s="507">
        <v>4</v>
      </c>
      <c r="B8" s="1347"/>
      <c r="C8" s="507" t="s">
        <v>2148</v>
      </c>
      <c r="D8" s="511" t="s">
        <v>1154</v>
      </c>
      <c r="E8" s="746"/>
      <c r="F8" s="507">
        <v>1123000</v>
      </c>
      <c r="G8" s="494"/>
      <c r="H8" s="507">
        <v>5648</v>
      </c>
      <c r="I8" s="507">
        <v>1117352</v>
      </c>
      <c r="J8" s="860">
        <v>1117267.28</v>
      </c>
      <c r="K8" s="862">
        <v>1167989.0278618799</v>
      </c>
    </row>
    <row r="9" spans="1:11">
      <c r="A9" s="507">
        <v>5</v>
      </c>
      <c r="B9" s="1347"/>
      <c r="C9" s="507" t="s">
        <v>2149</v>
      </c>
      <c r="D9" s="511" t="s">
        <v>1371</v>
      </c>
      <c r="E9" s="859" t="s">
        <v>2150</v>
      </c>
      <c r="F9" s="860">
        <v>15599.61</v>
      </c>
      <c r="G9" s="861"/>
      <c r="H9" s="864"/>
      <c r="I9" s="860">
        <v>15599.61</v>
      </c>
      <c r="J9" s="860">
        <v>15599.61</v>
      </c>
      <c r="K9" s="865">
        <v>16307.8017633564</v>
      </c>
    </row>
    <row r="10" spans="1:11" ht="15" customHeight="1">
      <c r="A10" s="507">
        <v>6</v>
      </c>
      <c r="B10" s="1357" t="s">
        <v>1291</v>
      </c>
      <c r="C10" s="507" t="s">
        <v>2151</v>
      </c>
      <c r="D10" s="511" t="s">
        <v>1137</v>
      </c>
      <c r="E10" s="866"/>
      <c r="F10" s="507">
        <v>590820.00000000198</v>
      </c>
      <c r="G10" s="532"/>
      <c r="H10" s="507">
        <v>48968</v>
      </c>
      <c r="I10" s="860">
        <v>541852.00000000198</v>
      </c>
      <c r="J10" s="860">
        <v>541117.48000000103</v>
      </c>
      <c r="K10" s="865">
        <v>565683.15454854199</v>
      </c>
    </row>
    <row r="11" spans="1:11">
      <c r="A11" s="507">
        <v>7</v>
      </c>
      <c r="B11" s="1357"/>
      <c r="C11" s="507" t="s">
        <v>2152</v>
      </c>
      <c r="D11" s="511" t="s">
        <v>1461</v>
      </c>
      <c r="E11" s="866"/>
      <c r="F11" s="507">
        <v>624780.00000000105</v>
      </c>
      <c r="G11" s="492"/>
      <c r="H11" s="184"/>
      <c r="I11" s="860">
        <v>624780.00000000105</v>
      </c>
      <c r="J11" s="860">
        <v>624780.00000000105</v>
      </c>
      <c r="K11" s="865">
        <v>653143.78921715403</v>
      </c>
    </row>
    <row r="12" spans="1:11">
      <c r="A12" s="507">
        <v>8</v>
      </c>
      <c r="B12" s="1357"/>
      <c r="C12" s="507" t="s">
        <v>2153</v>
      </c>
      <c r="D12" s="511" t="s">
        <v>1291</v>
      </c>
      <c r="E12" s="866"/>
      <c r="F12" s="507">
        <v>413400.00000000303</v>
      </c>
      <c r="G12" s="492"/>
      <c r="H12" s="184"/>
      <c r="I12" s="860">
        <v>413400.00000000303</v>
      </c>
      <c r="J12" s="860">
        <v>413400.00000000303</v>
      </c>
      <c r="K12" s="865">
        <v>432167.550917721</v>
      </c>
    </row>
    <row r="13" spans="1:11">
      <c r="A13" s="507">
        <v>9</v>
      </c>
      <c r="B13" s="1357"/>
      <c r="C13" s="507" t="s">
        <v>2154</v>
      </c>
      <c r="D13" s="511" t="s">
        <v>1464</v>
      </c>
      <c r="E13" s="866"/>
      <c r="F13" s="507">
        <v>609420.00000000396</v>
      </c>
      <c r="G13" s="492"/>
      <c r="H13" s="184">
        <v>18752</v>
      </c>
      <c r="I13" s="860">
        <v>590668.00000000396</v>
      </c>
      <c r="J13" s="860">
        <v>590386.72000000405</v>
      </c>
      <c r="K13" s="865">
        <v>617189.12161767203</v>
      </c>
    </row>
    <row r="14" spans="1:11">
      <c r="A14" s="507"/>
      <c r="B14" s="851"/>
      <c r="C14" s="507"/>
      <c r="D14" s="511" t="s">
        <v>1466</v>
      </c>
      <c r="E14" s="866"/>
      <c r="F14" s="507">
        <v>110360</v>
      </c>
      <c r="G14" s="492"/>
      <c r="H14" s="184"/>
      <c r="I14" s="860">
        <v>110360</v>
      </c>
      <c r="J14" s="860">
        <v>110360</v>
      </c>
      <c r="K14" s="865">
        <v>115370.128009868</v>
      </c>
    </row>
    <row r="15" spans="1:11">
      <c r="A15" s="507">
        <v>10</v>
      </c>
      <c r="B15" s="864" t="s">
        <v>1176</v>
      </c>
      <c r="C15" s="507" t="s">
        <v>2155</v>
      </c>
      <c r="D15" s="511" t="s">
        <v>2156</v>
      </c>
      <c r="E15" s="859" t="s">
        <v>2157</v>
      </c>
      <c r="F15" s="489">
        <v>918799.99999998801</v>
      </c>
      <c r="G15" s="494"/>
      <c r="H15" s="864"/>
      <c r="I15" s="507">
        <v>918799.99999998801</v>
      </c>
      <c r="J15" s="860">
        <v>918799.99999998801</v>
      </c>
      <c r="K15" s="865">
        <v>960511.72177840699</v>
      </c>
    </row>
    <row r="16" spans="1:11">
      <c r="A16" s="507"/>
      <c r="B16" s="864" t="s">
        <v>1296</v>
      </c>
      <c r="C16" s="507"/>
      <c r="D16" s="511" t="s">
        <v>1480</v>
      </c>
      <c r="E16" s="859"/>
      <c r="F16" s="491">
        <v>904620</v>
      </c>
      <c r="G16" s="494"/>
      <c r="H16" s="864"/>
      <c r="I16" s="860">
        <v>904620</v>
      </c>
      <c r="J16" s="860">
        <v>904620</v>
      </c>
      <c r="K16" s="865">
        <v>945687.97753068502</v>
      </c>
    </row>
    <row r="17" spans="1:11" ht="18.75">
      <c r="A17" s="867"/>
      <c r="B17" s="867"/>
      <c r="C17" s="867"/>
      <c r="D17" s="868" t="s">
        <v>2158</v>
      </c>
      <c r="E17" s="869"/>
      <c r="F17" s="870">
        <v>6327292.2305999799</v>
      </c>
      <c r="G17" s="871">
        <v>0</v>
      </c>
      <c r="H17" s="870">
        <v>73368</v>
      </c>
      <c r="I17" s="870">
        <v>6253924.2305999799</v>
      </c>
      <c r="J17" s="870">
        <v>6252823.7105999803</v>
      </c>
      <c r="K17" s="870">
        <v>6536689.6694006398</v>
      </c>
    </row>
    <row r="18" spans="1:11" ht="18.75">
      <c r="A18" s="507"/>
      <c r="B18" s="507"/>
      <c r="C18" s="507"/>
      <c r="D18" s="868" t="s">
        <v>2159</v>
      </c>
      <c r="E18" s="869"/>
      <c r="F18" s="507"/>
      <c r="G18" s="494"/>
      <c r="H18" s="507"/>
      <c r="I18" s="507"/>
      <c r="J18" s="507"/>
      <c r="K18" s="862"/>
    </row>
    <row r="19" spans="1:11" ht="15" customHeight="1">
      <c r="A19" s="507">
        <v>11</v>
      </c>
      <c r="B19" s="1347" t="s">
        <v>2160</v>
      </c>
      <c r="C19" s="507" t="s">
        <v>2161</v>
      </c>
      <c r="D19" s="511" t="s">
        <v>1171</v>
      </c>
      <c r="E19" s="859" t="s">
        <v>2157</v>
      </c>
      <c r="F19" s="861">
        <v>1329199.9999999499</v>
      </c>
      <c r="G19" s="930"/>
      <c r="H19" s="507">
        <v>10180</v>
      </c>
      <c r="I19" s="860">
        <v>1319019.9999999499</v>
      </c>
      <c r="J19" s="860">
        <v>1318867.29999995</v>
      </c>
      <c r="K19" s="865">
        <v>1378741.29421007</v>
      </c>
    </row>
    <row r="20" spans="1:11">
      <c r="A20" s="507">
        <v>12</v>
      </c>
      <c r="B20" s="1347"/>
      <c r="C20" s="507" t="s">
        <v>2162</v>
      </c>
      <c r="D20" s="511" t="s">
        <v>1504</v>
      </c>
      <c r="E20" s="859" t="s">
        <v>2163</v>
      </c>
      <c r="F20" s="861">
        <v>596399.99999999395</v>
      </c>
      <c r="G20" s="492"/>
      <c r="H20" s="507"/>
      <c r="I20" s="860">
        <v>596399.99999999395</v>
      </c>
      <c r="J20" s="860">
        <v>596399.99999999395</v>
      </c>
      <c r="K20" s="865">
        <v>623475.39276082197</v>
      </c>
    </row>
    <row r="21" spans="1:11" ht="15" customHeight="1">
      <c r="A21" s="507">
        <v>13</v>
      </c>
      <c r="B21" s="1347" t="s">
        <v>1175</v>
      </c>
      <c r="C21" s="507" t="s">
        <v>2164</v>
      </c>
      <c r="D21" s="511" t="s">
        <v>2165</v>
      </c>
      <c r="E21" s="859"/>
      <c r="F21" s="507">
        <v>896840</v>
      </c>
      <c r="G21" s="494"/>
      <c r="H21" s="507">
        <v>0</v>
      </c>
      <c r="I21" s="507">
        <v>896840</v>
      </c>
      <c r="J21" s="860">
        <v>896840</v>
      </c>
      <c r="K21" s="862">
        <v>937554.78075724596</v>
      </c>
    </row>
    <row r="22" spans="1:11">
      <c r="A22" s="507">
        <v>14</v>
      </c>
      <c r="B22" s="1347"/>
      <c r="C22" s="507" t="s">
        <v>2166</v>
      </c>
      <c r="D22" s="511" t="s">
        <v>1394</v>
      </c>
      <c r="E22" s="859"/>
      <c r="F22" s="507">
        <v>287150</v>
      </c>
      <c r="G22" s="494"/>
      <c r="H22" s="507"/>
      <c r="I22" s="507">
        <v>287150</v>
      </c>
      <c r="J22" s="860">
        <v>287150</v>
      </c>
      <c r="K22" s="862">
        <v>300186.048006828</v>
      </c>
    </row>
    <row r="23" spans="1:11">
      <c r="A23" s="507">
        <v>15</v>
      </c>
      <c r="B23" s="1347"/>
      <c r="C23" s="507" t="s">
        <v>2167</v>
      </c>
      <c r="D23" s="511" t="s">
        <v>1174</v>
      </c>
      <c r="E23" s="859"/>
      <c r="F23" s="507">
        <v>995950.00000000105</v>
      </c>
      <c r="G23" s="494"/>
      <c r="H23" s="530">
        <v>29349</v>
      </c>
      <c r="I23" s="507">
        <v>966601.00000000105</v>
      </c>
      <c r="J23" s="860">
        <v>966160.76500000095</v>
      </c>
      <c r="K23" s="862">
        <v>1010022.5728177</v>
      </c>
    </row>
    <row r="24" spans="1:11">
      <c r="A24" s="507"/>
      <c r="B24" s="864" t="s">
        <v>1296</v>
      </c>
      <c r="C24" s="507"/>
      <c r="D24" s="872" t="s">
        <v>1481</v>
      </c>
      <c r="E24" s="859"/>
      <c r="F24" s="860">
        <v>154460</v>
      </c>
      <c r="G24" s="494"/>
      <c r="H24" s="530"/>
      <c r="I24" s="507">
        <v>154460</v>
      </c>
      <c r="J24" s="860">
        <v>154460</v>
      </c>
      <c r="K24" s="862">
        <v>161472.181699929</v>
      </c>
    </row>
    <row r="25" spans="1:11" ht="18.75">
      <c r="A25" s="873"/>
      <c r="B25" s="873"/>
      <c r="C25" s="873"/>
      <c r="D25" s="868" t="s">
        <v>2168</v>
      </c>
      <c r="E25" s="869"/>
      <c r="F25" s="870">
        <v>4259999.9999999497</v>
      </c>
      <c r="G25" s="874">
        <v>0</v>
      </c>
      <c r="H25" s="870">
        <v>39529</v>
      </c>
      <c r="I25" s="870">
        <v>4220470.9999999497</v>
      </c>
      <c r="J25" s="870">
        <v>4219878.0649999501</v>
      </c>
      <c r="K25" s="870">
        <v>4411452.2702526003</v>
      </c>
    </row>
    <row r="26" spans="1:11" ht="18.75">
      <c r="A26" s="507"/>
      <c r="B26" s="507"/>
      <c r="C26" s="507"/>
      <c r="D26" s="868" t="s">
        <v>2169</v>
      </c>
      <c r="E26" s="869"/>
      <c r="F26" s="507"/>
      <c r="G26" s="494"/>
      <c r="H26" s="507"/>
      <c r="I26" s="507"/>
      <c r="J26" s="860"/>
      <c r="K26" s="862"/>
    </row>
    <row r="27" spans="1:11" ht="15" customHeight="1">
      <c r="A27" s="507">
        <v>16</v>
      </c>
      <c r="B27" s="1347" t="s">
        <v>973</v>
      </c>
      <c r="C27" s="507" t="s">
        <v>2170</v>
      </c>
      <c r="D27" s="511" t="s">
        <v>2171</v>
      </c>
      <c r="E27" s="875"/>
      <c r="F27" s="507">
        <v>961600.00000000605</v>
      </c>
      <c r="G27" s="494"/>
      <c r="H27" s="507"/>
      <c r="I27" s="507">
        <v>961600.00000000605</v>
      </c>
      <c r="J27" s="860">
        <v>961600.00000000605</v>
      </c>
      <c r="K27" s="862">
        <v>1005254.75801277</v>
      </c>
    </row>
    <row r="28" spans="1:11">
      <c r="A28" s="507">
        <v>17</v>
      </c>
      <c r="B28" s="1347"/>
      <c r="C28" s="507" t="s">
        <v>2172</v>
      </c>
      <c r="D28" s="511" t="s">
        <v>1167</v>
      </c>
      <c r="E28" s="866"/>
      <c r="F28" s="507">
        <v>517199.999999983</v>
      </c>
      <c r="G28" s="494"/>
      <c r="H28" s="530">
        <v>15664</v>
      </c>
      <c r="I28" s="507">
        <v>501535.999999983</v>
      </c>
      <c r="J28" s="860">
        <v>501301.03999998298</v>
      </c>
      <c r="K28" s="862">
        <v>524059.12609892798</v>
      </c>
    </row>
    <row r="29" spans="1:11" ht="15" customHeight="1">
      <c r="A29" s="507">
        <v>18</v>
      </c>
      <c r="B29" s="1347" t="s">
        <v>198</v>
      </c>
      <c r="C29" s="507" t="s">
        <v>2173</v>
      </c>
      <c r="D29" s="511" t="s">
        <v>1412</v>
      </c>
      <c r="E29" s="876"/>
      <c r="F29" s="507">
        <v>212799.99999999601</v>
      </c>
      <c r="G29" s="494"/>
      <c r="H29" s="507"/>
      <c r="I29" s="507">
        <v>212799.99999999601</v>
      </c>
      <c r="J29" s="860">
        <v>212799.99999999601</v>
      </c>
      <c r="K29" s="862">
        <v>222460.70352029099</v>
      </c>
    </row>
    <row r="30" spans="1:11">
      <c r="A30" s="507">
        <v>19</v>
      </c>
      <c r="B30" s="1347"/>
      <c r="C30" s="507" t="s">
        <v>2174</v>
      </c>
      <c r="D30" s="511" t="s">
        <v>1414</v>
      </c>
      <c r="E30" s="522"/>
      <c r="F30" s="507">
        <v>462960</v>
      </c>
      <c r="G30" s="494"/>
      <c r="H30" s="507"/>
      <c r="I30" s="507">
        <v>462960</v>
      </c>
      <c r="J30" s="860">
        <v>462960</v>
      </c>
      <c r="K30" s="862">
        <v>483977.47792178602</v>
      </c>
    </row>
    <row r="31" spans="1:11">
      <c r="A31" s="507">
        <v>20</v>
      </c>
      <c r="B31" s="1347"/>
      <c r="C31" s="507" t="s">
        <v>2175</v>
      </c>
      <c r="D31" s="511" t="s">
        <v>1169</v>
      </c>
      <c r="E31" s="522"/>
      <c r="F31" s="507">
        <v>1397799.99999999</v>
      </c>
      <c r="G31" s="494"/>
      <c r="H31" s="530">
        <v>7232</v>
      </c>
      <c r="I31" s="507">
        <v>1390567.99999999</v>
      </c>
      <c r="J31" s="860">
        <v>1390459.51999999</v>
      </c>
      <c r="K31" s="862">
        <v>1453583.6608820001</v>
      </c>
    </row>
    <row r="32" spans="1:11">
      <c r="A32" s="507">
        <v>21</v>
      </c>
      <c r="B32" s="877" t="s">
        <v>220</v>
      </c>
      <c r="C32" s="507" t="s">
        <v>2176</v>
      </c>
      <c r="D32" s="586" t="s">
        <v>1957</v>
      </c>
      <c r="E32" s="878" t="s">
        <v>2177</v>
      </c>
      <c r="F32" s="507"/>
      <c r="G32" s="494">
        <v>354936</v>
      </c>
      <c r="H32" s="507"/>
      <c r="I32" s="507">
        <v>354936</v>
      </c>
      <c r="J32" s="860">
        <v>354936</v>
      </c>
      <c r="K32" s="862">
        <v>371049.39974003599</v>
      </c>
    </row>
    <row r="33" spans="1:11">
      <c r="A33" s="507">
        <v>22</v>
      </c>
      <c r="B33" s="507" t="s">
        <v>2178</v>
      </c>
      <c r="C33" s="507" t="s">
        <v>2179</v>
      </c>
      <c r="D33" s="511" t="s">
        <v>1404</v>
      </c>
      <c r="E33" s="876"/>
      <c r="F33" s="507">
        <v>982399.99999999395</v>
      </c>
      <c r="G33" s="494"/>
      <c r="H33" s="507"/>
      <c r="I33" s="507">
        <v>982399.99999999395</v>
      </c>
      <c r="J33" s="860">
        <v>982399.99999999395</v>
      </c>
      <c r="K33" s="862">
        <v>1026999.03730422</v>
      </c>
    </row>
    <row r="34" spans="1:11" ht="18.75">
      <c r="A34" s="864"/>
      <c r="B34" s="864"/>
      <c r="C34" s="864"/>
      <c r="D34" s="868" t="s">
        <v>2180</v>
      </c>
      <c r="E34" s="869"/>
      <c r="F34" s="873">
        <v>4534759.9999999702</v>
      </c>
      <c r="G34" s="874">
        <v>354936</v>
      </c>
      <c r="H34" s="873">
        <v>22896</v>
      </c>
      <c r="I34" s="873">
        <v>4866799.9999999702</v>
      </c>
      <c r="J34" s="870">
        <v>4866456.5599999698</v>
      </c>
      <c r="K34" s="870">
        <v>5087384.1634800304</v>
      </c>
    </row>
    <row r="35" spans="1:11" ht="15.75">
      <c r="A35" s="507"/>
      <c r="B35" s="507"/>
      <c r="C35" s="507"/>
      <c r="D35" s="879" t="s">
        <v>2181</v>
      </c>
      <c r="E35" s="869"/>
      <c r="F35" s="507"/>
      <c r="G35" s="494"/>
      <c r="H35" s="507"/>
      <c r="I35" s="507"/>
      <c r="J35" s="860"/>
      <c r="K35" s="862"/>
    </row>
    <row r="36" spans="1:11" ht="15" customHeight="1">
      <c r="A36" s="507">
        <v>23</v>
      </c>
      <c r="B36" s="1347" t="s">
        <v>1159</v>
      </c>
      <c r="C36" s="507" t="s">
        <v>2182</v>
      </c>
      <c r="D36" s="766" t="s">
        <v>1162</v>
      </c>
      <c r="E36" s="880"/>
      <c r="F36" s="507">
        <v>371040.00000000099</v>
      </c>
      <c r="G36" s="494">
        <v>20000</v>
      </c>
      <c r="H36" s="530">
        <v>37179</v>
      </c>
      <c r="I36" s="507">
        <v>353861.00000000099</v>
      </c>
      <c r="J36" s="860">
        <v>353303.31500000099</v>
      </c>
      <c r="K36" s="862">
        <v>369342.59403643198</v>
      </c>
    </row>
    <row r="37" spans="1:11">
      <c r="A37" s="507">
        <v>24</v>
      </c>
      <c r="B37" s="1347"/>
      <c r="C37" s="507" t="s">
        <v>2183</v>
      </c>
      <c r="D37" s="766" t="s">
        <v>1165</v>
      </c>
      <c r="E37" s="875"/>
      <c r="F37" s="860">
        <v>1350800</v>
      </c>
      <c r="G37" s="494"/>
      <c r="H37" s="507">
        <v>43055</v>
      </c>
      <c r="I37" s="860">
        <v>1307745</v>
      </c>
      <c r="J37" s="860">
        <v>1307099.175</v>
      </c>
      <c r="K37" s="862">
        <v>1366438.919367</v>
      </c>
    </row>
    <row r="38" spans="1:11">
      <c r="A38" s="507">
        <v>25</v>
      </c>
      <c r="B38" s="1347"/>
      <c r="C38" s="507" t="s">
        <v>2184</v>
      </c>
      <c r="D38" s="766" t="s">
        <v>1158</v>
      </c>
      <c r="E38" s="875"/>
      <c r="F38" s="507">
        <v>749800.00000000303</v>
      </c>
      <c r="G38" s="494"/>
      <c r="H38" s="530">
        <v>127142</v>
      </c>
      <c r="I38" s="507">
        <v>622658.00000000303</v>
      </c>
      <c r="J38" s="860">
        <v>620750.87000000302</v>
      </c>
      <c r="K38" s="862">
        <v>648931.74460073397</v>
      </c>
    </row>
    <row r="39" spans="1:11" ht="15" customHeight="1">
      <c r="A39" s="507">
        <v>26</v>
      </c>
      <c r="B39" s="1347" t="s">
        <v>928</v>
      </c>
      <c r="C39" s="507" t="s">
        <v>2185</v>
      </c>
      <c r="D39" s="439" t="s">
        <v>1387</v>
      </c>
      <c r="E39" s="875"/>
      <c r="F39" s="507">
        <v>0</v>
      </c>
      <c r="G39" s="494">
        <v>98420</v>
      </c>
      <c r="H39" s="507">
        <v>24872</v>
      </c>
      <c r="I39" s="507">
        <v>73548</v>
      </c>
      <c r="J39" s="860">
        <v>73174.92</v>
      </c>
      <c r="K39" s="862">
        <v>76496.9181543296</v>
      </c>
    </row>
    <row r="40" spans="1:11">
      <c r="A40" s="507">
        <v>27</v>
      </c>
      <c r="B40" s="1347"/>
      <c r="C40" s="507" t="s">
        <v>2186</v>
      </c>
      <c r="D40" s="511" t="s">
        <v>1183</v>
      </c>
      <c r="E40" s="859"/>
      <c r="F40" s="507">
        <v>164399.999999994</v>
      </c>
      <c r="G40" s="489"/>
      <c r="H40" s="507"/>
      <c r="I40" s="507">
        <v>164399.999999994</v>
      </c>
      <c r="J40" s="860">
        <v>164399.999999994</v>
      </c>
      <c r="K40" s="862">
        <v>171863.438245937</v>
      </c>
    </row>
    <row r="41" spans="1:11">
      <c r="A41" s="507">
        <v>28</v>
      </c>
      <c r="B41" s="1347"/>
      <c r="C41" s="507" t="s">
        <v>2187</v>
      </c>
      <c r="D41" s="522" t="s">
        <v>2188</v>
      </c>
      <c r="E41" s="859"/>
      <c r="F41" s="507">
        <v>498000</v>
      </c>
      <c r="G41" s="494"/>
      <c r="H41" s="507">
        <v>320448</v>
      </c>
      <c r="I41" s="507">
        <v>177552</v>
      </c>
      <c r="J41" s="860">
        <v>172745.28</v>
      </c>
      <c r="K41" s="862">
        <v>180587.57762504899</v>
      </c>
    </row>
    <row r="42" spans="1:11" ht="15" customHeight="1">
      <c r="A42" s="507">
        <v>29</v>
      </c>
      <c r="B42" s="1347" t="s">
        <v>925</v>
      </c>
      <c r="C42" s="507" t="s">
        <v>2189</v>
      </c>
      <c r="D42" s="616" t="s">
        <v>2190</v>
      </c>
      <c r="E42" s="875"/>
      <c r="F42" s="860">
        <v>625999.984350004</v>
      </c>
      <c r="G42" s="494">
        <v>-120000</v>
      </c>
      <c r="H42" s="507">
        <v>47545</v>
      </c>
      <c r="I42" s="860">
        <v>458454.984350004</v>
      </c>
      <c r="J42" s="860">
        <v>457741.80935000401</v>
      </c>
      <c r="K42" s="862">
        <v>478522.39162901702</v>
      </c>
    </row>
    <row r="43" spans="1:11">
      <c r="A43" s="507">
        <v>30</v>
      </c>
      <c r="B43" s="1347"/>
      <c r="C43" s="507" t="s">
        <v>2191</v>
      </c>
      <c r="D43" s="616" t="s">
        <v>2192</v>
      </c>
      <c r="E43" s="859"/>
      <c r="F43" s="507">
        <v>815599.99999999499</v>
      </c>
      <c r="G43" s="494"/>
      <c r="H43" s="507"/>
      <c r="I43" s="507">
        <v>815599.99999999499</v>
      </c>
      <c r="J43" s="860">
        <v>815599.99999999499</v>
      </c>
      <c r="K43" s="862">
        <v>852626.64375541301</v>
      </c>
    </row>
    <row r="44" spans="1:11">
      <c r="A44" s="507">
        <v>31</v>
      </c>
      <c r="B44" s="1347"/>
      <c r="C44" s="507" t="s">
        <v>2193</v>
      </c>
      <c r="D44" s="616" t="s">
        <v>2194</v>
      </c>
      <c r="E44" s="880"/>
      <c r="F44" s="860">
        <v>103066.408999999</v>
      </c>
      <c r="G44" s="494"/>
      <c r="H44" s="507"/>
      <c r="I44" s="860">
        <v>103066.408999999</v>
      </c>
      <c r="J44" s="860">
        <v>103066.408999999</v>
      </c>
      <c r="K44" s="862">
        <v>107745.42225305599</v>
      </c>
    </row>
    <row r="45" spans="1:11">
      <c r="A45" s="507">
        <v>32</v>
      </c>
      <c r="B45" s="1347"/>
      <c r="C45" s="507" t="s">
        <v>2195</v>
      </c>
      <c r="D45" s="616" t="s">
        <v>1437</v>
      </c>
      <c r="E45" s="880"/>
      <c r="F45" s="860">
        <v>554400</v>
      </c>
      <c r="G45" s="494"/>
      <c r="H45" s="507">
        <v>26784</v>
      </c>
      <c r="I45" s="860">
        <v>527616</v>
      </c>
      <c r="J45" s="860">
        <v>527214.24</v>
      </c>
      <c r="K45" s="862">
        <v>551148.73466314794</v>
      </c>
    </row>
    <row r="46" spans="1:11" ht="15" customHeight="1">
      <c r="A46" s="507">
        <v>33</v>
      </c>
      <c r="B46" s="1347" t="s">
        <v>2196</v>
      </c>
      <c r="C46" s="507" t="s">
        <v>2197</v>
      </c>
      <c r="D46" s="766" t="s">
        <v>1447</v>
      </c>
      <c r="E46" s="881"/>
      <c r="F46" s="860">
        <v>427921.30170000001</v>
      </c>
      <c r="G46" s="489"/>
      <c r="H46" s="530"/>
      <c r="I46" s="860">
        <v>427921.30170000001</v>
      </c>
      <c r="J46" s="860">
        <v>427921.30170000001</v>
      </c>
      <c r="K46" s="862">
        <v>447348.09129465598</v>
      </c>
    </row>
    <row r="47" spans="1:11">
      <c r="A47" s="507">
        <v>34</v>
      </c>
      <c r="B47" s="1347"/>
      <c r="C47" s="507"/>
      <c r="D47" s="766" t="s">
        <v>2198</v>
      </c>
      <c r="E47" s="881"/>
      <c r="F47" s="860">
        <v>0</v>
      </c>
      <c r="G47" s="489"/>
      <c r="H47" s="530"/>
      <c r="I47" s="860">
        <v>0</v>
      </c>
      <c r="J47" s="860">
        <v>0</v>
      </c>
      <c r="K47" s="862">
        <v>0</v>
      </c>
    </row>
    <row r="48" spans="1:11" ht="15" customHeight="1">
      <c r="A48" s="507">
        <v>35</v>
      </c>
      <c r="B48" s="1354" t="s">
        <v>2199</v>
      </c>
      <c r="C48" s="507" t="s">
        <v>2200</v>
      </c>
      <c r="D48" s="511" t="s">
        <v>1451</v>
      </c>
      <c r="E48" s="876"/>
      <c r="F48" s="507">
        <v>55150</v>
      </c>
      <c r="G48" s="492">
        <v>-20000</v>
      </c>
      <c r="H48" s="202"/>
      <c r="I48" s="507">
        <v>35150</v>
      </c>
      <c r="J48" s="860">
        <v>35150</v>
      </c>
      <c r="K48" s="862">
        <v>36745.741206477403</v>
      </c>
    </row>
    <row r="49" spans="1:11">
      <c r="A49" s="507">
        <v>36</v>
      </c>
      <c r="B49" s="1354"/>
      <c r="C49" s="507" t="s">
        <v>2201</v>
      </c>
      <c r="D49" s="511" t="s">
        <v>1452</v>
      </c>
      <c r="E49" s="876"/>
      <c r="F49" s="507">
        <v>0</v>
      </c>
      <c r="G49" s="492"/>
      <c r="H49" s="202"/>
      <c r="I49" s="507">
        <v>0</v>
      </c>
      <c r="J49" s="860">
        <v>0</v>
      </c>
      <c r="K49" s="862">
        <v>0</v>
      </c>
    </row>
    <row r="50" spans="1:11" ht="15" customHeight="1">
      <c r="A50" s="507">
        <v>37</v>
      </c>
      <c r="B50" s="1354" t="s">
        <v>1292</v>
      </c>
      <c r="C50" s="507" t="s">
        <v>2202</v>
      </c>
      <c r="D50" s="511" t="s">
        <v>2203</v>
      </c>
      <c r="E50" s="876"/>
      <c r="F50" s="507">
        <v>35796.000000000298</v>
      </c>
      <c r="G50" s="492"/>
      <c r="H50" s="202"/>
      <c r="I50" s="507">
        <v>35796.000000000298</v>
      </c>
      <c r="J50" s="860">
        <v>35796.000000000298</v>
      </c>
      <c r="K50" s="862">
        <v>37421.068342164399</v>
      </c>
    </row>
    <row r="51" spans="1:11">
      <c r="A51" s="507">
        <v>38</v>
      </c>
      <c r="B51" s="1354"/>
      <c r="C51" s="507" t="s">
        <v>2204</v>
      </c>
      <c r="D51" s="511" t="s">
        <v>2205</v>
      </c>
      <c r="E51" s="876"/>
      <c r="F51" s="507">
        <v>0</v>
      </c>
      <c r="G51" s="492"/>
      <c r="H51" s="202"/>
      <c r="I51" s="507">
        <v>0</v>
      </c>
      <c r="J51" s="860">
        <v>0</v>
      </c>
      <c r="K51" s="862">
        <v>0</v>
      </c>
    </row>
    <row r="52" spans="1:11" ht="15" customHeight="1">
      <c r="A52" s="507">
        <v>39</v>
      </c>
      <c r="B52" s="1354" t="s">
        <v>1295</v>
      </c>
      <c r="C52" s="507"/>
      <c r="D52" s="238" t="s">
        <v>1476</v>
      </c>
      <c r="E52" s="876"/>
      <c r="F52" s="507">
        <v>10800</v>
      </c>
      <c r="G52" s="492"/>
      <c r="H52" s="202"/>
      <c r="I52" s="507">
        <v>10800</v>
      </c>
      <c r="J52" s="860">
        <v>10800</v>
      </c>
      <c r="K52" s="862">
        <v>11290.2988628721</v>
      </c>
    </row>
    <row r="53" spans="1:11">
      <c r="A53" s="507">
        <v>40</v>
      </c>
      <c r="B53" s="1354"/>
      <c r="C53" s="507"/>
      <c r="D53" s="238" t="s">
        <v>1474</v>
      </c>
      <c r="E53" s="876"/>
      <c r="F53" s="507">
        <v>780</v>
      </c>
      <c r="G53" s="492"/>
      <c r="H53" s="202"/>
      <c r="I53" s="507">
        <v>780</v>
      </c>
      <c r="J53" s="860">
        <v>780</v>
      </c>
      <c r="K53" s="862">
        <v>815.41047342965499</v>
      </c>
    </row>
    <row r="54" spans="1:11" ht="18.75">
      <c r="A54" s="864"/>
      <c r="B54" s="864"/>
      <c r="C54" s="864"/>
      <c r="D54" s="879" t="s">
        <v>2206</v>
      </c>
      <c r="E54" s="869"/>
      <c r="F54" s="870">
        <v>5763553.6950500002</v>
      </c>
      <c r="G54" s="874">
        <v>-21580</v>
      </c>
      <c r="H54" s="870">
        <v>627025</v>
      </c>
      <c r="I54" s="870">
        <v>5114948.6950500002</v>
      </c>
      <c r="J54" s="870">
        <v>5105543.3200500002</v>
      </c>
      <c r="K54" s="870">
        <v>5337324.9945097202</v>
      </c>
    </row>
    <row r="55" spans="1:11" ht="18.75">
      <c r="A55" s="507"/>
      <c r="B55" s="507"/>
      <c r="C55" s="507"/>
      <c r="D55" s="868" t="s">
        <v>2207</v>
      </c>
      <c r="E55" s="869"/>
      <c r="F55" s="507"/>
      <c r="G55" s="494"/>
      <c r="H55" s="507"/>
      <c r="I55" s="507"/>
      <c r="J55" s="860"/>
      <c r="K55" s="862"/>
    </row>
    <row r="56" spans="1:11" ht="15" customHeight="1">
      <c r="A56" s="507">
        <v>38</v>
      </c>
      <c r="B56" s="1347" t="s">
        <v>202</v>
      </c>
      <c r="C56" s="507" t="s">
        <v>2208</v>
      </c>
      <c r="D56" s="511" t="s">
        <v>2209</v>
      </c>
      <c r="E56" s="859"/>
      <c r="F56" s="860">
        <v>842000.00000000303</v>
      </c>
      <c r="G56" s="494"/>
      <c r="H56" s="507"/>
      <c r="I56" s="507">
        <v>842000.00000000303</v>
      </c>
      <c r="J56" s="860">
        <v>842000.00000000303</v>
      </c>
      <c r="K56" s="862">
        <v>880225.15208688704</v>
      </c>
    </row>
    <row r="57" spans="1:11">
      <c r="A57" s="507">
        <v>39</v>
      </c>
      <c r="B57" s="1347"/>
      <c r="C57" s="507" t="s">
        <v>2210</v>
      </c>
      <c r="D57" s="522" t="s">
        <v>2211</v>
      </c>
      <c r="E57" s="859"/>
      <c r="F57" s="860">
        <v>946799.99999999604</v>
      </c>
      <c r="G57" s="494"/>
      <c r="H57" s="507"/>
      <c r="I57" s="507">
        <v>946799.99999999604</v>
      </c>
      <c r="J57" s="860">
        <v>946799.99999999604</v>
      </c>
      <c r="K57" s="862">
        <v>989782.86697845301</v>
      </c>
    </row>
    <row r="58" spans="1:11">
      <c r="A58" s="507">
        <v>40</v>
      </c>
      <c r="B58" s="1347"/>
      <c r="C58" s="507" t="s">
        <v>2212</v>
      </c>
      <c r="D58" s="511" t="s">
        <v>2213</v>
      </c>
      <c r="E58" s="875"/>
      <c r="F58" s="860">
        <v>582000</v>
      </c>
      <c r="G58" s="494"/>
      <c r="H58" s="507"/>
      <c r="I58" s="507">
        <v>582000</v>
      </c>
      <c r="J58" s="860">
        <v>582000</v>
      </c>
      <c r="K58" s="862">
        <v>608421.66094366601</v>
      </c>
    </row>
    <row r="59" spans="1:11">
      <c r="A59" s="507">
        <v>41</v>
      </c>
      <c r="B59" s="1347"/>
      <c r="C59" s="507" t="s">
        <v>2214</v>
      </c>
      <c r="D59" s="511" t="s">
        <v>2215</v>
      </c>
      <c r="E59" s="880"/>
      <c r="F59" s="860">
        <v>704040</v>
      </c>
      <c r="G59" s="860"/>
      <c r="H59" s="860"/>
      <c r="I59" s="507">
        <v>704040</v>
      </c>
      <c r="J59" s="860">
        <v>704040</v>
      </c>
      <c r="K59" s="862">
        <v>736002.03809412103</v>
      </c>
    </row>
    <row r="60" spans="1:11">
      <c r="A60" s="507">
        <v>42</v>
      </c>
      <c r="B60" s="507" t="s">
        <v>2216</v>
      </c>
      <c r="C60" s="507" t="s">
        <v>2217</v>
      </c>
      <c r="D60" s="511" t="s">
        <v>1402</v>
      </c>
      <c r="E60" s="881"/>
      <c r="F60" s="860">
        <v>834264.58099999605</v>
      </c>
      <c r="G60" s="494"/>
      <c r="H60" s="507"/>
      <c r="I60" s="860">
        <v>834264.58099999605</v>
      </c>
      <c r="J60" s="860">
        <v>834264.58099999605</v>
      </c>
      <c r="K60" s="862">
        <v>872138.56020358903</v>
      </c>
    </row>
    <row r="61" spans="1:11">
      <c r="A61" s="507"/>
      <c r="B61" s="503" t="s">
        <v>202</v>
      </c>
      <c r="C61" s="884" t="s">
        <v>2218</v>
      </c>
      <c r="D61" s="586" t="s">
        <v>1423</v>
      </c>
      <c r="E61" s="885"/>
      <c r="F61" s="860">
        <v>615360</v>
      </c>
      <c r="G61" s="494"/>
      <c r="H61" s="507"/>
      <c r="I61" s="860">
        <v>615360</v>
      </c>
      <c r="J61" s="860">
        <v>615360</v>
      </c>
      <c r="K61" s="862">
        <v>643296.13965342601</v>
      </c>
    </row>
    <row r="62" spans="1:11" ht="15.75">
      <c r="A62" s="864"/>
      <c r="B62" s="864"/>
      <c r="C62" s="864"/>
      <c r="D62" s="879" t="s">
        <v>2219</v>
      </c>
      <c r="E62" s="869"/>
      <c r="F62" s="886">
        <v>4524464.58099999</v>
      </c>
      <c r="G62" s="887">
        <v>0</v>
      </c>
      <c r="H62" s="886">
        <v>0</v>
      </c>
      <c r="I62" s="886">
        <v>4524464.58099999</v>
      </c>
      <c r="J62" s="886">
        <v>4524464.58099999</v>
      </c>
      <c r="K62" s="886">
        <v>4729866.4179601399</v>
      </c>
    </row>
    <row r="63" spans="1:11" ht="18.75">
      <c r="A63" s="864"/>
      <c r="B63" s="864"/>
      <c r="C63" s="864"/>
      <c r="D63" s="879" t="s">
        <v>2220</v>
      </c>
      <c r="E63" s="869"/>
      <c r="F63" s="870">
        <v>25410070.5066499</v>
      </c>
      <c r="G63" s="871">
        <v>333356</v>
      </c>
      <c r="H63" s="870">
        <v>762818</v>
      </c>
      <c r="I63" s="870">
        <v>24980608.5066499</v>
      </c>
      <c r="J63" s="870">
        <v>24969166.236649901</v>
      </c>
      <c r="K63" s="870">
        <v>26102717.515603099</v>
      </c>
    </row>
    <row r="64" spans="1:11" ht="18.75">
      <c r="A64" s="864"/>
      <c r="B64" s="864"/>
      <c r="C64" s="864"/>
      <c r="D64" s="879"/>
      <c r="E64" s="869"/>
      <c r="F64" s="870"/>
      <c r="G64" s="871"/>
      <c r="H64" s="870"/>
      <c r="I64" s="870"/>
      <c r="J64" s="870"/>
      <c r="K64" s="870"/>
    </row>
    <row r="65" spans="1:11" ht="23.25" customHeight="1">
      <c r="A65" s="1349" t="s">
        <v>2221</v>
      </c>
      <c r="B65" s="1349"/>
      <c r="C65" s="1349"/>
      <c r="D65" s="1349"/>
      <c r="E65" s="1349"/>
      <c r="F65" s="1349"/>
      <c r="G65" s="1349"/>
      <c r="H65" s="1349"/>
      <c r="I65" s="1349"/>
      <c r="J65" s="1349"/>
      <c r="K65" s="1349"/>
    </row>
    <row r="66" spans="1:11" ht="18.75" customHeight="1">
      <c r="A66" s="1352" t="s">
        <v>2132</v>
      </c>
      <c r="B66" s="1352"/>
      <c r="C66" s="1352"/>
      <c r="D66" s="1352"/>
      <c r="E66" s="1352"/>
      <c r="F66" s="1352"/>
      <c r="G66" s="1352"/>
      <c r="H66" s="1352"/>
      <c r="I66" s="1352"/>
      <c r="J66" s="888" t="s">
        <v>3121</v>
      </c>
      <c r="K66" s="889"/>
    </row>
    <row r="67" spans="1:11" ht="45">
      <c r="A67" s="851" t="s">
        <v>345</v>
      </c>
      <c r="B67" s="852" t="s">
        <v>2133</v>
      </c>
      <c r="C67" s="852"/>
      <c r="D67" s="853" t="s">
        <v>2134</v>
      </c>
      <c r="E67" s="854"/>
      <c r="F67" s="851" t="s">
        <v>2135</v>
      </c>
      <c r="G67" s="489" t="s">
        <v>2136</v>
      </c>
      <c r="H67" s="851" t="s">
        <v>2137</v>
      </c>
      <c r="I67" s="851" t="s">
        <v>2138</v>
      </c>
      <c r="J67" s="851" t="s">
        <v>2139</v>
      </c>
      <c r="K67" s="851" t="s">
        <v>2140</v>
      </c>
    </row>
    <row r="68" spans="1:11" ht="21">
      <c r="A68" s="503"/>
      <c r="B68" s="503"/>
      <c r="C68" s="503"/>
      <c r="D68" s="890" t="s">
        <v>1200</v>
      </c>
      <c r="E68" s="891"/>
      <c r="F68" s="503"/>
      <c r="G68" s="508"/>
      <c r="H68" s="503"/>
      <c r="I68" s="503"/>
      <c r="J68" s="503"/>
      <c r="K68" s="186"/>
    </row>
    <row r="69" spans="1:11" ht="15" customHeight="1">
      <c r="A69" s="503">
        <v>1</v>
      </c>
      <c r="B69" s="1347" t="s">
        <v>1200</v>
      </c>
      <c r="C69" s="507" t="s">
        <v>2222</v>
      </c>
      <c r="D69" s="439" t="s">
        <v>1175</v>
      </c>
      <c r="E69" s="878"/>
      <c r="F69" s="507">
        <v>1148700</v>
      </c>
      <c r="G69" s="494">
        <v>-540000</v>
      </c>
      <c r="H69" s="507"/>
      <c r="I69" s="507">
        <v>608699.99999999895</v>
      </c>
      <c r="J69" s="860">
        <v>608699.99999999895</v>
      </c>
      <c r="K69" s="892">
        <v>636333.78868798702</v>
      </c>
    </row>
    <row r="70" spans="1:11">
      <c r="A70" s="503">
        <v>2</v>
      </c>
      <c r="B70" s="1347"/>
      <c r="C70" s="507" t="s">
        <v>2223</v>
      </c>
      <c r="D70" s="439" t="s">
        <v>1199</v>
      </c>
      <c r="E70" s="878"/>
      <c r="F70" s="507">
        <v>1275120</v>
      </c>
      <c r="G70" s="494"/>
      <c r="H70" s="507">
        <v>18147</v>
      </c>
      <c r="I70" s="507">
        <v>1256973</v>
      </c>
      <c r="J70" s="860">
        <v>1256700.7949999999</v>
      </c>
      <c r="K70" s="892">
        <v>1313752.5515517599</v>
      </c>
    </row>
    <row r="71" spans="1:11">
      <c r="A71" s="503">
        <v>3</v>
      </c>
      <c r="B71" s="1347"/>
      <c r="C71" s="507" t="s">
        <v>2224</v>
      </c>
      <c r="D71" s="439" t="s">
        <v>1552</v>
      </c>
      <c r="E71" s="746"/>
      <c r="F71" s="507">
        <v>651400.00000002305</v>
      </c>
      <c r="G71" s="492"/>
      <c r="H71" s="186"/>
      <c r="I71" s="507">
        <v>651400.00000002305</v>
      </c>
      <c r="J71" s="860">
        <v>651400.00000002305</v>
      </c>
      <c r="K71" s="892">
        <v>680972.28511807194</v>
      </c>
    </row>
    <row r="72" spans="1:11" ht="15" customHeight="1">
      <c r="A72" s="503">
        <v>4</v>
      </c>
      <c r="B72" s="1347" t="s">
        <v>1302</v>
      </c>
      <c r="C72" s="507" t="s">
        <v>2225</v>
      </c>
      <c r="D72" s="586" t="s">
        <v>1523</v>
      </c>
      <c r="E72" s="878"/>
      <c r="F72" s="507">
        <v>1222200.00000001</v>
      </c>
      <c r="G72" s="494"/>
      <c r="H72" s="507"/>
      <c r="I72" s="507">
        <v>1222200.00000001</v>
      </c>
      <c r="J72" s="860">
        <v>1222200.00000001</v>
      </c>
      <c r="K72" s="892">
        <v>1277685.4879817099</v>
      </c>
    </row>
    <row r="73" spans="1:11">
      <c r="A73" s="503">
        <v>5</v>
      </c>
      <c r="B73" s="1347"/>
      <c r="C73" s="507" t="s">
        <v>2226</v>
      </c>
      <c r="D73" s="586" t="s">
        <v>1530</v>
      </c>
      <c r="E73" s="878"/>
      <c r="F73" s="860">
        <v>349599.12599999597</v>
      </c>
      <c r="G73" s="494"/>
      <c r="H73" s="507">
        <v>26489</v>
      </c>
      <c r="I73" s="860">
        <v>323110.12599999597</v>
      </c>
      <c r="J73" s="860">
        <v>322712.79099999601</v>
      </c>
      <c r="K73" s="892">
        <v>337363.32011680998</v>
      </c>
    </row>
    <row r="74" spans="1:11">
      <c r="A74" s="503">
        <v>6</v>
      </c>
      <c r="B74" s="1347"/>
      <c r="C74" s="507" t="s">
        <v>2227</v>
      </c>
      <c r="D74" s="586" t="s">
        <v>1525</v>
      </c>
      <c r="E74" s="878"/>
      <c r="F74" s="507">
        <v>1103399.99999997</v>
      </c>
      <c r="G74" s="494"/>
      <c r="H74" s="507"/>
      <c r="I74" s="507">
        <v>1103399.99999997</v>
      </c>
      <c r="J74" s="860">
        <v>1103399.99999997</v>
      </c>
      <c r="K74" s="892">
        <v>1153492.20049007</v>
      </c>
    </row>
    <row r="75" spans="1:11">
      <c r="A75" s="503">
        <v>7</v>
      </c>
      <c r="B75" s="1347"/>
      <c r="C75" s="507" t="s">
        <v>2228</v>
      </c>
      <c r="D75" s="586" t="s">
        <v>1528</v>
      </c>
      <c r="E75" s="878"/>
      <c r="F75" s="507">
        <v>549400.00000002305</v>
      </c>
      <c r="G75" s="494"/>
      <c r="H75" s="507"/>
      <c r="I75" s="507">
        <v>549400.00000002305</v>
      </c>
      <c r="J75" s="860">
        <v>549400.00000002305</v>
      </c>
      <c r="K75" s="892">
        <v>574341.68474650197</v>
      </c>
    </row>
    <row r="76" spans="1:11">
      <c r="A76" s="503">
        <v>8</v>
      </c>
      <c r="B76" s="1347"/>
      <c r="C76" s="507" t="s">
        <v>2229</v>
      </c>
      <c r="D76" s="586" t="s">
        <v>2230</v>
      </c>
      <c r="E76" s="878"/>
      <c r="F76" s="507">
        <v>396780</v>
      </c>
      <c r="G76" s="494"/>
      <c r="H76" s="186"/>
      <c r="I76" s="507">
        <v>396780</v>
      </c>
      <c r="J76" s="860">
        <v>396780</v>
      </c>
      <c r="K76" s="892">
        <v>414793.03544540802</v>
      </c>
    </row>
    <row r="77" spans="1:11">
      <c r="A77" s="503">
        <v>9</v>
      </c>
      <c r="B77" s="1347"/>
      <c r="C77" s="507" t="s">
        <v>2231</v>
      </c>
      <c r="D77" s="586" t="s">
        <v>1534</v>
      </c>
      <c r="E77" s="878"/>
      <c r="F77" s="507">
        <v>350700</v>
      </c>
      <c r="G77" s="494"/>
      <c r="H77" s="186"/>
      <c r="I77" s="507">
        <v>350700</v>
      </c>
      <c r="J77" s="860">
        <v>350700</v>
      </c>
      <c r="K77" s="892">
        <v>366621.09363048698</v>
      </c>
    </row>
    <row r="78" spans="1:11" ht="15" customHeight="1">
      <c r="A78" s="503">
        <v>10</v>
      </c>
      <c r="B78" s="1347" t="s">
        <v>1525</v>
      </c>
      <c r="C78" s="507" t="s">
        <v>2253</v>
      </c>
      <c r="D78" s="766" t="s">
        <v>1572</v>
      </c>
      <c r="E78" s="746"/>
      <c r="F78" s="507">
        <v>810000</v>
      </c>
      <c r="G78" s="492"/>
      <c r="H78" s="186"/>
      <c r="I78" s="507">
        <v>810000</v>
      </c>
      <c r="J78" s="860">
        <v>810000</v>
      </c>
      <c r="K78" s="892">
        <v>846772.41471541103</v>
      </c>
    </row>
    <row r="79" spans="1:11">
      <c r="A79" s="503">
        <v>11</v>
      </c>
      <c r="B79" s="1347"/>
      <c r="C79" s="507" t="s">
        <v>2254</v>
      </c>
      <c r="D79" s="586" t="s">
        <v>1568</v>
      </c>
      <c r="E79" s="878"/>
      <c r="F79" s="507">
        <v>471599.99999999901</v>
      </c>
      <c r="G79" s="494"/>
      <c r="H79" s="507"/>
      <c r="I79" s="507">
        <v>471599.99999999901</v>
      </c>
      <c r="J79" s="860">
        <v>471599.99999999901</v>
      </c>
      <c r="K79" s="892">
        <v>493009.71701208199</v>
      </c>
    </row>
    <row r="80" spans="1:11">
      <c r="A80" s="503">
        <v>12</v>
      </c>
      <c r="B80" s="1347"/>
      <c r="C80" s="507" t="s">
        <v>2255</v>
      </c>
      <c r="D80" s="586" t="s">
        <v>1570</v>
      </c>
      <c r="E80" s="878"/>
      <c r="F80" s="860">
        <v>634799.841300003</v>
      </c>
      <c r="G80" s="494"/>
      <c r="H80" s="507"/>
      <c r="I80" s="860">
        <v>634799.841300003</v>
      </c>
      <c r="J80" s="860">
        <v>634799.841300003</v>
      </c>
      <c r="K80" s="892">
        <v>663618.51170192997</v>
      </c>
    </row>
    <row r="81" spans="1:11" ht="18.75">
      <c r="A81" s="503"/>
      <c r="B81" s="503"/>
      <c r="C81" s="503"/>
      <c r="D81" s="893" t="s">
        <v>2233</v>
      </c>
      <c r="E81" s="891"/>
      <c r="F81" s="870">
        <v>8963698.9673000202</v>
      </c>
      <c r="G81" s="874">
        <v>-540000</v>
      </c>
      <c r="H81" s="873">
        <v>44636</v>
      </c>
      <c r="I81" s="870">
        <v>8379062.9673000202</v>
      </c>
      <c r="J81" s="870">
        <v>8378393.4273000201</v>
      </c>
      <c r="K81" s="870">
        <v>8758756.0911982302</v>
      </c>
    </row>
    <row r="82" spans="1:11" ht="21">
      <c r="A82" s="503"/>
      <c r="B82" s="503"/>
      <c r="C82" s="503"/>
      <c r="D82" s="890" t="s">
        <v>2234</v>
      </c>
      <c r="E82" s="891"/>
      <c r="F82" s="507"/>
      <c r="G82" s="494"/>
      <c r="H82" s="507"/>
      <c r="I82" s="507"/>
      <c r="J82" s="507"/>
      <c r="K82" s="892"/>
    </row>
    <row r="83" spans="1:11" ht="15" customHeight="1">
      <c r="A83" s="503">
        <v>13</v>
      </c>
      <c r="B83" s="1347" t="s">
        <v>1203</v>
      </c>
      <c r="C83" s="507" t="s">
        <v>2235</v>
      </c>
      <c r="D83" s="586" t="s">
        <v>1203</v>
      </c>
      <c r="E83" s="878"/>
      <c r="F83" s="860">
        <v>901799.20800000802</v>
      </c>
      <c r="G83" s="494"/>
      <c r="H83" s="507"/>
      <c r="I83" s="507">
        <v>901799.20800000802</v>
      </c>
      <c r="J83" s="860">
        <v>901799.20800000802</v>
      </c>
      <c r="K83" s="892">
        <v>942739.12709458196</v>
      </c>
    </row>
    <row r="84" spans="1:11">
      <c r="A84" s="503">
        <v>14</v>
      </c>
      <c r="B84" s="1347"/>
      <c r="C84" s="507" t="s">
        <v>2236</v>
      </c>
      <c r="D84" s="586" t="s">
        <v>1541</v>
      </c>
      <c r="E84" s="878" t="s">
        <v>2237</v>
      </c>
      <c r="F84" s="507">
        <v>681240</v>
      </c>
      <c r="G84" s="494">
        <v>540000</v>
      </c>
      <c r="H84" s="507"/>
      <c r="I84" s="507">
        <v>1221240</v>
      </c>
      <c r="J84" s="860">
        <v>1221240</v>
      </c>
      <c r="K84" s="892">
        <v>1276681.90586055</v>
      </c>
    </row>
    <row r="85" spans="1:11">
      <c r="A85" s="503">
        <v>15</v>
      </c>
      <c r="B85" s="1347"/>
      <c r="C85" s="507" t="s">
        <v>2238</v>
      </c>
      <c r="D85" s="586" t="s">
        <v>2239</v>
      </c>
      <c r="E85" s="878"/>
      <c r="F85" s="507">
        <v>941200.00000001199</v>
      </c>
      <c r="G85" s="494"/>
      <c r="H85" s="507"/>
      <c r="I85" s="507">
        <v>941200.00000001199</v>
      </c>
      <c r="J85" s="860">
        <v>941200.00000001199</v>
      </c>
      <c r="K85" s="892">
        <v>983928.63793846196</v>
      </c>
    </row>
    <row r="86" spans="1:11">
      <c r="A86" s="503">
        <v>16</v>
      </c>
      <c r="B86" s="1347"/>
      <c r="C86" s="507" t="s">
        <v>2240</v>
      </c>
      <c r="D86" s="586" t="s">
        <v>1544</v>
      </c>
      <c r="E86" s="878"/>
      <c r="F86" s="507">
        <v>355000</v>
      </c>
      <c r="G86" s="494"/>
      <c r="H86" s="507"/>
      <c r="I86" s="507">
        <v>355000</v>
      </c>
      <c r="J86" s="860">
        <v>355000</v>
      </c>
      <c r="K86" s="892">
        <v>371116.30521477899</v>
      </c>
    </row>
    <row r="87" spans="1:11" ht="15" customHeight="1">
      <c r="A87" s="503">
        <v>17</v>
      </c>
      <c r="B87" s="1347" t="s">
        <v>1195</v>
      </c>
      <c r="C87" s="507" t="s">
        <v>2258</v>
      </c>
      <c r="D87" s="586" t="s">
        <v>1195</v>
      </c>
      <c r="E87" s="878"/>
      <c r="F87" s="860">
        <v>626133.17679999804</v>
      </c>
      <c r="G87" s="494"/>
      <c r="H87" s="507">
        <v>10885</v>
      </c>
      <c r="I87" s="507">
        <v>615248.17679999804</v>
      </c>
      <c r="J87" s="860">
        <v>615084.90179999801</v>
      </c>
      <c r="K87" s="892">
        <v>643008.55253354996</v>
      </c>
    </row>
    <row r="88" spans="1:11">
      <c r="A88" s="503">
        <v>18</v>
      </c>
      <c r="B88" s="1347"/>
      <c r="C88" s="507" t="s">
        <v>2256</v>
      </c>
      <c r="D88" s="586" t="s">
        <v>1560</v>
      </c>
      <c r="E88" s="878"/>
      <c r="F88" s="507">
        <v>219199.99999999901</v>
      </c>
      <c r="G88" s="494"/>
      <c r="H88" s="507"/>
      <c r="I88" s="507">
        <v>219199.99999999901</v>
      </c>
      <c r="J88" s="860">
        <v>219199.99999999901</v>
      </c>
      <c r="K88" s="892">
        <v>229151.25099458901</v>
      </c>
    </row>
    <row r="89" spans="1:11">
      <c r="A89" s="503">
        <v>19</v>
      </c>
      <c r="B89" s="1347"/>
      <c r="C89" s="507" t="s">
        <v>2257</v>
      </c>
      <c r="D89" s="586" t="s">
        <v>1557</v>
      </c>
      <c r="E89" s="878"/>
      <c r="F89" s="507">
        <v>681200.00000000396</v>
      </c>
      <c r="G89" s="494"/>
      <c r="H89" s="507"/>
      <c r="I89" s="507">
        <v>681200.00000000396</v>
      </c>
      <c r="J89" s="860">
        <v>681200.00000000396</v>
      </c>
      <c r="K89" s="892">
        <v>712125.14679523697</v>
      </c>
    </row>
    <row r="90" spans="1:11">
      <c r="A90" s="503">
        <v>20</v>
      </c>
      <c r="B90" s="1347"/>
      <c r="C90" s="507" t="s">
        <v>2232</v>
      </c>
      <c r="D90" s="586" t="s">
        <v>1587</v>
      </c>
      <c r="E90" s="878"/>
      <c r="F90" s="507">
        <v>0</v>
      </c>
      <c r="G90" s="494"/>
      <c r="H90" s="507"/>
      <c r="I90" s="507">
        <v>0</v>
      </c>
      <c r="J90" s="860">
        <v>0</v>
      </c>
      <c r="K90" s="892">
        <v>0</v>
      </c>
    </row>
    <row r="91" spans="1:11">
      <c r="A91" s="503">
        <v>21</v>
      </c>
      <c r="B91" s="503" t="s">
        <v>1191</v>
      </c>
      <c r="C91" s="507" t="s">
        <v>2241</v>
      </c>
      <c r="D91" s="586" t="s">
        <v>1579</v>
      </c>
      <c r="E91" s="878"/>
      <c r="F91" s="507">
        <v>833000</v>
      </c>
      <c r="G91" s="494"/>
      <c r="H91" s="507"/>
      <c r="I91" s="507">
        <v>833000</v>
      </c>
      <c r="J91" s="894">
        <v>833000</v>
      </c>
      <c r="K91" s="892">
        <v>870816.56970115704</v>
      </c>
    </row>
    <row r="92" spans="1:11" ht="15" customHeight="1">
      <c r="A92" s="503">
        <v>22</v>
      </c>
      <c r="B92" s="1347" t="s">
        <v>1587</v>
      </c>
      <c r="C92" s="507"/>
      <c r="D92" s="586" t="s">
        <v>1585</v>
      </c>
      <c r="E92" s="878"/>
      <c r="F92" s="507">
        <v>739480</v>
      </c>
      <c r="G92" s="494"/>
      <c r="H92" s="507"/>
      <c r="I92" s="507">
        <v>739480</v>
      </c>
      <c r="J92" s="894">
        <v>739480</v>
      </c>
      <c r="K92" s="892">
        <v>773050.94473302702</v>
      </c>
    </row>
    <row r="93" spans="1:11">
      <c r="A93" s="503">
        <v>23</v>
      </c>
      <c r="B93" s="1347"/>
      <c r="C93" s="507"/>
      <c r="D93" s="586" t="s">
        <v>1587</v>
      </c>
      <c r="E93" s="878"/>
      <c r="F93" s="860">
        <v>43668</v>
      </c>
      <c r="G93" s="494"/>
      <c r="H93" s="507"/>
      <c r="I93" s="507">
        <v>43668</v>
      </c>
      <c r="J93" s="894">
        <v>43668</v>
      </c>
      <c r="K93" s="892">
        <v>45650.441735546403</v>
      </c>
    </row>
    <row r="94" spans="1:11" ht="18.75">
      <c r="A94" s="896"/>
      <c r="B94" s="896"/>
      <c r="C94" s="896"/>
      <c r="D94" s="893" t="s">
        <v>2245</v>
      </c>
      <c r="E94" s="891"/>
      <c r="F94" s="870">
        <v>6021920.3848000197</v>
      </c>
      <c r="G94" s="870">
        <v>540000</v>
      </c>
      <c r="H94" s="873">
        <v>10885</v>
      </c>
      <c r="I94" s="870">
        <v>6551035.3848000197</v>
      </c>
      <c r="J94" s="898">
        <v>6550872.1098000202</v>
      </c>
      <c r="K94" s="870">
        <v>6848268.88260148</v>
      </c>
    </row>
    <row r="95" spans="1:11" ht="15.75">
      <c r="A95" s="503"/>
      <c r="B95" s="503"/>
      <c r="C95" s="503"/>
      <c r="D95" s="893" t="s">
        <v>2160</v>
      </c>
      <c r="E95" s="891"/>
      <c r="F95" s="507"/>
      <c r="G95" s="494"/>
      <c r="H95" s="507"/>
      <c r="I95" s="507"/>
      <c r="J95" s="894"/>
      <c r="K95" s="892"/>
    </row>
    <row r="96" spans="1:11" ht="15" customHeight="1">
      <c r="A96" s="503">
        <v>22</v>
      </c>
      <c r="B96" s="1347" t="s">
        <v>2160</v>
      </c>
      <c r="C96" s="884" t="s">
        <v>2246</v>
      </c>
      <c r="D96" s="586" t="s">
        <v>1503</v>
      </c>
      <c r="E96" s="878"/>
      <c r="F96" s="507">
        <v>1200400.00000002</v>
      </c>
      <c r="G96" s="494"/>
      <c r="H96" s="507"/>
      <c r="I96" s="507">
        <v>1200400.00000002</v>
      </c>
      <c r="J96" s="894">
        <v>1200400.00000002</v>
      </c>
      <c r="K96" s="892">
        <v>1254895.8106474101</v>
      </c>
    </row>
    <row r="97" spans="1:11">
      <c r="A97" s="503">
        <v>23</v>
      </c>
      <c r="B97" s="1347"/>
      <c r="C97" s="884" t="s">
        <v>2247</v>
      </c>
      <c r="D97" s="586" t="s">
        <v>1501</v>
      </c>
      <c r="E97" s="885"/>
      <c r="F97" s="507">
        <v>662600.00000000605</v>
      </c>
      <c r="G97" s="494"/>
      <c r="H97" s="507"/>
      <c r="I97" s="507">
        <v>662600.00000000605</v>
      </c>
      <c r="J97" s="894">
        <v>662600.00000000605</v>
      </c>
      <c r="K97" s="892">
        <v>692680.74319806905</v>
      </c>
    </row>
    <row r="98" spans="1:11">
      <c r="A98" s="503">
        <v>24</v>
      </c>
      <c r="B98" s="1347"/>
      <c r="C98" s="884" t="s">
        <v>2248</v>
      </c>
      <c r="D98" s="586" t="s">
        <v>1505</v>
      </c>
      <c r="E98" s="897"/>
      <c r="F98" s="860">
        <v>1124408.0560000001</v>
      </c>
      <c r="G98" s="494"/>
      <c r="H98" s="507"/>
      <c r="I98" s="860">
        <v>1124408.0560000001</v>
      </c>
      <c r="J98" s="894">
        <v>1124408.0560000001</v>
      </c>
      <c r="K98" s="892">
        <v>1175453.9811167701</v>
      </c>
    </row>
    <row r="99" spans="1:11">
      <c r="A99" s="503">
        <v>25</v>
      </c>
      <c r="B99" s="1347"/>
      <c r="C99" s="884" t="s">
        <v>2249</v>
      </c>
      <c r="D99" s="586" t="s">
        <v>1507</v>
      </c>
      <c r="E99" s="897"/>
      <c r="F99" s="860">
        <v>1411199.99999998</v>
      </c>
      <c r="G99" s="494"/>
      <c r="H99" s="507"/>
      <c r="I99" s="507">
        <v>1411199.99999998</v>
      </c>
      <c r="J99" s="894">
        <v>1411199.99999998</v>
      </c>
      <c r="K99" s="892">
        <v>1475265.71808194</v>
      </c>
    </row>
    <row r="100" spans="1:11">
      <c r="A100" s="503">
        <v>26</v>
      </c>
      <c r="B100" s="1347"/>
      <c r="C100" s="884" t="s">
        <v>2250</v>
      </c>
      <c r="D100" s="586" t="s">
        <v>1509</v>
      </c>
      <c r="E100" s="878"/>
      <c r="F100" s="860">
        <v>817800.00000001804</v>
      </c>
      <c r="G100" s="494"/>
      <c r="H100" s="507">
        <v>200625</v>
      </c>
      <c r="I100" s="507">
        <v>617175.000000017</v>
      </c>
      <c r="J100" s="894">
        <v>614165.625000017</v>
      </c>
      <c r="K100" s="892">
        <v>642047.54236600501</v>
      </c>
    </row>
    <row r="101" spans="1:11">
      <c r="A101" s="503">
        <v>27</v>
      </c>
      <c r="B101" s="1347"/>
      <c r="C101" s="884" t="s">
        <v>2251</v>
      </c>
      <c r="D101" s="586" t="s">
        <v>1511</v>
      </c>
      <c r="E101" s="878"/>
      <c r="F101" s="860">
        <v>1117463.8730000099</v>
      </c>
      <c r="G101" s="494"/>
      <c r="H101" s="631"/>
      <c r="I101" s="860">
        <v>1117463.8730000099</v>
      </c>
      <c r="J101" s="894">
        <v>1117463.8730000099</v>
      </c>
      <c r="K101" s="892">
        <v>1168194.5457993201</v>
      </c>
    </row>
    <row r="102" spans="1:11" ht="15" customHeight="1">
      <c r="A102" s="503">
        <v>29</v>
      </c>
      <c r="B102" s="1347" t="s">
        <v>1191</v>
      </c>
      <c r="C102" s="884" t="s">
        <v>2242</v>
      </c>
      <c r="D102" s="586" t="s">
        <v>1191</v>
      </c>
      <c r="E102" s="878"/>
      <c r="F102" s="507">
        <v>902000</v>
      </c>
      <c r="G102" s="489"/>
      <c r="H102" s="507">
        <v>1424</v>
      </c>
      <c r="I102" s="507">
        <v>900576</v>
      </c>
      <c r="J102" s="894">
        <v>900554.64</v>
      </c>
      <c r="K102" s="892">
        <v>941438.05814316997</v>
      </c>
    </row>
    <row r="103" spans="1:11">
      <c r="A103" s="503">
        <v>30</v>
      </c>
      <c r="B103" s="1347"/>
      <c r="C103" s="884" t="s">
        <v>2243</v>
      </c>
      <c r="D103" s="586" t="s">
        <v>1190</v>
      </c>
      <c r="E103" s="878"/>
      <c r="F103" s="507">
        <v>693200.00000000396</v>
      </c>
      <c r="G103" s="489"/>
      <c r="H103" s="507">
        <v>207277</v>
      </c>
      <c r="I103" s="507">
        <v>485923.00000000402</v>
      </c>
      <c r="J103" s="894">
        <v>482813.84500000399</v>
      </c>
      <c r="K103" s="892">
        <v>504732.64862800698</v>
      </c>
    </row>
    <row r="104" spans="1:11">
      <c r="A104" s="503">
        <v>31</v>
      </c>
      <c r="B104" s="1347"/>
      <c r="C104" s="884" t="s">
        <v>2244</v>
      </c>
      <c r="D104" s="439" t="s">
        <v>1202</v>
      </c>
      <c r="E104" s="895"/>
      <c r="F104" s="507">
        <v>761000</v>
      </c>
      <c r="G104" s="930"/>
      <c r="H104" s="507"/>
      <c r="I104" s="507">
        <v>761000</v>
      </c>
      <c r="J104" s="894">
        <v>761000</v>
      </c>
      <c r="K104" s="892">
        <v>795547.91061534302</v>
      </c>
    </row>
    <row r="105" spans="1:11" ht="18.75">
      <c r="A105" s="896"/>
      <c r="B105" s="896"/>
      <c r="C105" s="896"/>
      <c r="D105" s="893" t="s">
        <v>2252</v>
      </c>
      <c r="E105" s="891"/>
      <c r="F105" s="870">
        <v>8690071.9290000405</v>
      </c>
      <c r="G105" s="874">
        <v>0</v>
      </c>
      <c r="H105" s="873">
        <v>409326</v>
      </c>
      <c r="I105" s="870">
        <v>8280745.9290000396</v>
      </c>
      <c r="J105" s="898">
        <v>8274606.0390000399</v>
      </c>
      <c r="K105" s="870">
        <v>8650256.9585960303</v>
      </c>
    </row>
    <row r="106" spans="1:11" ht="18.75">
      <c r="A106" s="896"/>
      <c r="B106" s="896"/>
      <c r="C106" s="896"/>
      <c r="D106" s="899" t="s">
        <v>2259</v>
      </c>
      <c r="E106" s="891"/>
      <c r="F106" s="870">
        <v>23675691.281100102</v>
      </c>
      <c r="G106" s="874">
        <v>0</v>
      </c>
      <c r="H106" s="873">
        <v>464847</v>
      </c>
      <c r="I106" s="870">
        <v>23210844.281100102</v>
      </c>
      <c r="J106" s="898">
        <v>23203871.5761001</v>
      </c>
      <c r="K106" s="870">
        <v>24257281.9323957</v>
      </c>
    </row>
    <row r="107" spans="1:11" ht="23.25" customHeight="1">
      <c r="A107" s="1349" t="s">
        <v>2260</v>
      </c>
      <c r="B107" s="1349"/>
      <c r="C107" s="1349"/>
      <c r="D107" s="1349"/>
      <c r="E107" s="1349"/>
      <c r="F107" s="1349"/>
      <c r="G107" s="1349"/>
      <c r="H107" s="1349"/>
      <c r="I107" s="1349"/>
      <c r="J107" s="1349"/>
      <c r="K107" s="1349"/>
    </row>
    <row r="108" spans="1:11" ht="18.75" customHeight="1">
      <c r="A108" s="1352" t="s">
        <v>2132</v>
      </c>
      <c r="B108" s="1352"/>
      <c r="C108" s="1352"/>
      <c r="D108" s="1352"/>
      <c r="E108" s="1352"/>
      <c r="F108" s="1352"/>
      <c r="G108" s="1352"/>
      <c r="H108" s="1352"/>
      <c r="I108" s="1352"/>
      <c r="J108" s="900" t="s">
        <v>3121</v>
      </c>
      <c r="K108" s="901"/>
    </row>
    <row r="109" spans="1:11" ht="45">
      <c r="A109" s="851" t="s">
        <v>1546</v>
      </c>
      <c r="B109" s="852" t="s">
        <v>2133</v>
      </c>
      <c r="C109" s="852"/>
      <c r="D109" s="853" t="s">
        <v>2134</v>
      </c>
      <c r="E109" s="854"/>
      <c r="F109" s="851" t="s">
        <v>2135</v>
      </c>
      <c r="G109" s="489" t="s">
        <v>2136</v>
      </c>
      <c r="H109" s="851" t="s">
        <v>2137</v>
      </c>
      <c r="I109" s="851" t="s">
        <v>2138</v>
      </c>
      <c r="J109" s="902" t="s">
        <v>2139</v>
      </c>
      <c r="K109" s="851" t="s">
        <v>2140</v>
      </c>
    </row>
    <row r="110" spans="1:11" ht="18.75">
      <c r="A110" s="903"/>
      <c r="B110" s="903"/>
      <c r="C110" s="903"/>
      <c r="D110" s="893" t="s">
        <v>2261</v>
      </c>
      <c r="E110" s="891"/>
      <c r="F110" s="867"/>
      <c r="G110" s="904"/>
      <c r="H110" s="867"/>
      <c r="I110" s="867"/>
      <c r="J110" s="905"/>
      <c r="K110" s="186"/>
    </row>
    <row r="111" spans="1:11" ht="18.75" customHeight="1">
      <c r="A111" s="903">
        <v>1</v>
      </c>
      <c r="B111" s="1353" t="s">
        <v>2262</v>
      </c>
      <c r="C111" s="903" t="s">
        <v>2263</v>
      </c>
      <c r="D111" s="586" t="s">
        <v>1950</v>
      </c>
      <c r="E111" s="906"/>
      <c r="F111" s="860">
        <v>622399.99999999395</v>
      </c>
      <c r="G111" s="907"/>
      <c r="H111" s="867"/>
      <c r="I111" s="507">
        <v>622399.99999999395</v>
      </c>
      <c r="J111" s="894">
        <v>622399.99999999395</v>
      </c>
      <c r="K111" s="892">
        <v>650655.74187514395</v>
      </c>
    </row>
    <row r="112" spans="1:11" ht="15.75">
      <c r="A112" s="503">
        <v>2</v>
      </c>
      <c r="B112" s="1353"/>
      <c r="C112" s="903" t="s">
        <v>2264</v>
      </c>
      <c r="D112" s="766" t="s">
        <v>1230</v>
      </c>
      <c r="E112" s="878"/>
      <c r="F112" s="860">
        <v>279000</v>
      </c>
      <c r="G112" s="508"/>
      <c r="H112" s="503">
        <v>206852</v>
      </c>
      <c r="I112" s="507">
        <v>72148</v>
      </c>
      <c r="J112" s="894">
        <v>69045.22</v>
      </c>
      <c r="K112" s="892">
        <v>72179.7378567368</v>
      </c>
    </row>
    <row r="113" spans="1:11" ht="15.75">
      <c r="A113" s="903">
        <v>3</v>
      </c>
      <c r="B113" s="1353"/>
      <c r="C113" s="903" t="s">
        <v>2265</v>
      </c>
      <c r="D113" s="766" t="s">
        <v>1953</v>
      </c>
      <c r="E113" s="878"/>
      <c r="F113" s="860">
        <v>507600</v>
      </c>
      <c r="G113" s="908"/>
      <c r="H113" s="503"/>
      <c r="I113" s="507">
        <v>507600</v>
      </c>
      <c r="J113" s="894">
        <v>507600</v>
      </c>
      <c r="K113" s="892">
        <v>530644.04655499104</v>
      </c>
    </row>
    <row r="114" spans="1:11" ht="15.75">
      <c r="A114" s="503">
        <v>4</v>
      </c>
      <c r="B114" s="1353"/>
      <c r="C114" s="903" t="s">
        <v>2266</v>
      </c>
      <c r="D114" s="586" t="s">
        <v>1947</v>
      </c>
      <c r="E114" s="885"/>
      <c r="F114" s="860">
        <v>1648240</v>
      </c>
      <c r="G114" s="908"/>
      <c r="H114" s="503"/>
      <c r="I114" s="507">
        <v>1648240</v>
      </c>
      <c r="J114" s="894">
        <v>1648240</v>
      </c>
      <c r="K114" s="892">
        <v>1723066.8701611499</v>
      </c>
    </row>
    <row r="115" spans="1:11" ht="15.75">
      <c r="A115" s="903">
        <v>5</v>
      </c>
      <c r="B115" s="1353"/>
      <c r="C115" s="903" t="s">
        <v>2267</v>
      </c>
      <c r="D115" s="586" t="s">
        <v>1945</v>
      </c>
      <c r="E115" s="885" t="s">
        <v>2268</v>
      </c>
      <c r="F115" s="860">
        <v>556399.99999996496</v>
      </c>
      <c r="G115" s="861"/>
      <c r="H115" s="503"/>
      <c r="I115" s="507">
        <v>556399.99999996496</v>
      </c>
      <c r="J115" s="894">
        <v>556399.99999996496</v>
      </c>
      <c r="K115" s="892">
        <v>581659.47104645101</v>
      </c>
    </row>
    <row r="116" spans="1:11" ht="15.75">
      <c r="A116" s="503">
        <v>6</v>
      </c>
      <c r="B116" s="1353"/>
      <c r="C116" s="903" t="s">
        <v>2269</v>
      </c>
      <c r="D116" s="586" t="s">
        <v>1961</v>
      </c>
      <c r="E116" s="878"/>
      <c r="F116" s="860">
        <v>907600.00000003504</v>
      </c>
      <c r="G116" s="508"/>
      <c r="H116" s="503"/>
      <c r="I116" s="507">
        <v>907600.00000003504</v>
      </c>
      <c r="J116" s="894">
        <v>907600.00000003504</v>
      </c>
      <c r="K116" s="892">
        <v>948803.26369844005</v>
      </c>
    </row>
    <row r="117" spans="1:11" ht="15.75">
      <c r="A117" s="903">
        <v>7</v>
      </c>
      <c r="B117" s="1353"/>
      <c r="C117" s="903" t="s">
        <v>2270</v>
      </c>
      <c r="D117" s="586" t="s">
        <v>1957</v>
      </c>
      <c r="E117" s="878" t="s">
        <v>2271</v>
      </c>
      <c r="F117" s="909">
        <v>842220.00000000198</v>
      </c>
      <c r="G117" s="908">
        <v>-354936</v>
      </c>
      <c r="H117" s="503"/>
      <c r="I117" s="860">
        <v>487284.00000000198</v>
      </c>
      <c r="J117" s="894">
        <v>487284.00000000198</v>
      </c>
      <c r="K117" s="892">
        <v>509405.73991627898</v>
      </c>
    </row>
    <row r="118" spans="1:11" ht="15.75">
      <c r="A118" s="503">
        <v>8</v>
      </c>
      <c r="B118" s="1353"/>
      <c r="C118" s="903" t="s">
        <v>2272</v>
      </c>
      <c r="D118" s="586" t="s">
        <v>220</v>
      </c>
      <c r="E118" s="878"/>
      <c r="F118" s="860">
        <v>758799.99999999197</v>
      </c>
      <c r="G118" s="908"/>
      <c r="H118" s="503"/>
      <c r="I118" s="860">
        <v>758799.99999999197</v>
      </c>
      <c r="J118" s="894">
        <v>758799.99999999197</v>
      </c>
      <c r="K118" s="892">
        <v>793248.034921046</v>
      </c>
    </row>
    <row r="119" spans="1:11" ht="15.75">
      <c r="A119" s="503"/>
      <c r="B119" s="1353"/>
      <c r="C119" s="903"/>
      <c r="D119" s="586" t="s">
        <v>1955</v>
      </c>
      <c r="E119" s="878"/>
      <c r="F119" s="860">
        <v>1610169</v>
      </c>
      <c r="G119" s="908"/>
      <c r="H119" s="503"/>
      <c r="I119" s="860">
        <v>1610169</v>
      </c>
      <c r="J119" s="894">
        <v>1610169</v>
      </c>
      <c r="K119" s="892">
        <v>1683267.52127148</v>
      </c>
    </row>
    <row r="120" spans="1:11" ht="15.75">
      <c r="A120" s="903">
        <v>9</v>
      </c>
      <c r="B120" s="1353"/>
      <c r="C120" s="903" t="s">
        <v>2273</v>
      </c>
      <c r="D120" s="586" t="s">
        <v>2274</v>
      </c>
      <c r="E120" s="878" t="s">
        <v>2275</v>
      </c>
      <c r="F120" s="860">
        <v>115000</v>
      </c>
      <c r="G120" s="908"/>
      <c r="H120" s="186">
        <v>116204</v>
      </c>
      <c r="I120" s="860">
        <v>0</v>
      </c>
      <c r="J120" s="894">
        <v>0</v>
      </c>
      <c r="K120" s="892">
        <v>0</v>
      </c>
    </row>
    <row r="121" spans="1:11" ht="15.75" customHeight="1">
      <c r="A121" s="503">
        <v>10</v>
      </c>
      <c r="B121" s="1347" t="s">
        <v>2276</v>
      </c>
      <c r="C121" s="903" t="s">
        <v>2277</v>
      </c>
      <c r="D121" s="586" t="s">
        <v>2278</v>
      </c>
      <c r="E121" s="878"/>
      <c r="F121" s="860">
        <v>293599.99999999901</v>
      </c>
      <c r="G121" s="908"/>
      <c r="H121" s="503"/>
      <c r="I121" s="507">
        <v>293599.99999999901</v>
      </c>
      <c r="J121" s="894">
        <v>293599.99999999901</v>
      </c>
      <c r="K121" s="892">
        <v>306928.86538326298</v>
      </c>
    </row>
    <row r="122" spans="1:11" ht="15.75">
      <c r="A122" s="903">
        <v>11</v>
      </c>
      <c r="B122" s="1347"/>
      <c r="C122" s="903" t="s">
        <v>2279</v>
      </c>
      <c r="D122" s="586" t="s">
        <v>2280</v>
      </c>
      <c r="E122" s="878"/>
      <c r="F122" s="860">
        <v>785799.99999999895</v>
      </c>
      <c r="G122" s="908"/>
      <c r="H122" s="503">
        <v>0</v>
      </c>
      <c r="I122" s="507">
        <v>785799.99999999895</v>
      </c>
      <c r="J122" s="894">
        <v>785799.99999999895</v>
      </c>
      <c r="K122" s="892">
        <v>821473.78207823401</v>
      </c>
    </row>
    <row r="123" spans="1:11" ht="15.75">
      <c r="A123" s="503">
        <v>12</v>
      </c>
      <c r="B123" s="1347"/>
      <c r="C123" s="903" t="s">
        <v>2281</v>
      </c>
      <c r="D123" s="586" t="s">
        <v>2282</v>
      </c>
      <c r="E123" s="878"/>
      <c r="F123" s="860">
        <v>379860.00000000099</v>
      </c>
      <c r="G123" s="908"/>
      <c r="H123" s="503"/>
      <c r="I123" s="507">
        <v>379860.00000000099</v>
      </c>
      <c r="J123" s="894">
        <v>379860.00000000099</v>
      </c>
      <c r="K123" s="892">
        <v>397104.900560243</v>
      </c>
    </row>
    <row r="124" spans="1:11" ht="18.75">
      <c r="A124" s="910"/>
      <c r="B124" s="910"/>
      <c r="C124" s="910"/>
      <c r="D124" s="893" t="s">
        <v>2283</v>
      </c>
      <c r="E124" s="891"/>
      <c r="F124" s="911">
        <v>9306688.9999999795</v>
      </c>
      <c r="G124" s="912">
        <v>-354936</v>
      </c>
      <c r="H124" s="911">
        <v>323056</v>
      </c>
      <c r="I124" s="911">
        <v>8629900.9999999795</v>
      </c>
      <c r="J124" s="913">
        <v>8626798.2199999895</v>
      </c>
      <c r="K124" s="911">
        <v>9018437.9753234498</v>
      </c>
    </row>
    <row r="125" spans="1:11" ht="18.75">
      <c r="A125" s="503"/>
      <c r="B125" s="503"/>
      <c r="C125" s="503"/>
      <c r="D125" s="899" t="s">
        <v>2284</v>
      </c>
      <c r="E125" s="891"/>
      <c r="F125" s="503"/>
      <c r="G125" s="508"/>
      <c r="H125" s="503"/>
      <c r="I125" s="507"/>
      <c r="J125" s="914"/>
      <c r="K125" s="892"/>
    </row>
    <row r="126" spans="1:11" ht="15" customHeight="1">
      <c r="A126" s="503">
        <v>13</v>
      </c>
      <c r="B126" s="1347" t="s">
        <v>2284</v>
      </c>
      <c r="C126" s="507" t="s">
        <v>2285</v>
      </c>
      <c r="D126" s="586" t="s">
        <v>1918</v>
      </c>
      <c r="E126" s="881" t="s">
        <v>2286</v>
      </c>
      <c r="F126" s="860">
        <v>779399.99999999395</v>
      </c>
      <c r="G126" s="908"/>
      <c r="H126" s="503"/>
      <c r="I126" s="507">
        <v>779399.99999999395</v>
      </c>
      <c r="J126" s="894">
        <v>779399.99999999395</v>
      </c>
      <c r="K126" s="892">
        <v>814783.23460393399</v>
      </c>
    </row>
    <row r="127" spans="1:11">
      <c r="A127" s="503">
        <v>14</v>
      </c>
      <c r="B127" s="1347"/>
      <c r="C127" s="507" t="s">
        <v>2287</v>
      </c>
      <c r="D127" s="586" t="s">
        <v>1920</v>
      </c>
      <c r="E127" s="878"/>
      <c r="F127" s="860">
        <v>1508799.99999999</v>
      </c>
      <c r="G127" s="908"/>
      <c r="H127" s="503"/>
      <c r="I127" s="507">
        <v>1508799.99999999</v>
      </c>
      <c r="J127" s="894">
        <v>1508799.99999999</v>
      </c>
      <c r="K127" s="892">
        <v>1577296.56706494</v>
      </c>
    </row>
    <row r="128" spans="1:11">
      <c r="A128" s="503">
        <v>15</v>
      </c>
      <c r="B128" s="1347"/>
      <c r="C128" s="507" t="s">
        <v>2288</v>
      </c>
      <c r="D128" s="586" t="s">
        <v>2289</v>
      </c>
      <c r="E128" s="878"/>
      <c r="F128" s="860">
        <v>576180</v>
      </c>
      <c r="G128" s="908"/>
      <c r="H128" s="503"/>
      <c r="I128" s="507">
        <v>576180</v>
      </c>
      <c r="J128" s="894">
        <v>576180</v>
      </c>
      <c r="K128" s="892">
        <v>602337.44433422899</v>
      </c>
    </row>
    <row r="129" spans="1:11">
      <c r="A129" s="503">
        <v>16</v>
      </c>
      <c r="B129" s="1347"/>
      <c r="C129" s="507" t="s">
        <v>2290</v>
      </c>
      <c r="D129" s="586" t="s">
        <v>2291</v>
      </c>
      <c r="E129" s="878"/>
      <c r="F129" s="860">
        <v>321600</v>
      </c>
      <c r="G129" s="508"/>
      <c r="H129" s="503"/>
      <c r="I129" s="507">
        <v>321600</v>
      </c>
      <c r="J129" s="894">
        <v>321600</v>
      </c>
      <c r="K129" s="892">
        <v>336200.01058330399</v>
      </c>
    </row>
    <row r="130" spans="1:11">
      <c r="A130" s="503">
        <v>17</v>
      </c>
      <c r="B130" s="1347"/>
      <c r="C130" s="507" t="s">
        <v>2292</v>
      </c>
      <c r="D130" s="586" t="s">
        <v>2293</v>
      </c>
      <c r="E130" s="878"/>
      <c r="F130" s="860">
        <v>1512820</v>
      </c>
      <c r="G130" s="908"/>
      <c r="H130" s="503"/>
      <c r="I130" s="860">
        <v>1512820</v>
      </c>
      <c r="J130" s="894">
        <v>1512820</v>
      </c>
      <c r="K130" s="892">
        <v>1581499.06719724</v>
      </c>
    </row>
    <row r="131" spans="1:11" ht="18.75">
      <c r="A131" s="503"/>
      <c r="B131" s="507"/>
      <c r="C131" s="507"/>
      <c r="D131" s="893" t="s">
        <v>2294</v>
      </c>
      <c r="E131" s="897"/>
      <c r="F131" s="870">
        <v>4698799.9999999804</v>
      </c>
      <c r="G131" s="871">
        <v>0</v>
      </c>
      <c r="H131" s="870">
        <v>0</v>
      </c>
      <c r="I131" s="870">
        <v>4698799.9999999804</v>
      </c>
      <c r="J131" s="870">
        <v>4698799.9999999804</v>
      </c>
      <c r="K131" s="870">
        <v>4912116.3237836501</v>
      </c>
    </row>
    <row r="132" spans="1:11" ht="18.75">
      <c r="A132" s="503"/>
      <c r="B132" s="507"/>
      <c r="C132" s="507"/>
      <c r="D132" s="899" t="s">
        <v>2291</v>
      </c>
      <c r="E132" s="897"/>
      <c r="F132" s="860"/>
      <c r="G132" s="908"/>
      <c r="H132" s="503"/>
      <c r="I132" s="507"/>
      <c r="J132" s="894"/>
      <c r="K132" s="892"/>
    </row>
    <row r="133" spans="1:11" ht="15" customHeight="1">
      <c r="A133" s="503">
        <v>18</v>
      </c>
      <c r="B133" s="1347" t="s">
        <v>2284</v>
      </c>
      <c r="C133" s="507" t="s">
        <v>2295</v>
      </c>
      <c r="D133" s="586" t="s">
        <v>1927</v>
      </c>
      <c r="E133" s="878"/>
      <c r="F133" s="860">
        <v>937660</v>
      </c>
      <c r="G133" s="908"/>
      <c r="H133" s="503"/>
      <c r="I133" s="860">
        <v>937660</v>
      </c>
      <c r="J133" s="894">
        <v>937660</v>
      </c>
      <c r="K133" s="892">
        <v>980227.928866731</v>
      </c>
    </row>
    <row r="134" spans="1:11">
      <c r="A134" s="503">
        <v>19</v>
      </c>
      <c r="B134" s="1347"/>
      <c r="C134" s="507" t="s">
        <v>2296</v>
      </c>
      <c r="D134" s="586" t="s">
        <v>1929</v>
      </c>
      <c r="E134" s="885" t="s">
        <v>2050</v>
      </c>
      <c r="F134" s="860">
        <v>1649560</v>
      </c>
      <c r="G134" s="508">
        <v>-50000</v>
      </c>
      <c r="H134" s="503"/>
      <c r="I134" s="507">
        <v>1599560</v>
      </c>
      <c r="J134" s="894">
        <v>1599560</v>
      </c>
      <c r="K134" s="892">
        <v>1672176.89343479</v>
      </c>
    </row>
    <row r="135" spans="1:11" ht="15" customHeight="1">
      <c r="A135" s="503">
        <v>20</v>
      </c>
      <c r="B135" s="1347" t="s">
        <v>2297</v>
      </c>
      <c r="C135" s="507" t="s">
        <v>2298</v>
      </c>
      <c r="D135" s="766" t="s">
        <v>1978</v>
      </c>
      <c r="E135" s="878"/>
      <c r="F135" s="860">
        <v>626800.00000000303</v>
      </c>
      <c r="G135" s="908"/>
      <c r="H135" s="503"/>
      <c r="I135" s="507">
        <v>626800.00000000303</v>
      </c>
      <c r="J135" s="894">
        <v>626800.00000000303</v>
      </c>
      <c r="K135" s="892">
        <v>655255.49326373101</v>
      </c>
    </row>
    <row r="136" spans="1:11">
      <c r="A136" s="503">
        <v>21</v>
      </c>
      <c r="B136" s="1347"/>
      <c r="C136" s="507" t="s">
        <v>2299</v>
      </c>
      <c r="D136" s="766" t="s">
        <v>1980</v>
      </c>
      <c r="E136" s="878"/>
      <c r="F136" s="860">
        <v>668520</v>
      </c>
      <c r="G136" s="908"/>
      <c r="H136" s="503">
        <v>254904</v>
      </c>
      <c r="I136" s="507">
        <v>413616.00000000099</v>
      </c>
      <c r="J136" s="894">
        <v>409792.44000000099</v>
      </c>
      <c r="K136" s="892">
        <v>428396.21475422301</v>
      </c>
    </row>
    <row r="137" spans="1:11">
      <c r="A137" s="503">
        <v>22</v>
      </c>
      <c r="B137" s="1347"/>
      <c r="C137" s="507" t="s">
        <v>2300</v>
      </c>
      <c r="D137" s="766" t="s">
        <v>2301</v>
      </c>
      <c r="E137" s="878"/>
      <c r="F137" s="860">
        <v>1218200.00000001</v>
      </c>
      <c r="G137" s="908"/>
      <c r="H137" s="503"/>
      <c r="I137" s="507">
        <v>1218200.00000001</v>
      </c>
      <c r="J137" s="894">
        <v>1218200.00000001</v>
      </c>
      <c r="K137" s="892">
        <v>1273503.89581028</v>
      </c>
    </row>
    <row r="138" spans="1:11" ht="15" customHeight="1">
      <c r="A138" s="503">
        <v>23</v>
      </c>
      <c r="B138" s="1347" t="s">
        <v>2129</v>
      </c>
      <c r="C138" s="507" t="s">
        <v>2302</v>
      </c>
      <c r="D138" s="586" t="s">
        <v>2020</v>
      </c>
      <c r="E138" s="878"/>
      <c r="F138" s="860">
        <v>57600.0000000004</v>
      </c>
      <c r="G138" s="908"/>
      <c r="H138" s="503">
        <v>26</v>
      </c>
      <c r="I138" s="507">
        <v>57574.0000000004</v>
      </c>
      <c r="J138" s="894">
        <v>57573.610000000401</v>
      </c>
      <c r="K138" s="892">
        <v>60187.339214300802</v>
      </c>
    </row>
    <row r="139" spans="1:11">
      <c r="A139" s="503">
        <v>24</v>
      </c>
      <c r="B139" s="1347"/>
      <c r="C139" s="507" t="s">
        <v>2303</v>
      </c>
      <c r="D139" s="439" t="s">
        <v>2304</v>
      </c>
      <c r="E139" s="859" t="s">
        <v>1918</v>
      </c>
      <c r="F139" s="860">
        <v>619000</v>
      </c>
      <c r="G139" s="908"/>
      <c r="H139" s="503"/>
      <c r="I139" s="507">
        <v>619000</v>
      </c>
      <c r="J139" s="894">
        <v>619000</v>
      </c>
      <c r="K139" s="892">
        <v>647101.38852943096</v>
      </c>
    </row>
    <row r="140" spans="1:11">
      <c r="A140" s="503">
        <v>25</v>
      </c>
      <c r="B140" s="1347"/>
      <c r="C140" s="507" t="s">
        <v>2305</v>
      </c>
      <c r="D140" s="439" t="s">
        <v>1213</v>
      </c>
      <c r="E140" s="878"/>
      <c r="F140" s="860">
        <v>824000</v>
      </c>
      <c r="G140" s="908"/>
      <c r="H140" s="503"/>
      <c r="I140" s="507">
        <v>824000</v>
      </c>
      <c r="J140" s="894">
        <v>824000</v>
      </c>
      <c r="K140" s="892">
        <v>861407.98731542996</v>
      </c>
    </row>
    <row r="141" spans="1:11">
      <c r="A141" s="503"/>
      <c r="B141" s="507"/>
      <c r="C141" s="507"/>
      <c r="D141" s="439" t="s">
        <v>1570</v>
      </c>
      <c r="E141" s="878"/>
      <c r="F141" s="860">
        <v>58860</v>
      </c>
      <c r="G141" s="908"/>
      <c r="H141" s="503"/>
      <c r="I141" s="507">
        <v>58860</v>
      </c>
      <c r="J141" s="894">
        <v>58860</v>
      </c>
      <c r="K141" s="892">
        <v>61532.128802653198</v>
      </c>
    </row>
    <row r="142" spans="1:11" ht="18.75">
      <c r="A142" s="910"/>
      <c r="B142" s="910"/>
      <c r="C142" s="507"/>
      <c r="D142" s="915" t="s">
        <v>2306</v>
      </c>
      <c r="E142" s="891"/>
      <c r="F142" s="911">
        <v>6660200.0000000196</v>
      </c>
      <c r="G142" s="911">
        <v>-50000</v>
      </c>
      <c r="H142" s="911">
        <v>254930</v>
      </c>
      <c r="I142" s="911">
        <v>6355270.0000000196</v>
      </c>
      <c r="J142" s="911">
        <v>6351446.0500000203</v>
      </c>
      <c r="K142" s="911">
        <v>6639789.2699915702</v>
      </c>
    </row>
    <row r="143" spans="1:11" ht="18.75">
      <c r="A143" s="503"/>
      <c r="B143" s="503"/>
      <c r="C143" s="507"/>
      <c r="D143" s="899" t="s">
        <v>973</v>
      </c>
      <c r="E143" s="891"/>
      <c r="F143" s="909"/>
      <c r="G143" s="908"/>
      <c r="H143" s="503"/>
      <c r="I143" s="507"/>
      <c r="J143" s="914"/>
      <c r="K143" s="892"/>
    </row>
    <row r="144" spans="1:11" ht="15" customHeight="1">
      <c r="A144" s="503">
        <v>27</v>
      </c>
      <c r="B144" s="1347" t="s">
        <v>973</v>
      </c>
      <c r="C144" s="507" t="s">
        <v>2307</v>
      </c>
      <c r="D144" s="586" t="s">
        <v>1221</v>
      </c>
      <c r="E144" s="878"/>
      <c r="F144" s="860">
        <v>1548300</v>
      </c>
      <c r="G144" s="908"/>
      <c r="H144" s="916">
        <v>117772</v>
      </c>
      <c r="I144" s="507">
        <v>1430528</v>
      </c>
      <c r="J144" s="894">
        <v>1428761.42</v>
      </c>
      <c r="K144" s="892">
        <v>1493624.3921797799</v>
      </c>
    </row>
    <row r="145" spans="1:11">
      <c r="A145" s="503">
        <v>28</v>
      </c>
      <c r="B145" s="1347"/>
      <c r="C145" s="507" t="s">
        <v>2308</v>
      </c>
      <c r="D145" s="586" t="s">
        <v>1215</v>
      </c>
      <c r="E145" s="878"/>
      <c r="F145" s="860">
        <v>1407690</v>
      </c>
      <c r="G145" s="908"/>
      <c r="H145" s="507">
        <v>75238</v>
      </c>
      <c r="I145" s="507">
        <v>1332452</v>
      </c>
      <c r="J145" s="894">
        <v>1331323.43</v>
      </c>
      <c r="K145" s="892">
        <v>1391762.90813371</v>
      </c>
    </row>
    <row r="146" spans="1:11">
      <c r="A146" s="503">
        <v>29</v>
      </c>
      <c r="B146" s="1347"/>
      <c r="C146" s="507" t="s">
        <v>2309</v>
      </c>
      <c r="D146" s="586" t="s">
        <v>2310</v>
      </c>
      <c r="E146" s="859"/>
      <c r="F146" s="860">
        <v>342400.00000002299</v>
      </c>
      <c r="G146" s="917"/>
      <c r="H146" s="507">
        <v>35648</v>
      </c>
      <c r="I146" s="507">
        <v>306752.00000002299</v>
      </c>
      <c r="J146" s="894">
        <v>306217.28000002302</v>
      </c>
      <c r="K146" s="892">
        <v>320118.94520148699</v>
      </c>
    </row>
    <row r="147" spans="1:11">
      <c r="A147" s="503">
        <v>30</v>
      </c>
      <c r="B147" s="1347"/>
      <c r="C147" s="507" t="s">
        <v>2311</v>
      </c>
      <c r="D147" s="918" t="s">
        <v>1908</v>
      </c>
      <c r="E147" s="859" t="s">
        <v>2312</v>
      </c>
      <c r="F147" s="919">
        <v>132120</v>
      </c>
      <c r="G147" s="917"/>
      <c r="H147" s="104">
        <v>86131</v>
      </c>
      <c r="I147" s="507">
        <v>45988.999999999898</v>
      </c>
      <c r="J147" s="894">
        <v>44697.034999999902</v>
      </c>
      <c r="K147" s="892">
        <v>46726.192910579201</v>
      </c>
    </row>
    <row r="148" spans="1:11">
      <c r="A148" s="503">
        <v>31</v>
      </c>
      <c r="B148" s="1347"/>
      <c r="C148" s="507" t="s">
        <v>2313</v>
      </c>
      <c r="D148" s="755" t="s">
        <v>1225</v>
      </c>
      <c r="E148" s="895"/>
      <c r="F148" s="860">
        <v>587040</v>
      </c>
      <c r="G148" s="920"/>
      <c r="H148" s="184">
        <v>306879</v>
      </c>
      <c r="I148" s="507">
        <v>280161</v>
      </c>
      <c r="J148" s="894">
        <v>275557.815</v>
      </c>
      <c r="K148" s="892">
        <v>288067.60049537302</v>
      </c>
    </row>
    <row r="149" spans="1:11">
      <c r="A149" s="503">
        <v>32</v>
      </c>
      <c r="B149" s="1347"/>
      <c r="C149" s="507" t="s">
        <v>2314</v>
      </c>
      <c r="D149" s="511" t="s">
        <v>2143</v>
      </c>
      <c r="E149" s="859" t="s">
        <v>2315</v>
      </c>
      <c r="F149" s="439"/>
      <c r="G149" s="921">
        <v>0</v>
      </c>
      <c r="H149" s="202"/>
      <c r="I149" s="860">
        <v>0</v>
      </c>
      <c r="J149" s="894">
        <v>0</v>
      </c>
      <c r="K149" s="892">
        <v>0</v>
      </c>
    </row>
    <row r="150" spans="1:11">
      <c r="A150" s="503"/>
      <c r="B150" s="507"/>
      <c r="C150" s="507"/>
      <c r="D150" s="511" t="s">
        <v>2050</v>
      </c>
      <c r="E150" s="859"/>
      <c r="F150" s="860">
        <v>1506720</v>
      </c>
      <c r="G150" s="921">
        <v>50000</v>
      </c>
      <c r="H150" s="202"/>
      <c r="I150" s="860">
        <v>1556720</v>
      </c>
      <c r="J150" s="894">
        <v>1556720</v>
      </c>
      <c r="K150" s="892">
        <v>1627392.0412787299</v>
      </c>
    </row>
    <row r="151" spans="1:11">
      <c r="A151" s="503"/>
      <c r="B151" s="507"/>
      <c r="C151" s="507"/>
      <c r="D151" s="511" t="s">
        <v>2052</v>
      </c>
      <c r="E151" s="859"/>
      <c r="F151" s="860">
        <v>452520</v>
      </c>
      <c r="G151" s="921"/>
      <c r="H151" s="202"/>
      <c r="I151" s="860">
        <v>452520</v>
      </c>
      <c r="J151" s="894">
        <v>452520</v>
      </c>
      <c r="K151" s="892">
        <v>473063.52235434297</v>
      </c>
    </row>
    <row r="152" spans="1:11" ht="18.75">
      <c r="A152" s="896"/>
      <c r="B152" s="896"/>
      <c r="C152" s="507"/>
      <c r="D152" s="893" t="s">
        <v>2316</v>
      </c>
      <c r="E152" s="891"/>
      <c r="F152" s="911">
        <v>5976790.0000000196</v>
      </c>
      <c r="G152" s="911">
        <v>50000</v>
      </c>
      <c r="H152" s="911">
        <v>621668</v>
      </c>
      <c r="I152" s="911">
        <v>5405122.0000000196</v>
      </c>
      <c r="J152" s="911">
        <v>5395796.98000002</v>
      </c>
      <c r="K152" s="911">
        <v>5640755.602554</v>
      </c>
    </row>
    <row r="153" spans="1:11" ht="15.75">
      <c r="A153" s="503"/>
      <c r="B153" s="503"/>
      <c r="C153" s="507"/>
      <c r="D153" s="893" t="s">
        <v>222</v>
      </c>
      <c r="E153" s="891"/>
      <c r="F153" s="503"/>
      <c r="G153" s="508"/>
      <c r="H153" s="503"/>
      <c r="I153" s="507"/>
      <c r="J153" s="894"/>
      <c r="K153" s="892"/>
    </row>
    <row r="154" spans="1:11" ht="15" customHeight="1">
      <c r="A154" s="503">
        <v>33</v>
      </c>
      <c r="B154" s="1347" t="s">
        <v>2317</v>
      </c>
      <c r="C154" s="507" t="s">
        <v>2318</v>
      </c>
      <c r="D154" s="586" t="s">
        <v>2319</v>
      </c>
      <c r="E154" s="859"/>
      <c r="F154" s="909">
        <v>649879.99999999895</v>
      </c>
      <c r="G154" s="508"/>
      <c r="H154" s="503"/>
      <c r="I154" s="507">
        <v>649879.99999999895</v>
      </c>
      <c r="J154" s="894">
        <v>649879.99999999895</v>
      </c>
      <c r="K154" s="892">
        <v>679383.28009290202</v>
      </c>
    </row>
    <row r="155" spans="1:11">
      <c r="A155" s="503">
        <v>34</v>
      </c>
      <c r="B155" s="1347"/>
      <c r="C155" s="507" t="s">
        <v>2320</v>
      </c>
      <c r="D155" s="439" t="s">
        <v>2321</v>
      </c>
      <c r="E155" s="878"/>
      <c r="F155" s="860">
        <v>516199.99999999697</v>
      </c>
      <c r="G155" s="908"/>
      <c r="H155" s="503">
        <v>75735</v>
      </c>
      <c r="I155" s="507">
        <v>440464.99999999697</v>
      </c>
      <c r="J155" s="894">
        <v>439328.97499999701</v>
      </c>
      <c r="K155" s="892">
        <v>459273.650636042</v>
      </c>
    </row>
    <row r="156" spans="1:11">
      <c r="A156" s="503">
        <v>35</v>
      </c>
      <c r="B156" s="1347"/>
      <c r="C156" s="507" t="s">
        <v>2322</v>
      </c>
      <c r="D156" s="439" t="s">
        <v>2323</v>
      </c>
      <c r="E156" s="878"/>
      <c r="F156" s="860">
        <v>51399.9999999996</v>
      </c>
      <c r="G156" s="908"/>
      <c r="H156" s="503"/>
      <c r="I156" s="507">
        <v>51399.9999999996</v>
      </c>
      <c r="J156" s="894">
        <v>51399.9999999996</v>
      </c>
      <c r="K156" s="892">
        <v>53733.459402928202</v>
      </c>
    </row>
    <row r="157" spans="1:11">
      <c r="A157" s="503">
        <v>36</v>
      </c>
      <c r="B157" s="1347"/>
      <c r="C157" s="507" t="s">
        <v>2324</v>
      </c>
      <c r="D157" s="586" t="s">
        <v>2325</v>
      </c>
      <c r="E157" s="878" t="s">
        <v>2326</v>
      </c>
      <c r="F157" s="909">
        <v>1463428</v>
      </c>
      <c r="G157" s="908">
        <v>-130372</v>
      </c>
      <c r="H157" s="184">
        <v>19073</v>
      </c>
      <c r="I157" s="507">
        <v>1313983</v>
      </c>
      <c r="J157" s="894">
        <v>1313696.905</v>
      </c>
      <c r="K157" s="892">
        <v>1373336.1733963101</v>
      </c>
    </row>
    <row r="158" spans="1:11">
      <c r="A158" s="503">
        <v>37</v>
      </c>
      <c r="B158" s="1347"/>
      <c r="C158" s="507" t="s">
        <v>2327</v>
      </c>
      <c r="D158" s="586" t="s">
        <v>2328</v>
      </c>
      <c r="E158" s="906"/>
      <c r="F158" s="860">
        <v>496400.00000000099</v>
      </c>
      <c r="G158" s="907"/>
      <c r="H158" s="503">
        <v>12458</v>
      </c>
      <c r="I158" s="507">
        <v>483942.00000000198</v>
      </c>
      <c r="J158" s="894">
        <v>483755.13000000099</v>
      </c>
      <c r="K158" s="892">
        <v>505716.66612477601</v>
      </c>
    </row>
    <row r="159" spans="1:11">
      <c r="A159" s="503">
        <v>38</v>
      </c>
      <c r="B159" s="1347"/>
      <c r="C159" s="507" t="s">
        <v>2329</v>
      </c>
      <c r="D159" s="586" t="s">
        <v>2330</v>
      </c>
      <c r="E159" s="906"/>
      <c r="F159" s="860">
        <v>792599.99999999895</v>
      </c>
      <c r="G159" s="907"/>
      <c r="H159" s="503"/>
      <c r="I159" s="507">
        <v>792599.99999999895</v>
      </c>
      <c r="J159" s="894">
        <v>792599.99999999895</v>
      </c>
      <c r="K159" s="892">
        <v>828582.48876967095</v>
      </c>
    </row>
    <row r="160" spans="1:11" ht="15" customHeight="1">
      <c r="A160" s="503">
        <v>39</v>
      </c>
      <c r="B160" s="1347" t="s">
        <v>2331</v>
      </c>
      <c r="C160" s="507" t="s">
        <v>2332</v>
      </c>
      <c r="D160" s="922" t="s">
        <v>2009</v>
      </c>
      <c r="E160" s="906"/>
      <c r="F160" s="860">
        <v>762240</v>
      </c>
      <c r="G160" s="908"/>
      <c r="H160" s="503"/>
      <c r="I160" s="507">
        <v>762240</v>
      </c>
      <c r="J160" s="894">
        <v>762240</v>
      </c>
      <c r="K160" s="892">
        <v>796844.20418848703</v>
      </c>
    </row>
    <row r="161" spans="1:11">
      <c r="A161" s="503">
        <v>40</v>
      </c>
      <c r="B161" s="1347"/>
      <c r="C161" s="507" t="s">
        <v>2333</v>
      </c>
      <c r="D161" s="586" t="s">
        <v>2005</v>
      </c>
      <c r="E161" s="885"/>
      <c r="F161" s="860">
        <v>678000.00000000198</v>
      </c>
      <c r="G161" s="908"/>
      <c r="H161" s="503"/>
      <c r="I161" s="507">
        <v>678000.00000000198</v>
      </c>
      <c r="J161" s="894">
        <v>678000.00000000198</v>
      </c>
      <c r="K161" s="892">
        <v>708779.87305808696</v>
      </c>
    </row>
    <row r="162" spans="1:11">
      <c r="A162" s="503">
        <v>41</v>
      </c>
      <c r="B162" s="1347"/>
      <c r="C162" s="507" t="s">
        <v>2334</v>
      </c>
      <c r="D162" s="586" t="s">
        <v>931</v>
      </c>
      <c r="E162" s="878"/>
      <c r="F162" s="860">
        <v>977199.99999999697</v>
      </c>
      <c r="G162" s="908"/>
      <c r="H162" s="503"/>
      <c r="I162" s="507">
        <v>977199.99999999697</v>
      </c>
      <c r="J162" s="894">
        <v>977199.99999999697</v>
      </c>
      <c r="K162" s="892">
        <v>1021562.9674813499</v>
      </c>
    </row>
    <row r="163" spans="1:11">
      <c r="A163" s="503">
        <v>42</v>
      </c>
      <c r="B163" s="1347"/>
      <c r="C163" s="507" t="s">
        <v>2335</v>
      </c>
      <c r="D163" s="922" t="s">
        <v>2336</v>
      </c>
      <c r="E163" s="885" t="s">
        <v>1945</v>
      </c>
      <c r="F163" s="860">
        <v>1023200</v>
      </c>
      <c r="G163" s="861"/>
      <c r="H163" s="503"/>
      <c r="I163" s="507">
        <v>1023200</v>
      </c>
      <c r="J163" s="894">
        <v>1023200</v>
      </c>
      <c r="K163" s="892">
        <v>1069651.27745285</v>
      </c>
    </row>
    <row r="164" spans="1:11" ht="18.75">
      <c r="A164" s="923"/>
      <c r="B164" s="923"/>
      <c r="C164" s="507"/>
      <c r="D164" s="915" t="s">
        <v>2338</v>
      </c>
      <c r="E164" s="891"/>
      <c r="F164" s="911">
        <v>7410547.9999999898</v>
      </c>
      <c r="G164" s="1171">
        <v>-130372</v>
      </c>
      <c r="H164" s="923">
        <v>107266</v>
      </c>
      <c r="I164" s="923">
        <v>7172909.9999999898</v>
      </c>
      <c r="J164" s="913">
        <v>7171301.0099999905</v>
      </c>
      <c r="K164" s="911">
        <v>7496864.0406034002</v>
      </c>
    </row>
    <row r="165" spans="1:11" ht="15.75">
      <c r="A165" s="503"/>
      <c r="B165" s="503"/>
      <c r="C165" s="507"/>
      <c r="D165" s="893" t="s">
        <v>216</v>
      </c>
      <c r="E165" s="891"/>
      <c r="F165" s="924"/>
      <c r="G165" s="925"/>
      <c r="H165" s="924"/>
      <c r="I165" s="507"/>
      <c r="J165" s="894"/>
      <c r="K165" s="892"/>
    </row>
    <row r="166" spans="1:11" ht="15" customHeight="1">
      <c r="A166" s="503">
        <v>43</v>
      </c>
      <c r="B166" s="1347" t="s">
        <v>2339</v>
      </c>
      <c r="C166" s="507" t="s">
        <v>2340</v>
      </c>
      <c r="D166" s="586" t="s">
        <v>1937</v>
      </c>
      <c r="E166" s="878"/>
      <c r="F166" s="860">
        <v>554000</v>
      </c>
      <c r="G166" s="908"/>
      <c r="H166" s="503"/>
      <c r="I166" s="507">
        <v>554000</v>
      </c>
      <c r="J166" s="894">
        <v>554000</v>
      </c>
      <c r="K166" s="892">
        <v>579150.51574362698</v>
      </c>
    </row>
    <row r="167" spans="1:11">
      <c r="A167" s="503">
        <v>44</v>
      </c>
      <c r="B167" s="1347"/>
      <c r="C167" s="507" t="s">
        <v>2341</v>
      </c>
      <c r="D167" s="586" t="s">
        <v>1939</v>
      </c>
      <c r="E167" s="906"/>
      <c r="F167" s="860">
        <v>627599.99999997695</v>
      </c>
      <c r="G167" s="907"/>
      <c r="H167" s="503"/>
      <c r="I167" s="507">
        <v>627599.99999997695</v>
      </c>
      <c r="J167" s="894">
        <v>627599.99999997695</v>
      </c>
      <c r="K167" s="892">
        <v>656091.81169799005</v>
      </c>
    </row>
    <row r="168" spans="1:11">
      <c r="A168" s="503">
        <v>45</v>
      </c>
      <c r="B168" s="1347"/>
      <c r="C168" s="507" t="s">
        <v>2342</v>
      </c>
      <c r="D168" s="586" t="s">
        <v>1935</v>
      </c>
      <c r="E168" s="878"/>
      <c r="F168" s="860">
        <v>424199.99999999697</v>
      </c>
      <c r="G168" s="908"/>
      <c r="H168" s="503"/>
      <c r="I168" s="507">
        <v>424199.99999999697</v>
      </c>
      <c r="J168" s="894">
        <v>424199.99999999697</v>
      </c>
      <c r="K168" s="892">
        <v>443457.84978058602</v>
      </c>
    </row>
    <row r="169" spans="1:11" ht="15" customHeight="1">
      <c r="A169" s="503">
        <v>46</v>
      </c>
      <c r="B169" s="1347" t="s">
        <v>2343</v>
      </c>
      <c r="C169" s="507" t="s">
        <v>2344</v>
      </c>
      <c r="D169" s="766" t="s">
        <v>2345</v>
      </c>
      <c r="E169" s="875" t="s">
        <v>2346</v>
      </c>
      <c r="F169" s="860">
        <v>1010850</v>
      </c>
      <c r="G169" s="908"/>
      <c r="H169" s="503"/>
      <c r="I169" s="507">
        <v>1010850</v>
      </c>
      <c r="J169" s="894">
        <v>1010850</v>
      </c>
      <c r="K169" s="892">
        <v>1056740.6116235501</v>
      </c>
    </row>
    <row r="170" spans="1:11">
      <c r="A170" s="503">
        <v>47</v>
      </c>
      <c r="B170" s="1347"/>
      <c r="C170" s="507" t="s">
        <v>2347</v>
      </c>
      <c r="D170" s="766" t="s">
        <v>2348</v>
      </c>
      <c r="E170" s="875" t="s">
        <v>2349</v>
      </c>
      <c r="F170" s="860">
        <v>1035600.00000001</v>
      </c>
      <c r="G170" s="908"/>
      <c r="H170" s="503"/>
      <c r="I170" s="507">
        <v>1035600.00000001</v>
      </c>
      <c r="J170" s="894">
        <v>1035600.00000001</v>
      </c>
      <c r="K170" s="892">
        <v>1082614.2131843001</v>
      </c>
    </row>
    <row r="171" spans="1:11">
      <c r="A171" s="503">
        <v>48</v>
      </c>
      <c r="B171" s="1347"/>
      <c r="C171" s="507" t="s">
        <v>2350</v>
      </c>
      <c r="D171" s="586" t="s">
        <v>2351</v>
      </c>
      <c r="E171" s="878"/>
      <c r="F171" s="860">
        <v>939000</v>
      </c>
      <c r="G171" s="508"/>
      <c r="H171" s="503"/>
      <c r="I171" s="507">
        <v>939000</v>
      </c>
      <c r="J171" s="894">
        <v>939000</v>
      </c>
      <c r="K171" s="892">
        <v>981628.76224416099</v>
      </c>
    </row>
    <row r="172" spans="1:11" ht="15" customHeight="1">
      <c r="A172" s="503">
        <v>49</v>
      </c>
      <c r="B172" s="1347" t="s">
        <v>2025</v>
      </c>
      <c r="C172" s="507" t="s">
        <v>2352</v>
      </c>
      <c r="D172" s="439" t="s">
        <v>2353</v>
      </c>
      <c r="E172" s="906"/>
      <c r="F172" s="860">
        <v>827400.00000000105</v>
      </c>
      <c r="G172" s="907"/>
      <c r="H172" s="503"/>
      <c r="I172" s="507">
        <v>827400.00000000105</v>
      </c>
      <c r="J172" s="894">
        <v>827400.00000000105</v>
      </c>
      <c r="K172" s="892">
        <v>864962.34066115099</v>
      </c>
    </row>
    <row r="173" spans="1:11">
      <c r="A173" s="503">
        <v>50</v>
      </c>
      <c r="B173" s="1347"/>
      <c r="C173" s="507" t="s">
        <v>2354</v>
      </c>
      <c r="D173" s="439" t="s">
        <v>2029</v>
      </c>
      <c r="E173" s="878"/>
      <c r="F173" s="860">
        <v>333400.00000000099</v>
      </c>
      <c r="G173" s="908"/>
      <c r="H173" s="503"/>
      <c r="I173" s="507">
        <v>333400.00000000099</v>
      </c>
      <c r="J173" s="894">
        <v>333400.00000000099</v>
      </c>
      <c r="K173" s="892">
        <v>348535.70748903602</v>
      </c>
    </row>
    <row r="174" spans="1:11">
      <c r="A174" s="503">
        <v>51</v>
      </c>
      <c r="B174" s="1347"/>
      <c r="C174" s="507" t="s">
        <v>2355</v>
      </c>
      <c r="D174" s="586" t="s">
        <v>2025</v>
      </c>
      <c r="E174" s="926"/>
      <c r="F174" s="860">
        <v>719000</v>
      </c>
      <c r="G174" s="907"/>
      <c r="H174" s="503"/>
      <c r="I174" s="507">
        <v>719000</v>
      </c>
      <c r="J174" s="894">
        <v>719000</v>
      </c>
      <c r="K174" s="892">
        <v>751641.19281528494</v>
      </c>
    </row>
    <row r="175" spans="1:11">
      <c r="A175" s="503">
        <v>52</v>
      </c>
      <c r="B175" s="503" t="s">
        <v>2331</v>
      </c>
      <c r="C175" s="507" t="s">
        <v>2356</v>
      </c>
      <c r="D175" s="586" t="s">
        <v>2357</v>
      </c>
      <c r="E175" s="906"/>
      <c r="F175" s="860">
        <v>632880</v>
      </c>
      <c r="G175" s="907"/>
      <c r="H175" s="503"/>
      <c r="I175" s="507">
        <v>632880</v>
      </c>
      <c r="J175" s="894">
        <v>632880</v>
      </c>
      <c r="K175" s="892">
        <v>661611.51336430805</v>
      </c>
    </row>
    <row r="176" spans="1:11" ht="15" customHeight="1">
      <c r="A176" s="503">
        <v>53</v>
      </c>
      <c r="B176" s="1347" t="s">
        <v>2358</v>
      </c>
      <c r="C176" s="507" t="s">
        <v>2359</v>
      </c>
      <c r="D176" s="927" t="s">
        <v>2360</v>
      </c>
      <c r="E176" s="906"/>
      <c r="F176" s="860">
        <v>6713.2662</v>
      </c>
      <c r="G176" s="907"/>
      <c r="H176" s="503"/>
      <c r="I176" s="507">
        <v>6713.2662</v>
      </c>
      <c r="J176" s="894">
        <v>6713.2662</v>
      </c>
      <c r="K176" s="892">
        <v>7018.03534666833</v>
      </c>
    </row>
    <row r="177" spans="1:11">
      <c r="A177" s="503">
        <v>54</v>
      </c>
      <c r="B177" s="1347"/>
      <c r="C177" s="507" t="s">
        <v>2361</v>
      </c>
      <c r="D177" s="927" t="s">
        <v>2362</v>
      </c>
      <c r="E177" s="906"/>
      <c r="F177" s="860">
        <v>3166.6350000000002</v>
      </c>
      <c r="G177" s="907"/>
      <c r="H177" s="503"/>
      <c r="I177" s="507">
        <v>3166.6350000000002</v>
      </c>
      <c r="J177" s="894">
        <v>3166.6350000000002</v>
      </c>
      <c r="K177" s="892">
        <v>3310.3940314473298</v>
      </c>
    </row>
    <row r="178" spans="1:11">
      <c r="A178" s="503">
        <v>55</v>
      </c>
      <c r="B178" s="1347"/>
      <c r="C178" s="507" t="s">
        <v>2363</v>
      </c>
      <c r="D178" s="927" t="s">
        <v>2364</v>
      </c>
      <c r="E178" s="906"/>
      <c r="F178" s="860">
        <v>10199.999999973999</v>
      </c>
      <c r="G178" s="907"/>
      <c r="H178" s="503"/>
      <c r="I178" s="507">
        <v>10199.999999973999</v>
      </c>
      <c r="J178" s="894">
        <v>10199.999999973999</v>
      </c>
      <c r="K178" s="892">
        <v>10663.060037129901</v>
      </c>
    </row>
    <row r="179" spans="1:11" ht="18.75">
      <c r="A179" s="923"/>
      <c r="B179" s="923"/>
      <c r="C179" s="923"/>
      <c r="D179" s="899" t="s">
        <v>2365</v>
      </c>
      <c r="E179" s="891"/>
      <c r="F179" s="911">
        <v>7124009.9011999601</v>
      </c>
      <c r="G179" s="912">
        <v>0</v>
      </c>
      <c r="H179" s="911">
        <v>0</v>
      </c>
      <c r="I179" s="911">
        <v>7124009.9011999601</v>
      </c>
      <c r="J179" s="911">
        <v>7124009.9011999601</v>
      </c>
      <c r="K179" s="911">
        <v>7447426.0080192396</v>
      </c>
    </row>
    <row r="180" spans="1:11" ht="18.75">
      <c r="A180" s="873"/>
      <c r="B180" s="873"/>
      <c r="C180" s="873"/>
      <c r="D180" s="872" t="s">
        <v>2366</v>
      </c>
      <c r="E180" s="869"/>
      <c r="F180" s="870">
        <v>41177036.901199996</v>
      </c>
      <c r="G180" s="871">
        <v>-485308</v>
      </c>
      <c r="H180" s="870">
        <v>1306920</v>
      </c>
      <c r="I180" s="870">
        <v>39386012.901199996</v>
      </c>
      <c r="J180" s="870">
        <v>39368152.161200002</v>
      </c>
      <c r="K180" s="870">
        <v>41155389.220275298</v>
      </c>
    </row>
    <row r="181" spans="1:11">
      <c r="A181" s="586"/>
      <c r="B181" s="586"/>
      <c r="C181" s="586"/>
      <c r="D181" s="439"/>
      <c r="E181" s="895"/>
      <c r="F181" s="202"/>
      <c r="G181" s="930"/>
      <c r="H181" s="202"/>
      <c r="I181" s="507"/>
      <c r="J181" s="931"/>
      <c r="K181" s="202"/>
    </row>
    <row r="182" spans="1:11" ht="23.25" customHeight="1">
      <c r="A182" s="1349" t="s">
        <v>2367</v>
      </c>
      <c r="B182" s="1349"/>
      <c r="C182" s="1349"/>
      <c r="D182" s="1349"/>
      <c r="E182" s="1349"/>
      <c r="F182" s="1349"/>
      <c r="G182" s="1349"/>
      <c r="H182" s="1349"/>
      <c r="I182" s="1349"/>
      <c r="J182" s="1349"/>
      <c r="K182" s="1349"/>
    </row>
    <row r="183" spans="1:11" ht="18.75" customHeight="1">
      <c r="A183" s="1350" t="s">
        <v>2132</v>
      </c>
      <c r="B183" s="1350"/>
      <c r="C183" s="1350"/>
      <c r="D183" s="1350"/>
      <c r="E183" s="1350"/>
      <c r="F183" s="1350"/>
      <c r="G183" s="1350"/>
      <c r="H183" s="1350"/>
      <c r="I183" s="1350"/>
      <c r="J183" s="900" t="s">
        <v>3121</v>
      </c>
      <c r="K183" s="901"/>
    </row>
    <row r="184" spans="1:11" ht="45">
      <c r="A184" s="851" t="s">
        <v>345</v>
      </c>
      <c r="B184" s="852" t="s">
        <v>2133</v>
      </c>
      <c r="C184" s="852"/>
      <c r="D184" s="853" t="s">
        <v>2134</v>
      </c>
      <c r="E184" s="854" t="s">
        <v>2368</v>
      </c>
      <c r="F184" s="851" t="s">
        <v>2135</v>
      </c>
      <c r="G184" s="489" t="s">
        <v>2136</v>
      </c>
      <c r="H184" s="851" t="s">
        <v>2137</v>
      </c>
      <c r="I184" s="851" t="s">
        <v>2138</v>
      </c>
      <c r="J184" s="902" t="s">
        <v>2139</v>
      </c>
      <c r="K184" s="851" t="s">
        <v>2140</v>
      </c>
    </row>
    <row r="185" spans="1:11" ht="18.75">
      <c r="A185" s="503"/>
      <c r="B185" s="503"/>
      <c r="C185" s="503"/>
      <c r="D185" s="899" t="s">
        <v>210</v>
      </c>
      <c r="E185" s="891"/>
      <c r="F185" s="507"/>
      <c r="G185" s="494"/>
      <c r="H185" s="507"/>
      <c r="I185" s="507"/>
      <c r="J185" s="914"/>
      <c r="K185" s="186"/>
    </row>
    <row r="186" spans="1:11" ht="15" customHeight="1">
      <c r="A186" s="503">
        <v>1</v>
      </c>
      <c r="B186" s="1347" t="s">
        <v>210</v>
      </c>
      <c r="C186" s="507" t="s">
        <v>2369</v>
      </c>
      <c r="D186" s="586" t="s">
        <v>1065</v>
      </c>
      <c r="E186" s="878" t="s">
        <v>1702</v>
      </c>
      <c r="F186" s="860">
        <v>1016000</v>
      </c>
      <c r="G186" s="932"/>
      <c r="H186" s="507">
        <v>19166</v>
      </c>
      <c r="I186" s="860">
        <v>996834</v>
      </c>
      <c r="J186" s="894">
        <v>996546.51</v>
      </c>
      <c r="K186" s="892">
        <v>1041787.7711715</v>
      </c>
    </row>
    <row r="187" spans="1:11">
      <c r="A187" s="503">
        <v>2</v>
      </c>
      <c r="B187" s="1347"/>
      <c r="C187" s="507" t="s">
        <v>2370</v>
      </c>
      <c r="D187" s="586" t="s">
        <v>1693</v>
      </c>
      <c r="E187" s="881"/>
      <c r="F187" s="860">
        <v>532000</v>
      </c>
      <c r="G187" s="932"/>
      <c r="H187" s="507"/>
      <c r="I187" s="507">
        <v>532000</v>
      </c>
      <c r="J187" s="894">
        <v>532000</v>
      </c>
      <c r="K187" s="892">
        <v>556151.75880073896</v>
      </c>
    </row>
    <row r="188" spans="1:11">
      <c r="A188" s="503">
        <v>3</v>
      </c>
      <c r="B188" s="1347"/>
      <c r="C188" s="507" t="s">
        <v>2371</v>
      </c>
      <c r="D188" s="734" t="s">
        <v>1691</v>
      </c>
      <c r="E188" s="878"/>
      <c r="F188" s="860">
        <v>786250</v>
      </c>
      <c r="G188" s="861">
        <v>-477960</v>
      </c>
      <c r="H188" s="507"/>
      <c r="I188" s="507">
        <v>308290</v>
      </c>
      <c r="J188" s="894">
        <v>308290</v>
      </c>
      <c r="K188" s="892">
        <v>322285.76263285702</v>
      </c>
    </row>
    <row r="189" spans="1:11">
      <c r="A189" s="503">
        <v>4</v>
      </c>
      <c r="B189" s="1347"/>
      <c r="C189" s="507" t="s">
        <v>2372</v>
      </c>
      <c r="D189" s="933" t="s">
        <v>1688</v>
      </c>
      <c r="E189" s="885" t="s">
        <v>2373</v>
      </c>
      <c r="F189" s="860">
        <v>0</v>
      </c>
      <c r="G189" s="861">
        <v>400000</v>
      </c>
      <c r="H189" s="507">
        <v>10302</v>
      </c>
      <c r="I189" s="507">
        <v>389698</v>
      </c>
      <c r="J189" s="894">
        <v>389543.47</v>
      </c>
      <c r="K189" s="892">
        <v>407227.98114632099</v>
      </c>
    </row>
    <row r="190" spans="1:11">
      <c r="A190" s="503">
        <v>5</v>
      </c>
      <c r="B190" s="1347"/>
      <c r="C190" s="507" t="s">
        <v>2374</v>
      </c>
      <c r="D190" s="933" t="s">
        <v>1162</v>
      </c>
      <c r="E190" s="878"/>
      <c r="F190" s="860">
        <v>44800.000000000196</v>
      </c>
      <c r="G190" s="861"/>
      <c r="H190" s="507"/>
      <c r="I190" s="507">
        <v>44800.000000000196</v>
      </c>
      <c r="J190" s="894">
        <v>44800.000000000196</v>
      </c>
      <c r="K190" s="892">
        <v>46833.8323200624</v>
      </c>
    </row>
    <row r="191" spans="1:11" ht="15" customHeight="1">
      <c r="A191" s="503"/>
      <c r="B191" s="1348" t="s">
        <v>2375</v>
      </c>
      <c r="C191" s="507" t="s">
        <v>2376</v>
      </c>
      <c r="D191" s="586" t="s">
        <v>1781</v>
      </c>
      <c r="E191" s="878"/>
      <c r="F191" s="860">
        <v>998656.68</v>
      </c>
      <c r="G191" s="861"/>
      <c r="H191" s="507"/>
      <c r="I191" s="860">
        <v>998656.68</v>
      </c>
      <c r="J191" s="894">
        <v>998656.68</v>
      </c>
      <c r="K191" s="892">
        <v>1043993.7387596</v>
      </c>
    </row>
    <row r="192" spans="1:11">
      <c r="A192" s="503">
        <v>7</v>
      </c>
      <c r="B192" s="1348"/>
      <c r="C192" s="507" t="s">
        <v>2377</v>
      </c>
      <c r="D192" s="586" t="s">
        <v>1779</v>
      </c>
      <c r="E192" s="881" t="s">
        <v>2378</v>
      </c>
      <c r="F192" s="860">
        <v>1031800</v>
      </c>
      <c r="G192" s="861">
        <v>-400000</v>
      </c>
      <c r="H192" s="507"/>
      <c r="I192" s="860">
        <v>631800.00000000303</v>
      </c>
      <c r="J192" s="894">
        <v>631800.00000000303</v>
      </c>
      <c r="K192" s="892">
        <v>660482.48347802297</v>
      </c>
    </row>
    <row r="193" spans="1:11">
      <c r="A193" s="503">
        <v>8</v>
      </c>
      <c r="B193" s="1348"/>
      <c r="C193" s="507" t="s">
        <v>2379</v>
      </c>
      <c r="D193" s="586" t="s">
        <v>1783</v>
      </c>
      <c r="E193" s="878"/>
      <c r="F193" s="860">
        <v>516000</v>
      </c>
      <c r="G193" s="861"/>
      <c r="H193" s="507"/>
      <c r="I193" s="860">
        <v>516000</v>
      </c>
      <c r="J193" s="894">
        <v>516000</v>
      </c>
      <c r="K193" s="892">
        <v>539425.39011500205</v>
      </c>
    </row>
    <row r="194" spans="1:11" ht="15" customHeight="1">
      <c r="A194" s="503">
        <v>9</v>
      </c>
      <c r="B194" s="1347" t="s">
        <v>1841</v>
      </c>
      <c r="C194" s="507" t="s">
        <v>2380</v>
      </c>
      <c r="D194" s="439" t="s">
        <v>1836</v>
      </c>
      <c r="E194" s="878"/>
      <c r="F194" s="860">
        <v>765091.99999999697</v>
      </c>
      <c r="G194" s="861"/>
      <c r="H194" s="507"/>
      <c r="I194" s="860">
        <v>765091.99999999697</v>
      </c>
      <c r="J194" s="894">
        <v>765091.99999999697</v>
      </c>
      <c r="K194" s="892">
        <v>799825.67940671695</v>
      </c>
    </row>
    <row r="195" spans="1:11">
      <c r="A195" s="503">
        <v>10</v>
      </c>
      <c r="B195" s="1347"/>
      <c r="C195" s="507" t="s">
        <v>2381</v>
      </c>
      <c r="D195" s="439" t="s">
        <v>1837</v>
      </c>
      <c r="E195" s="906"/>
      <c r="F195" s="860">
        <v>1406500</v>
      </c>
      <c r="G195" s="932"/>
      <c r="H195" s="507"/>
      <c r="I195" s="860">
        <v>1406500</v>
      </c>
      <c r="J195" s="894">
        <v>1406500</v>
      </c>
      <c r="K195" s="892">
        <v>1470352.34728053</v>
      </c>
    </row>
    <row r="196" spans="1:11">
      <c r="A196" s="503">
        <v>11</v>
      </c>
      <c r="B196" s="1347"/>
      <c r="C196" s="507" t="s">
        <v>2382</v>
      </c>
      <c r="D196" s="439" t="s">
        <v>1839</v>
      </c>
      <c r="E196" s="906"/>
      <c r="F196" s="860">
        <v>597600</v>
      </c>
      <c r="G196" s="932"/>
      <c r="H196" s="507"/>
      <c r="I196" s="860">
        <v>597600</v>
      </c>
      <c r="J196" s="894">
        <v>597600</v>
      </c>
      <c r="K196" s="892">
        <v>624729.87041225901</v>
      </c>
    </row>
    <row r="197" spans="1:11">
      <c r="A197" s="503">
        <v>13</v>
      </c>
      <c r="B197" s="1347"/>
      <c r="C197" s="507" t="s">
        <v>2383</v>
      </c>
      <c r="D197" s="586" t="s">
        <v>1841</v>
      </c>
      <c r="E197" s="906"/>
      <c r="F197" s="860">
        <v>0</v>
      </c>
      <c r="G197" s="932">
        <v>477960</v>
      </c>
      <c r="H197" s="507"/>
      <c r="I197" s="860">
        <v>477960</v>
      </c>
      <c r="J197" s="894">
        <v>477960</v>
      </c>
      <c r="K197" s="892">
        <v>499658.448564664</v>
      </c>
    </row>
    <row r="198" spans="1:11" ht="15" customHeight="1">
      <c r="A198" s="503">
        <v>31</v>
      </c>
      <c r="B198" s="1347" t="s">
        <v>1071</v>
      </c>
      <c r="C198" s="507" t="s">
        <v>2384</v>
      </c>
      <c r="D198" s="586" t="s">
        <v>1071</v>
      </c>
      <c r="E198" s="859"/>
      <c r="F198" s="860">
        <v>539865.31699999701</v>
      </c>
      <c r="G198" s="861"/>
      <c r="H198" s="507"/>
      <c r="I198" s="860">
        <v>539865.31699999701</v>
      </c>
      <c r="J198" s="894">
        <v>539865.31699999701</v>
      </c>
      <c r="K198" s="892">
        <v>564374.14579899795</v>
      </c>
    </row>
    <row r="199" spans="1:11">
      <c r="A199" s="503">
        <v>32</v>
      </c>
      <c r="B199" s="1347"/>
      <c r="C199" s="507" t="s">
        <v>2385</v>
      </c>
      <c r="D199" s="586" t="s">
        <v>2386</v>
      </c>
      <c r="E199" s="878"/>
      <c r="F199" s="860">
        <v>738264.82100000104</v>
      </c>
      <c r="G199" s="861"/>
      <c r="H199" s="507">
        <v>11231</v>
      </c>
      <c r="I199" s="860">
        <v>727033.82100000104</v>
      </c>
      <c r="J199" s="894">
        <v>726865.35600000096</v>
      </c>
      <c r="K199" s="892">
        <v>759863.62058407103</v>
      </c>
    </row>
    <row r="200" spans="1:11" ht="18.75">
      <c r="A200" s="923"/>
      <c r="B200" s="923"/>
      <c r="C200" s="923"/>
      <c r="D200" s="899" t="s">
        <v>2387</v>
      </c>
      <c r="E200" s="891"/>
      <c r="F200" s="870">
        <v>8972828.818</v>
      </c>
      <c r="G200" s="871">
        <v>0</v>
      </c>
      <c r="H200" s="870">
        <v>40699</v>
      </c>
      <c r="I200" s="870">
        <v>8932129.818</v>
      </c>
      <c r="J200" s="898">
        <v>8931519.3330000006</v>
      </c>
      <c r="K200" s="870">
        <v>9336992.8304713406</v>
      </c>
    </row>
    <row r="201" spans="1:11" ht="21">
      <c r="A201" s="503"/>
      <c r="B201" s="503"/>
      <c r="C201" s="503"/>
      <c r="D201" s="890" t="s">
        <v>2388</v>
      </c>
      <c r="E201" s="891"/>
      <c r="F201" s="507"/>
      <c r="G201" s="494"/>
      <c r="H201" s="507"/>
      <c r="I201" s="507">
        <v>0</v>
      </c>
      <c r="J201" s="914"/>
      <c r="K201" s="892"/>
    </row>
    <row r="202" spans="1:11" ht="15.75">
      <c r="A202" s="503"/>
      <c r="B202" s="935"/>
      <c r="C202" s="503"/>
      <c r="D202" s="893" t="s">
        <v>1078</v>
      </c>
      <c r="E202" s="891"/>
      <c r="F202" s="507"/>
      <c r="G202" s="494"/>
      <c r="H202" s="507"/>
      <c r="I202" s="507"/>
      <c r="J202" s="914"/>
      <c r="K202" s="892"/>
    </row>
    <row r="203" spans="1:11" ht="15" customHeight="1">
      <c r="A203" s="503">
        <v>17</v>
      </c>
      <c r="B203" s="1347" t="s">
        <v>1078</v>
      </c>
      <c r="C203" s="507" t="s">
        <v>2389</v>
      </c>
      <c r="D203" s="586" t="s">
        <v>1722</v>
      </c>
      <c r="E203" s="878"/>
      <c r="F203" s="860">
        <v>1520639.99999999</v>
      </c>
      <c r="G203" s="861"/>
      <c r="H203" s="507"/>
      <c r="I203" s="860">
        <v>1520639.99999999</v>
      </c>
      <c r="J203" s="894">
        <v>1520639.99999999</v>
      </c>
      <c r="K203" s="892">
        <v>1589674.0798923899</v>
      </c>
    </row>
    <row r="204" spans="1:11">
      <c r="A204" s="503">
        <v>14</v>
      </c>
      <c r="B204" s="1347"/>
      <c r="C204" s="507" t="s">
        <v>2390</v>
      </c>
      <c r="D204" s="586" t="s">
        <v>1724</v>
      </c>
      <c r="E204" s="878"/>
      <c r="F204" s="860">
        <v>824000</v>
      </c>
      <c r="G204" s="861"/>
      <c r="H204" s="507"/>
      <c r="I204" s="860">
        <v>824000</v>
      </c>
      <c r="J204" s="894">
        <v>824000</v>
      </c>
      <c r="K204" s="892">
        <v>861407.98731542996</v>
      </c>
    </row>
    <row r="205" spans="1:11">
      <c r="A205" s="503">
        <v>15</v>
      </c>
      <c r="B205" s="1347"/>
      <c r="C205" s="507" t="s">
        <v>2391</v>
      </c>
      <c r="D205" s="586" t="s">
        <v>1721</v>
      </c>
      <c r="E205" s="906"/>
      <c r="F205" s="860">
        <v>283280</v>
      </c>
      <c r="G205" s="932"/>
      <c r="H205" s="507">
        <v>83818</v>
      </c>
      <c r="I205" s="860">
        <v>199462</v>
      </c>
      <c r="J205" s="894">
        <v>198204.73</v>
      </c>
      <c r="K205" s="892">
        <v>207202.83682730401</v>
      </c>
    </row>
    <row r="206" spans="1:11">
      <c r="A206" s="503">
        <v>16</v>
      </c>
      <c r="B206" s="1347"/>
      <c r="C206" s="507" t="s">
        <v>2392</v>
      </c>
      <c r="D206" s="586" t="s">
        <v>1310</v>
      </c>
      <c r="E206" s="906"/>
      <c r="F206" s="860">
        <v>920000</v>
      </c>
      <c r="G206" s="932"/>
      <c r="H206" s="184"/>
      <c r="I206" s="860">
        <v>920000</v>
      </c>
      <c r="J206" s="894">
        <v>920000</v>
      </c>
      <c r="K206" s="892">
        <v>961766.19942984905</v>
      </c>
    </row>
    <row r="207" spans="1:11">
      <c r="A207" s="503">
        <v>18</v>
      </c>
      <c r="B207" s="1347"/>
      <c r="C207" s="507" t="s">
        <v>2393</v>
      </c>
      <c r="D207" s="937" t="s">
        <v>2394</v>
      </c>
      <c r="E207" s="878"/>
      <c r="F207" s="860">
        <v>668399.99999999395</v>
      </c>
      <c r="G207" s="861"/>
      <c r="H207" s="507">
        <v>489085</v>
      </c>
      <c r="I207" s="860">
        <v>179314.999999994</v>
      </c>
      <c r="J207" s="894">
        <v>171978.72499999401</v>
      </c>
      <c r="K207" s="892">
        <v>179786.22252829999</v>
      </c>
    </row>
    <row r="208" spans="1:11">
      <c r="A208" s="503">
        <v>19</v>
      </c>
      <c r="B208" s="1347"/>
      <c r="C208" s="507" t="s">
        <v>2395</v>
      </c>
      <c r="D208" s="586" t="s">
        <v>1728</v>
      </c>
      <c r="E208" s="878" t="s">
        <v>1743</v>
      </c>
      <c r="F208" s="860">
        <v>961020</v>
      </c>
      <c r="G208" s="861">
        <v>-550000</v>
      </c>
      <c r="H208" s="507"/>
      <c r="I208" s="860">
        <v>411020</v>
      </c>
      <c r="J208" s="894">
        <v>411020</v>
      </c>
      <c r="K208" s="892">
        <v>429679.50357571401</v>
      </c>
    </row>
    <row r="209" spans="1:11">
      <c r="A209" s="503">
        <v>20</v>
      </c>
      <c r="B209" s="1347"/>
      <c r="C209" s="507" t="s">
        <v>2396</v>
      </c>
      <c r="D209" s="586" t="s">
        <v>1730</v>
      </c>
      <c r="E209" s="878"/>
      <c r="F209" s="860">
        <v>158480</v>
      </c>
      <c r="G209" s="861"/>
      <c r="H209" s="507"/>
      <c r="I209" s="860">
        <v>158480</v>
      </c>
      <c r="J209" s="894">
        <v>158480</v>
      </c>
      <c r="K209" s="892">
        <v>165674.68183222</v>
      </c>
    </row>
    <row r="210" spans="1:11" ht="15" customHeight="1">
      <c r="A210" s="503">
        <v>35</v>
      </c>
      <c r="B210" s="1347" t="s">
        <v>2397</v>
      </c>
      <c r="C210" s="507" t="s">
        <v>2398</v>
      </c>
      <c r="D210" s="439" t="s">
        <v>1336</v>
      </c>
      <c r="E210" s="878" t="s">
        <v>1859</v>
      </c>
      <c r="F210" s="860">
        <v>1460460</v>
      </c>
      <c r="G210" s="861"/>
      <c r="H210" s="507"/>
      <c r="I210" s="860">
        <v>1460460</v>
      </c>
      <c r="J210" s="894">
        <v>1460460</v>
      </c>
      <c r="K210" s="892">
        <v>1526762.0256731701</v>
      </c>
    </row>
    <row r="211" spans="1:11">
      <c r="A211" s="503">
        <v>36</v>
      </c>
      <c r="B211" s="1347"/>
      <c r="C211" s="507" t="s">
        <v>2399</v>
      </c>
      <c r="D211" s="766" t="s">
        <v>1859</v>
      </c>
      <c r="E211" s="878" t="s">
        <v>2400</v>
      </c>
      <c r="F211" s="860">
        <v>548399.99999999802</v>
      </c>
      <c r="G211" s="861"/>
      <c r="H211" s="507"/>
      <c r="I211" s="860">
        <v>548399.99999999802</v>
      </c>
      <c r="J211" s="894">
        <v>548399.99999999802</v>
      </c>
      <c r="K211" s="892">
        <v>573296.28670361696</v>
      </c>
    </row>
    <row r="212" spans="1:11">
      <c r="A212" s="503">
        <v>37</v>
      </c>
      <c r="B212" s="1347"/>
      <c r="C212" s="507" t="s">
        <v>2401</v>
      </c>
      <c r="D212" s="766" t="s">
        <v>1861</v>
      </c>
      <c r="E212" s="878"/>
      <c r="F212" s="860">
        <v>779219.99999999895</v>
      </c>
      <c r="G212" s="861"/>
      <c r="H212" s="507"/>
      <c r="I212" s="860">
        <v>779219.99999999895</v>
      </c>
      <c r="J212" s="894">
        <v>779219.99999999895</v>
      </c>
      <c r="K212" s="892">
        <v>814595.06295622501</v>
      </c>
    </row>
    <row r="213" spans="1:11">
      <c r="A213" s="503"/>
      <c r="B213" s="884"/>
      <c r="C213" s="507" t="s">
        <v>2402</v>
      </c>
      <c r="D213" s="586" t="s">
        <v>1753</v>
      </c>
      <c r="E213" s="878"/>
      <c r="F213" s="860">
        <v>895199.99999999697</v>
      </c>
      <c r="G213" s="861"/>
      <c r="H213" s="507"/>
      <c r="I213" s="860">
        <v>895199.99999999697</v>
      </c>
      <c r="J213" s="894">
        <v>895199.99999999697</v>
      </c>
      <c r="K213" s="892">
        <v>935840.32796695502</v>
      </c>
    </row>
    <row r="214" spans="1:11">
      <c r="A214" s="503"/>
      <c r="B214" s="884"/>
      <c r="C214" s="507"/>
      <c r="D214" s="586" t="s">
        <v>1745</v>
      </c>
      <c r="E214" s="878"/>
      <c r="F214" s="860">
        <v>405439.99999999901</v>
      </c>
      <c r="G214" s="861"/>
      <c r="H214" s="507"/>
      <c r="I214" s="860">
        <v>405439.99999999901</v>
      </c>
      <c r="J214" s="894">
        <v>405439.99999999901</v>
      </c>
      <c r="K214" s="892">
        <v>423846.18249656301</v>
      </c>
    </row>
    <row r="215" spans="1:11" ht="37.5">
      <c r="A215" s="503"/>
      <c r="B215" s="935"/>
      <c r="C215" s="503"/>
      <c r="D215" s="899" t="s">
        <v>2403</v>
      </c>
      <c r="E215" s="891"/>
      <c r="F215" s="870">
        <v>9424539.9999999795</v>
      </c>
      <c r="G215" s="870">
        <v>-550000</v>
      </c>
      <c r="H215" s="870">
        <v>572903</v>
      </c>
      <c r="I215" s="870">
        <v>8301636.9999999804</v>
      </c>
      <c r="J215" s="870">
        <v>8293043.4549999796</v>
      </c>
      <c r="K215" s="870">
        <v>8669531.3971977402</v>
      </c>
    </row>
    <row r="216" spans="1:11">
      <c r="A216" s="503">
        <v>21</v>
      </c>
      <c r="B216" s="938"/>
      <c r="C216" s="507"/>
      <c r="D216" s="586" t="s">
        <v>1077</v>
      </c>
      <c r="E216" s="878" t="s">
        <v>2404</v>
      </c>
      <c r="F216" s="860">
        <v>136320</v>
      </c>
      <c r="G216" s="861"/>
      <c r="H216" s="507">
        <v>67909</v>
      </c>
      <c r="I216" s="507">
        <v>0</v>
      </c>
      <c r="J216" s="894">
        <v>0</v>
      </c>
      <c r="K216" s="892">
        <v>0</v>
      </c>
    </row>
    <row r="217" spans="1:11" ht="15" customHeight="1">
      <c r="A217" s="503">
        <v>22</v>
      </c>
      <c r="B217" s="1347" t="s">
        <v>2405</v>
      </c>
      <c r="C217" s="507" t="s">
        <v>2406</v>
      </c>
      <c r="D217" s="586" t="s">
        <v>1739</v>
      </c>
      <c r="E217" s="906" t="s">
        <v>2407</v>
      </c>
      <c r="F217" s="860">
        <v>545400.00000000105</v>
      </c>
      <c r="G217" s="932"/>
      <c r="H217" s="507"/>
      <c r="I217" s="860">
        <v>545400.00000000105</v>
      </c>
      <c r="J217" s="894">
        <v>545400.00000000105</v>
      </c>
      <c r="K217" s="892">
        <v>570160.09257504495</v>
      </c>
    </row>
    <row r="218" spans="1:11">
      <c r="A218" s="503">
        <v>23</v>
      </c>
      <c r="B218" s="1347"/>
      <c r="C218" s="507" t="s">
        <v>2408</v>
      </c>
      <c r="D218" s="586" t="s">
        <v>2409</v>
      </c>
      <c r="E218" s="878" t="s">
        <v>2410</v>
      </c>
      <c r="F218" s="860">
        <v>1121053</v>
      </c>
      <c r="G218" s="861">
        <v>550000</v>
      </c>
      <c r="H218" s="507"/>
      <c r="I218" s="860">
        <v>1671053</v>
      </c>
      <c r="J218" s="894">
        <v>1671053</v>
      </c>
      <c r="K218" s="892">
        <v>1746915.5357128801</v>
      </c>
    </row>
    <row r="219" spans="1:11">
      <c r="A219" s="503">
        <v>24</v>
      </c>
      <c r="B219" s="1347"/>
      <c r="C219" s="507" t="s">
        <v>2411</v>
      </c>
      <c r="D219" s="586" t="s">
        <v>2412</v>
      </c>
      <c r="E219" s="878"/>
      <c r="F219" s="860">
        <v>1143799.99999999</v>
      </c>
      <c r="G219" s="861"/>
      <c r="H219" s="507"/>
      <c r="I219" s="860">
        <v>1143799.99999999</v>
      </c>
      <c r="J219" s="894">
        <v>1143799.99999999</v>
      </c>
      <c r="K219" s="892">
        <v>1195726.2814215799</v>
      </c>
    </row>
    <row r="220" spans="1:11">
      <c r="A220" s="503">
        <v>25</v>
      </c>
      <c r="B220" s="1347"/>
      <c r="C220" s="507" t="s">
        <v>2413</v>
      </c>
      <c r="D220" s="586" t="s">
        <v>2414</v>
      </c>
      <c r="E220" s="878"/>
      <c r="F220" s="860">
        <v>430000</v>
      </c>
      <c r="G220" s="861"/>
      <c r="H220" s="507"/>
      <c r="I220" s="860">
        <v>430000</v>
      </c>
      <c r="J220" s="894">
        <v>430000</v>
      </c>
      <c r="K220" s="892">
        <v>449521.15842916898</v>
      </c>
    </row>
    <row r="221" spans="1:11" ht="15" customHeight="1">
      <c r="A221" s="503">
        <v>26</v>
      </c>
      <c r="B221" s="1347" t="s">
        <v>2415</v>
      </c>
      <c r="C221" s="507" t="s">
        <v>2416</v>
      </c>
      <c r="D221" s="586" t="s">
        <v>2417</v>
      </c>
      <c r="E221" s="878"/>
      <c r="F221" s="860">
        <v>275375</v>
      </c>
      <c r="G221" s="861"/>
      <c r="H221" s="507"/>
      <c r="I221" s="860">
        <v>275375</v>
      </c>
      <c r="J221" s="894">
        <v>275375</v>
      </c>
      <c r="K221" s="892">
        <v>287876.48605216801</v>
      </c>
    </row>
    <row r="222" spans="1:11">
      <c r="A222" s="503">
        <v>27</v>
      </c>
      <c r="B222" s="1347"/>
      <c r="C222" s="507" t="s">
        <v>2420</v>
      </c>
      <c r="D222" s="586" t="s">
        <v>3122</v>
      </c>
      <c r="E222" s="906"/>
      <c r="F222" s="860">
        <v>866700</v>
      </c>
      <c r="G222" s="932"/>
      <c r="H222" s="507"/>
      <c r="I222" s="860">
        <v>866700</v>
      </c>
      <c r="J222" s="894">
        <v>866700</v>
      </c>
      <c r="K222" s="892">
        <v>906046.48374548997</v>
      </c>
    </row>
    <row r="223" spans="1:11">
      <c r="A223" s="503"/>
      <c r="B223" s="1347"/>
      <c r="C223" s="507"/>
      <c r="D223" s="586" t="s">
        <v>2421</v>
      </c>
      <c r="E223" s="906"/>
      <c r="F223" s="860">
        <v>257861.999999997</v>
      </c>
      <c r="G223" s="932">
        <v>570000</v>
      </c>
      <c r="H223" s="507"/>
      <c r="I223" s="860">
        <v>827861.99999999697</v>
      </c>
      <c r="J223" s="894">
        <v>827861.99999999697</v>
      </c>
      <c r="K223" s="892">
        <v>865445.31455694698</v>
      </c>
    </row>
    <row r="224" spans="1:11">
      <c r="A224" s="503">
        <v>28</v>
      </c>
      <c r="B224" s="1347"/>
      <c r="C224" s="507" t="s">
        <v>2422</v>
      </c>
      <c r="D224" s="586" t="s">
        <v>2423</v>
      </c>
      <c r="E224" s="878"/>
      <c r="F224" s="860">
        <v>624875</v>
      </c>
      <c r="G224" s="861"/>
      <c r="H224" s="507"/>
      <c r="I224" s="860">
        <v>624875</v>
      </c>
      <c r="J224" s="894">
        <v>624875</v>
      </c>
      <c r="K224" s="892">
        <v>653243.10203122499</v>
      </c>
    </row>
    <row r="225" spans="1:11" ht="23.25">
      <c r="A225" s="503">
        <v>29</v>
      </c>
      <c r="B225" s="1347"/>
      <c r="C225" s="507" t="s">
        <v>2424</v>
      </c>
      <c r="D225" s="586" t="s">
        <v>2425</v>
      </c>
      <c r="E225" s="906" t="s">
        <v>1739</v>
      </c>
      <c r="F225" s="860">
        <v>0</v>
      </c>
      <c r="G225" s="861"/>
      <c r="H225" s="507"/>
      <c r="I225" s="860">
        <v>0</v>
      </c>
      <c r="J225" s="894">
        <v>0</v>
      </c>
      <c r="K225" s="892">
        <v>0</v>
      </c>
    </row>
    <row r="226" spans="1:11" ht="15" customHeight="1">
      <c r="A226" s="503">
        <v>33</v>
      </c>
      <c r="B226" s="1347" t="s">
        <v>1329</v>
      </c>
      <c r="C226" s="507" t="s">
        <v>2426</v>
      </c>
      <c r="D226" s="939" t="s">
        <v>57</v>
      </c>
      <c r="E226" s="859"/>
      <c r="F226" s="860">
        <v>869446.38000000198</v>
      </c>
      <c r="G226" s="861">
        <v>-570000</v>
      </c>
      <c r="H226" s="507"/>
      <c r="I226" s="860">
        <v>299446.38000000198</v>
      </c>
      <c r="J226" s="894">
        <v>299446.38000000198</v>
      </c>
      <c r="K226" s="862">
        <v>313040.659593074</v>
      </c>
    </row>
    <row r="227" spans="1:11">
      <c r="A227" s="503">
        <v>34</v>
      </c>
      <c r="B227" s="1347"/>
      <c r="C227" s="507" t="s">
        <v>2427</v>
      </c>
      <c r="D227" s="522" t="s">
        <v>1801</v>
      </c>
      <c r="E227" s="859"/>
      <c r="F227" s="860">
        <v>308760</v>
      </c>
      <c r="G227" s="861"/>
      <c r="H227" s="860"/>
      <c r="I227" s="860">
        <v>308760</v>
      </c>
      <c r="J227" s="894">
        <v>308760</v>
      </c>
      <c r="K227" s="862">
        <v>322777.099713</v>
      </c>
    </row>
    <row r="228" spans="1:11" ht="15" customHeight="1">
      <c r="A228" s="503">
        <v>38</v>
      </c>
      <c r="B228" s="1347" t="s">
        <v>2121</v>
      </c>
      <c r="C228" s="507" t="s">
        <v>2428</v>
      </c>
      <c r="D228" s="734" t="s">
        <v>1797</v>
      </c>
      <c r="E228" s="876"/>
      <c r="F228" s="860">
        <v>637260</v>
      </c>
      <c r="G228" s="861"/>
      <c r="H228" s="507"/>
      <c r="I228" s="860">
        <v>637260</v>
      </c>
      <c r="J228" s="894">
        <v>637260</v>
      </c>
      <c r="K228" s="892">
        <v>666190.35679202795</v>
      </c>
    </row>
    <row r="229" spans="1:11">
      <c r="A229" s="503">
        <v>39</v>
      </c>
      <c r="B229" s="1347"/>
      <c r="C229" s="507" t="s">
        <v>2429</v>
      </c>
      <c r="D229" s="734" t="s">
        <v>1875</v>
      </c>
      <c r="E229" s="876"/>
      <c r="F229" s="860">
        <v>113180</v>
      </c>
      <c r="G229" s="861"/>
      <c r="H229" s="507"/>
      <c r="I229" s="860">
        <v>113180</v>
      </c>
      <c r="J229" s="894">
        <v>113180</v>
      </c>
      <c r="K229" s="892">
        <v>118318.15049072899</v>
      </c>
    </row>
    <row r="230" spans="1:11">
      <c r="A230" s="503">
        <v>40</v>
      </c>
      <c r="B230" s="1347"/>
      <c r="C230" s="507" t="s">
        <v>2430</v>
      </c>
      <c r="D230" s="734" t="s">
        <v>1877</v>
      </c>
      <c r="E230" s="876"/>
      <c r="F230" s="860">
        <v>1051720</v>
      </c>
      <c r="G230" s="861"/>
      <c r="H230" s="507"/>
      <c r="I230" s="860">
        <v>1051720</v>
      </c>
      <c r="J230" s="894">
        <v>1051720</v>
      </c>
      <c r="K230" s="892">
        <v>1099466.02963518</v>
      </c>
    </row>
    <row r="231" spans="1:11" ht="18.75">
      <c r="A231" s="923"/>
      <c r="B231" s="923"/>
      <c r="C231" s="923"/>
      <c r="D231" s="899" t="s">
        <v>2431</v>
      </c>
      <c r="E231" s="891"/>
      <c r="F231" s="870">
        <v>8381751.3799999896</v>
      </c>
      <c r="G231" s="871">
        <v>550000</v>
      </c>
      <c r="H231" s="870">
        <v>67909</v>
      </c>
      <c r="I231" s="870">
        <v>8795431.3799999896</v>
      </c>
      <c r="J231" s="898">
        <v>8795431.3799999896</v>
      </c>
      <c r="K231" s="870">
        <v>9194726.7507485095</v>
      </c>
    </row>
    <row r="232" spans="1:11" ht="21">
      <c r="A232" s="503"/>
      <c r="B232" s="503"/>
      <c r="C232" s="503"/>
      <c r="D232" s="890" t="s">
        <v>979</v>
      </c>
      <c r="E232" s="891"/>
      <c r="F232" s="507"/>
      <c r="G232" s="494"/>
      <c r="H232" s="507"/>
      <c r="I232" s="507"/>
      <c r="J232" s="914"/>
      <c r="K232" s="892"/>
    </row>
    <row r="233" spans="1:11" ht="34.5" customHeight="1">
      <c r="A233" s="503">
        <v>41</v>
      </c>
      <c r="B233" s="1347" t="s">
        <v>162</v>
      </c>
      <c r="C233" s="507" t="s">
        <v>2432</v>
      </c>
      <c r="D233" s="940" t="s">
        <v>162</v>
      </c>
      <c r="E233" s="878" t="s">
        <v>2433</v>
      </c>
      <c r="F233" s="860">
        <v>539220</v>
      </c>
      <c r="G233" s="861"/>
      <c r="H233" s="860"/>
      <c r="I233" s="860">
        <v>539220</v>
      </c>
      <c r="J233" s="894">
        <v>539220</v>
      </c>
      <c r="K233" s="862">
        <v>563699.53267017798</v>
      </c>
    </row>
    <row r="234" spans="1:11">
      <c r="A234" s="507">
        <v>42</v>
      </c>
      <c r="B234" s="1347"/>
      <c r="C234" s="507" t="s">
        <v>2434</v>
      </c>
      <c r="D234" s="439" t="s">
        <v>1639</v>
      </c>
      <c r="E234" s="944" t="s">
        <v>2435</v>
      </c>
      <c r="F234" s="860">
        <v>1386666.325</v>
      </c>
      <c r="G234" s="861">
        <v>-100000</v>
      </c>
      <c r="H234" s="507"/>
      <c r="I234" s="860">
        <v>1286666.325</v>
      </c>
      <c r="J234" s="894">
        <v>1286666.325</v>
      </c>
      <c r="K234" s="892">
        <v>1345078.4579669801</v>
      </c>
    </row>
    <row r="235" spans="1:11">
      <c r="A235" s="503">
        <v>43</v>
      </c>
      <c r="B235" s="1347"/>
      <c r="C235" s="507" t="s">
        <v>2436</v>
      </c>
      <c r="D235" s="439" t="s">
        <v>1641</v>
      </c>
      <c r="E235" s="945" t="s">
        <v>2437</v>
      </c>
      <c r="F235" s="860">
        <v>915000</v>
      </c>
      <c r="G235" s="861"/>
      <c r="H235" s="507"/>
      <c r="I235" s="860">
        <v>915000</v>
      </c>
      <c r="J235" s="894">
        <v>915000</v>
      </c>
      <c r="K235" s="892">
        <v>956539.20921555697</v>
      </c>
    </row>
    <row r="236" spans="1:11">
      <c r="A236" s="507">
        <v>44</v>
      </c>
      <c r="B236" s="1347"/>
      <c r="C236" s="507" t="s">
        <v>2438</v>
      </c>
      <c r="D236" s="439" t="s">
        <v>979</v>
      </c>
      <c r="E236" s="946" t="s">
        <v>2439</v>
      </c>
      <c r="F236" s="860">
        <v>57880</v>
      </c>
      <c r="G236" s="861">
        <v>100000</v>
      </c>
      <c r="H236" s="507">
        <v>128539</v>
      </c>
      <c r="I236" s="860">
        <v>29341</v>
      </c>
      <c r="J236" s="894">
        <v>27412.915000000001</v>
      </c>
      <c r="K236" s="892">
        <v>28657.407690047301</v>
      </c>
    </row>
    <row r="237" spans="1:11">
      <c r="A237" s="503">
        <v>45</v>
      </c>
      <c r="B237" s="1347"/>
      <c r="C237" s="507" t="s">
        <v>2440</v>
      </c>
      <c r="D237" s="439" t="s">
        <v>1644</v>
      </c>
      <c r="E237" s="947"/>
      <c r="F237" s="860">
        <v>367200.00000001199</v>
      </c>
      <c r="G237" s="491"/>
      <c r="H237" s="864">
        <v>200196</v>
      </c>
      <c r="I237" s="860">
        <v>167004.00000001199</v>
      </c>
      <c r="J237" s="894">
        <v>164001.06000001199</v>
      </c>
      <c r="K237" s="892">
        <v>171446.38715073699</v>
      </c>
    </row>
    <row r="238" spans="1:11">
      <c r="A238" s="507">
        <v>46</v>
      </c>
      <c r="B238" s="1347"/>
      <c r="C238" s="507" t="s">
        <v>2441</v>
      </c>
      <c r="D238" s="439" t="s">
        <v>1323</v>
      </c>
      <c r="E238" s="945" t="s">
        <v>2442</v>
      </c>
      <c r="F238" s="860">
        <v>1047799.99999999</v>
      </c>
      <c r="G238" s="861"/>
      <c r="H238" s="507"/>
      <c r="I238" s="860">
        <v>1047799.99999999</v>
      </c>
      <c r="J238" s="894">
        <v>1047799.99999999</v>
      </c>
      <c r="K238" s="892">
        <v>1095368.0693071601</v>
      </c>
    </row>
    <row r="239" spans="1:11">
      <c r="A239" s="503">
        <v>47</v>
      </c>
      <c r="B239" s="1347"/>
      <c r="C239" s="507" t="s">
        <v>2443</v>
      </c>
      <c r="D239" s="439" t="s">
        <v>1647</v>
      </c>
      <c r="E239" s="878"/>
      <c r="F239" s="860">
        <v>353800.00000000303</v>
      </c>
      <c r="G239" s="861"/>
      <c r="H239" s="507"/>
      <c r="I239" s="860">
        <v>353800.00000000303</v>
      </c>
      <c r="J239" s="894">
        <v>353800.00000000303</v>
      </c>
      <c r="K239" s="892">
        <v>369861.82756335201</v>
      </c>
    </row>
    <row r="240" spans="1:11" ht="30">
      <c r="A240" s="507">
        <v>48</v>
      </c>
      <c r="B240" s="507" t="s">
        <v>1323</v>
      </c>
      <c r="C240" s="507" t="s">
        <v>2444</v>
      </c>
      <c r="D240" s="439" t="s">
        <v>1655</v>
      </c>
      <c r="E240" s="944" t="s">
        <v>2435</v>
      </c>
      <c r="F240" s="860">
        <v>1768650</v>
      </c>
      <c r="G240" s="861"/>
      <c r="H240" s="507">
        <v>47264</v>
      </c>
      <c r="I240" s="860">
        <v>1721386</v>
      </c>
      <c r="J240" s="894">
        <v>1720677.04</v>
      </c>
      <c r="K240" s="892">
        <v>1798792.41000761</v>
      </c>
    </row>
    <row r="241" spans="1:11" ht="15" customHeight="1">
      <c r="A241" s="507">
        <v>50</v>
      </c>
      <c r="B241" s="1347" t="s">
        <v>1337</v>
      </c>
      <c r="C241" s="507" t="s">
        <v>2445</v>
      </c>
      <c r="D241" s="948" t="s">
        <v>1865</v>
      </c>
      <c r="E241" s="878"/>
      <c r="F241" s="860">
        <v>7660</v>
      </c>
      <c r="G241" s="861"/>
      <c r="H241" s="507"/>
      <c r="I241" s="860">
        <v>7660</v>
      </c>
      <c r="J241" s="894">
        <v>7660</v>
      </c>
      <c r="K241" s="892">
        <v>8007.7490082963504</v>
      </c>
    </row>
    <row r="242" spans="1:11">
      <c r="A242" s="503">
        <v>51</v>
      </c>
      <c r="B242" s="1347"/>
      <c r="C242" s="507" t="s">
        <v>2446</v>
      </c>
      <c r="D242" s="948" t="s">
        <v>1867</v>
      </c>
      <c r="E242" s="878"/>
      <c r="F242" s="860">
        <v>15140</v>
      </c>
      <c r="G242" s="861"/>
      <c r="H242" s="507"/>
      <c r="I242" s="860">
        <v>15140</v>
      </c>
      <c r="J242" s="894">
        <v>15140</v>
      </c>
      <c r="K242" s="892">
        <v>15827.326368878201</v>
      </c>
    </row>
    <row r="243" spans="1:11">
      <c r="A243" s="507">
        <v>52</v>
      </c>
      <c r="B243" s="1347"/>
      <c r="C243" s="507" t="s">
        <v>2447</v>
      </c>
      <c r="D243" s="948" t="s">
        <v>1869</v>
      </c>
      <c r="E243" s="878"/>
      <c r="F243" s="860">
        <v>16160</v>
      </c>
      <c r="G243" s="861"/>
      <c r="H243" s="507"/>
      <c r="I243" s="860">
        <v>16160</v>
      </c>
      <c r="J243" s="894">
        <v>16160</v>
      </c>
      <c r="K243" s="892">
        <v>16893.6323725939</v>
      </c>
    </row>
    <row r="244" spans="1:11" ht="15" customHeight="1">
      <c r="A244" s="503">
        <v>53</v>
      </c>
      <c r="B244" s="1347" t="s">
        <v>979</v>
      </c>
      <c r="C244" s="507" t="s">
        <v>2448</v>
      </c>
      <c r="D244" s="948" t="s">
        <v>1883</v>
      </c>
      <c r="E244" s="945" t="s">
        <v>2437</v>
      </c>
      <c r="F244" s="860">
        <v>623478.44129999995</v>
      </c>
      <c r="G244" s="861"/>
      <c r="H244" s="507"/>
      <c r="I244" s="860">
        <v>623478.44129999995</v>
      </c>
      <c r="J244" s="894">
        <v>623478.44129999995</v>
      </c>
      <c r="K244" s="892">
        <v>651783.14229950798</v>
      </c>
    </row>
    <row r="245" spans="1:11">
      <c r="A245" s="507">
        <v>54</v>
      </c>
      <c r="B245" s="1347"/>
      <c r="C245" s="507" t="s">
        <v>2449</v>
      </c>
      <c r="D245" s="948" t="s">
        <v>1885</v>
      </c>
      <c r="E245" s="878"/>
      <c r="F245" s="860">
        <v>25453.269700000001</v>
      </c>
      <c r="G245" s="861"/>
      <c r="H245" s="507"/>
      <c r="I245" s="860">
        <v>25453.269700000001</v>
      </c>
      <c r="J245" s="894">
        <v>25453.269700000001</v>
      </c>
      <c r="K245" s="892">
        <v>26608.798328730401</v>
      </c>
    </row>
    <row r="246" spans="1:11">
      <c r="A246" s="507"/>
      <c r="B246" s="938"/>
      <c r="C246" s="507" t="s">
        <v>2450</v>
      </c>
      <c r="D246" s="725" t="s">
        <v>1785</v>
      </c>
      <c r="E246" s="949"/>
      <c r="F246" s="860">
        <v>629360</v>
      </c>
      <c r="G246" s="861"/>
      <c r="H246" s="507"/>
      <c r="I246" s="860">
        <v>629360</v>
      </c>
      <c r="J246" s="894">
        <v>629360</v>
      </c>
      <c r="K246" s="892">
        <v>657931.71225344494</v>
      </c>
    </row>
    <row r="247" spans="1:11" ht="15" customHeight="1">
      <c r="A247" s="507"/>
      <c r="B247" s="1347" t="s">
        <v>1323</v>
      </c>
      <c r="C247" s="507" t="s">
        <v>2465</v>
      </c>
      <c r="D247" s="940" t="s">
        <v>1651</v>
      </c>
      <c r="E247" s="859"/>
      <c r="F247" s="860">
        <v>774959.99999999197</v>
      </c>
      <c r="G247" s="861"/>
      <c r="H247" s="507"/>
      <c r="I247" s="860">
        <v>774959.99999999197</v>
      </c>
      <c r="J247" s="894">
        <v>774959.99999999197</v>
      </c>
      <c r="K247" s="892">
        <v>810141.66729363904</v>
      </c>
    </row>
    <row r="248" spans="1:11">
      <c r="A248" s="507"/>
      <c r="B248" s="1347"/>
      <c r="C248" s="507" t="s">
        <v>2466</v>
      </c>
      <c r="D248" s="439" t="s">
        <v>1657</v>
      </c>
      <c r="E248" s="859"/>
      <c r="F248" s="860">
        <v>614000</v>
      </c>
      <c r="G248" s="861"/>
      <c r="H248" s="507"/>
      <c r="I248" s="860">
        <v>614000</v>
      </c>
      <c r="J248" s="894">
        <v>614000</v>
      </c>
      <c r="K248" s="892">
        <v>641874.398315139</v>
      </c>
    </row>
    <row r="249" spans="1:11" ht="18.75">
      <c r="A249" s="503"/>
      <c r="B249" s="923"/>
      <c r="C249" s="923"/>
      <c r="D249" s="899" t="s">
        <v>2451</v>
      </c>
      <c r="E249" s="891"/>
      <c r="F249" s="870">
        <v>9142428.0360000003</v>
      </c>
      <c r="G249" s="870">
        <v>0</v>
      </c>
      <c r="H249" s="870">
        <v>375999</v>
      </c>
      <c r="I249" s="870">
        <v>8766429.0359999891</v>
      </c>
      <c r="J249" s="870">
        <v>8760789.0510000009</v>
      </c>
      <c r="K249" s="870">
        <v>9158511.7278118506</v>
      </c>
    </row>
    <row r="250" spans="1:11" ht="21">
      <c r="A250" s="507"/>
      <c r="B250" s="503"/>
      <c r="C250" s="503"/>
      <c r="D250" s="890" t="s">
        <v>924</v>
      </c>
      <c r="E250" s="891"/>
      <c r="F250" s="507"/>
      <c r="G250" s="494"/>
      <c r="H250" s="507"/>
      <c r="I250" s="507">
        <v>0</v>
      </c>
      <c r="J250" s="914"/>
      <c r="K250" s="892"/>
    </row>
    <row r="251" spans="1:11" ht="15" customHeight="1">
      <c r="A251" s="503">
        <v>57</v>
      </c>
      <c r="B251" s="1347" t="s">
        <v>158</v>
      </c>
      <c r="C251" s="507" t="s">
        <v>2453</v>
      </c>
      <c r="D251" s="511" t="s">
        <v>2454</v>
      </c>
      <c r="E251" s="954" t="s">
        <v>3123</v>
      </c>
      <c r="F251" s="860">
        <v>1402980</v>
      </c>
      <c r="G251" s="861"/>
      <c r="H251" s="507">
        <v>159879</v>
      </c>
      <c r="I251" s="860">
        <v>1243101</v>
      </c>
      <c r="J251" s="894">
        <v>1240702.8149999999</v>
      </c>
      <c r="K251" s="862">
        <v>1297028.29457007</v>
      </c>
    </row>
    <row r="252" spans="1:11">
      <c r="A252" s="507">
        <v>58</v>
      </c>
      <c r="B252" s="1347"/>
      <c r="C252" s="507" t="s">
        <v>2455</v>
      </c>
      <c r="D252" s="511" t="s">
        <v>1622</v>
      </c>
      <c r="E252" s="876"/>
      <c r="F252" s="860">
        <v>598265</v>
      </c>
      <c r="G252" s="861"/>
      <c r="H252" s="289">
        <v>107521</v>
      </c>
      <c r="I252" s="860">
        <v>490744</v>
      </c>
      <c r="J252" s="894">
        <v>489131.185</v>
      </c>
      <c r="K252" s="862">
        <v>511336.783500074</v>
      </c>
    </row>
    <row r="253" spans="1:11">
      <c r="A253" s="503">
        <v>59</v>
      </c>
      <c r="B253" s="1347"/>
      <c r="C253" s="507" t="s">
        <v>2456</v>
      </c>
      <c r="D253" s="511" t="s">
        <v>989</v>
      </c>
      <c r="E253" s="876"/>
      <c r="F253" s="860">
        <v>970080.00000000198</v>
      </c>
      <c r="G253" s="861"/>
      <c r="H253" s="507">
        <v>24602</v>
      </c>
      <c r="I253" s="860">
        <v>945478.00000000198</v>
      </c>
      <c r="J253" s="894">
        <v>945108.97000000195</v>
      </c>
      <c r="K253" s="862">
        <v>988015.06752604502</v>
      </c>
    </row>
    <row r="254" spans="1:11">
      <c r="A254" s="507">
        <v>60</v>
      </c>
      <c r="B254" s="1347"/>
      <c r="C254" s="507"/>
      <c r="D254" s="511" t="s">
        <v>2457</v>
      </c>
      <c r="E254" s="859"/>
      <c r="F254" s="860">
        <v>32933.2509999998</v>
      </c>
      <c r="G254" s="861"/>
      <c r="H254" s="860">
        <v>37491</v>
      </c>
      <c r="I254" s="507">
        <v>0</v>
      </c>
      <c r="J254" s="894">
        <v>0</v>
      </c>
      <c r="K254" s="862">
        <v>0</v>
      </c>
    </row>
    <row r="255" spans="1:11" ht="15" customHeight="1">
      <c r="A255" s="503">
        <v>61</v>
      </c>
      <c r="B255" s="1347" t="s">
        <v>924</v>
      </c>
      <c r="C255" s="507" t="s">
        <v>2458</v>
      </c>
      <c r="D255" s="511" t="s">
        <v>1610</v>
      </c>
      <c r="E255" s="876"/>
      <c r="F255" s="860">
        <v>380400.00000000902</v>
      </c>
      <c r="G255" s="861"/>
      <c r="H255" s="507">
        <v>133051</v>
      </c>
      <c r="I255" s="860">
        <v>247349.00000000899</v>
      </c>
      <c r="J255" s="894">
        <v>245353.23500000901</v>
      </c>
      <c r="K255" s="862">
        <v>256491.79167801901</v>
      </c>
    </row>
    <row r="256" spans="1:11">
      <c r="A256" s="507">
        <v>62</v>
      </c>
      <c r="B256" s="1347"/>
      <c r="C256" s="507" t="s">
        <v>2488</v>
      </c>
      <c r="D256" s="511" t="s">
        <v>2489</v>
      </c>
      <c r="E256" s="955"/>
      <c r="F256" s="860">
        <v>942799.99999998801</v>
      </c>
      <c r="G256" s="861"/>
      <c r="H256" s="507">
        <v>16205</v>
      </c>
      <c r="I256" s="860">
        <v>926594.99999998801</v>
      </c>
      <c r="J256" s="894">
        <v>926351.92499998806</v>
      </c>
      <c r="K256" s="862">
        <v>968406.48939322203</v>
      </c>
    </row>
    <row r="257" spans="1:11" ht="30">
      <c r="A257" s="507">
        <v>64</v>
      </c>
      <c r="B257" s="507" t="s">
        <v>1323</v>
      </c>
      <c r="C257" s="507" t="s">
        <v>2460</v>
      </c>
      <c r="D257" s="940" t="s">
        <v>1653</v>
      </c>
      <c r="E257" s="876"/>
      <c r="F257" s="860">
        <v>572279.99999998405</v>
      </c>
      <c r="G257" s="861"/>
      <c r="H257" s="507"/>
      <c r="I257" s="860">
        <v>572279.99999998405</v>
      </c>
      <c r="J257" s="894">
        <v>572279.99999998405</v>
      </c>
      <c r="K257" s="862">
        <v>598260.391967064</v>
      </c>
    </row>
    <row r="258" spans="1:11" ht="15" customHeight="1">
      <c r="A258" s="507">
        <v>70</v>
      </c>
      <c r="B258" s="1347" t="s">
        <v>1812</v>
      </c>
      <c r="C258" s="507" t="s">
        <v>2461</v>
      </c>
      <c r="D258" s="940" t="s">
        <v>1806</v>
      </c>
      <c r="E258" s="955" t="s">
        <v>2482</v>
      </c>
      <c r="F258" s="860">
        <v>432599.99999999901</v>
      </c>
      <c r="G258" s="861"/>
      <c r="H258" s="507"/>
      <c r="I258" s="860">
        <v>432599.99999999901</v>
      </c>
      <c r="J258" s="894">
        <v>432599.99999999901</v>
      </c>
      <c r="K258" s="862">
        <v>452239.19334059901</v>
      </c>
    </row>
    <row r="259" spans="1:11">
      <c r="A259" s="503">
        <v>71</v>
      </c>
      <c r="B259" s="1347"/>
      <c r="C259" s="507" t="s">
        <v>2462</v>
      </c>
      <c r="D259" s="940" t="s">
        <v>2463</v>
      </c>
      <c r="E259" s="859"/>
      <c r="F259" s="860">
        <v>1045199.7387</v>
      </c>
      <c r="G259" s="861"/>
      <c r="H259" s="507"/>
      <c r="I259" s="860">
        <v>1045199.7387</v>
      </c>
      <c r="J259" s="894">
        <v>1045199.7387</v>
      </c>
      <c r="K259" s="862">
        <v>1092649.7612332299</v>
      </c>
    </row>
    <row r="260" spans="1:11">
      <c r="A260" s="507">
        <v>72</v>
      </c>
      <c r="B260" s="1347"/>
      <c r="C260" s="507" t="s">
        <v>2464</v>
      </c>
      <c r="D260" s="940" t="s">
        <v>1812</v>
      </c>
      <c r="E260" s="859"/>
      <c r="F260" s="860">
        <v>717799.99999999604</v>
      </c>
      <c r="G260" s="861"/>
      <c r="H260" s="507"/>
      <c r="I260" s="860">
        <v>717799.99999999604</v>
      </c>
      <c r="J260" s="894">
        <v>717799.99999999604</v>
      </c>
      <c r="K260" s="862">
        <v>750386.71516384999</v>
      </c>
    </row>
    <row r="261" spans="1:11" ht="15" customHeight="1">
      <c r="A261" s="503">
        <v>65</v>
      </c>
      <c r="B261" s="1347" t="s">
        <v>904</v>
      </c>
      <c r="C261" s="507" t="s">
        <v>2468</v>
      </c>
      <c r="D261" s="511" t="s">
        <v>1668</v>
      </c>
      <c r="E261" s="876" t="s">
        <v>2469</v>
      </c>
      <c r="F261" s="860">
        <v>665731.66900000395</v>
      </c>
      <c r="G261" s="861"/>
      <c r="H261" s="507">
        <v>21932</v>
      </c>
      <c r="I261" s="860">
        <v>643799.66900000395</v>
      </c>
      <c r="J261" s="894">
        <v>643470.68900000397</v>
      </c>
      <c r="K261" s="862">
        <v>672682.99891743495</v>
      </c>
    </row>
    <row r="262" spans="1:11" ht="33.75">
      <c r="A262" s="507">
        <v>66</v>
      </c>
      <c r="B262" s="1347"/>
      <c r="C262" s="507" t="s">
        <v>2470</v>
      </c>
      <c r="D262" s="511" t="s">
        <v>1665</v>
      </c>
      <c r="E262" s="958" t="s">
        <v>2471</v>
      </c>
      <c r="F262" s="860">
        <v>368000</v>
      </c>
      <c r="G262" s="959"/>
      <c r="H262" s="960"/>
      <c r="I262" s="860">
        <v>368000</v>
      </c>
      <c r="J262" s="894">
        <v>368000</v>
      </c>
      <c r="K262" s="862">
        <v>384706.47977193998</v>
      </c>
    </row>
    <row r="263" spans="1:11">
      <c r="A263" s="503">
        <v>67</v>
      </c>
      <c r="B263" s="1347"/>
      <c r="C263" s="507" t="s">
        <v>2472</v>
      </c>
      <c r="D263" s="511" t="s">
        <v>1662</v>
      </c>
      <c r="E263" s="876"/>
      <c r="F263" s="860">
        <v>10280</v>
      </c>
      <c r="G263" s="861"/>
      <c r="H263" s="507"/>
      <c r="I263" s="860">
        <v>0</v>
      </c>
      <c r="J263" s="894">
        <v>0</v>
      </c>
      <c r="K263" s="862">
        <v>0</v>
      </c>
    </row>
    <row r="264" spans="1:11">
      <c r="A264" s="507">
        <v>68</v>
      </c>
      <c r="B264" s="1347"/>
      <c r="C264" s="507" t="s">
        <v>2473</v>
      </c>
      <c r="D264" s="511" t="s">
        <v>2474</v>
      </c>
      <c r="E264" s="926"/>
      <c r="F264" s="860">
        <v>61603.839</v>
      </c>
      <c r="G264" s="932"/>
      <c r="H264" s="507">
        <v>27796</v>
      </c>
      <c r="I264" s="860">
        <v>33807.839</v>
      </c>
      <c r="J264" s="894">
        <v>33390.898999999998</v>
      </c>
      <c r="K264" s="862">
        <v>34906.780463886898</v>
      </c>
    </row>
    <row r="265" spans="1:11">
      <c r="A265" s="507"/>
      <c r="B265" s="1347"/>
      <c r="C265" s="507" t="s">
        <v>2475</v>
      </c>
      <c r="D265" s="511" t="s">
        <v>1675</v>
      </c>
      <c r="E265" s="926"/>
      <c r="F265" s="860">
        <v>290252.60769999999</v>
      </c>
      <c r="G265" s="932"/>
      <c r="H265" s="507"/>
      <c r="I265" s="860">
        <v>290252.60769999999</v>
      </c>
      <c r="J265" s="894">
        <v>290252.60769999999</v>
      </c>
      <c r="K265" s="862">
        <v>303429.508024165</v>
      </c>
    </row>
    <row r="266" spans="1:11">
      <c r="A266" s="503">
        <v>69</v>
      </c>
      <c r="B266" s="1347"/>
      <c r="C266" s="507" t="s">
        <v>2476</v>
      </c>
      <c r="D266" s="511" t="s">
        <v>1132</v>
      </c>
      <c r="E266" s="876"/>
      <c r="F266" s="860">
        <v>203114</v>
      </c>
      <c r="G266" s="861"/>
      <c r="H266" s="507"/>
      <c r="I266" s="860">
        <v>203114</v>
      </c>
      <c r="J266" s="894">
        <v>203114</v>
      </c>
      <c r="K266" s="862">
        <v>212334.97807716799</v>
      </c>
    </row>
    <row r="267" spans="1:11" ht="15" customHeight="1">
      <c r="A267" s="503">
        <v>77</v>
      </c>
      <c r="B267" s="1347" t="s">
        <v>2123</v>
      </c>
      <c r="C267" s="507" t="s">
        <v>2477</v>
      </c>
      <c r="D267" s="739" t="s">
        <v>23</v>
      </c>
      <c r="E267" s="949"/>
      <c r="F267" s="860"/>
      <c r="G267" s="959"/>
      <c r="H267" s="961"/>
      <c r="I267" s="860">
        <v>0</v>
      </c>
      <c r="J267" s="894">
        <v>0</v>
      </c>
      <c r="K267" s="862">
        <v>0</v>
      </c>
    </row>
    <row r="268" spans="1:11">
      <c r="A268" s="507">
        <v>78</v>
      </c>
      <c r="B268" s="1347"/>
      <c r="C268" s="507" t="s">
        <v>2478</v>
      </c>
      <c r="D268" s="739" t="s">
        <v>1891</v>
      </c>
      <c r="E268" s="949"/>
      <c r="F268" s="860">
        <v>34580</v>
      </c>
      <c r="G268" s="959"/>
      <c r="H268" s="961"/>
      <c r="I268" s="860">
        <v>34580</v>
      </c>
      <c r="J268" s="894">
        <v>34580</v>
      </c>
      <c r="K268" s="862">
        <v>36149.864322048001</v>
      </c>
    </row>
    <row r="269" spans="1:11">
      <c r="A269" s="503">
        <v>79</v>
      </c>
      <c r="B269" s="1347"/>
      <c r="C269" s="507" t="s">
        <v>2479</v>
      </c>
      <c r="D269" s="739" t="s">
        <v>1893</v>
      </c>
      <c r="E269" s="949"/>
      <c r="F269" s="860">
        <v>204060</v>
      </c>
      <c r="G269" s="959"/>
      <c r="H269" s="961"/>
      <c r="I269" s="860">
        <v>204060</v>
      </c>
      <c r="J269" s="894">
        <v>204060</v>
      </c>
      <c r="K269" s="862">
        <v>213323.92462571201</v>
      </c>
    </row>
    <row r="270" spans="1:11" ht="15" customHeight="1">
      <c r="A270" s="507">
        <v>74</v>
      </c>
      <c r="B270" s="1347" t="s">
        <v>927</v>
      </c>
      <c r="C270" s="507" t="s">
        <v>2480</v>
      </c>
      <c r="D270" s="962" t="s">
        <v>2481</v>
      </c>
      <c r="E270" s="876" t="s">
        <v>2482</v>
      </c>
      <c r="F270" s="860">
        <v>474839.99999999598</v>
      </c>
      <c r="G270" s="861"/>
      <c r="H270" s="961"/>
      <c r="I270" s="860">
        <v>474839.99999999598</v>
      </c>
      <c r="J270" s="894">
        <v>474839.99999999598</v>
      </c>
      <c r="K270" s="862">
        <v>496396.80667094199</v>
      </c>
    </row>
    <row r="271" spans="1:11">
      <c r="A271" s="503">
        <v>75</v>
      </c>
      <c r="B271" s="1347"/>
      <c r="C271" s="507" t="s">
        <v>2483</v>
      </c>
      <c r="D271" s="962" t="s">
        <v>2484</v>
      </c>
      <c r="E271" s="876"/>
      <c r="F271" s="860">
        <v>799320.00000000198</v>
      </c>
      <c r="G271" s="959"/>
      <c r="H271" s="961"/>
      <c r="I271" s="860">
        <v>799320.00000000198</v>
      </c>
      <c r="J271" s="894">
        <v>799320.00000000198</v>
      </c>
      <c r="K271" s="862">
        <v>835607.56361768302</v>
      </c>
    </row>
    <row r="272" spans="1:11">
      <c r="A272" s="507">
        <v>76</v>
      </c>
      <c r="B272" s="1347"/>
      <c r="C272" s="507" t="s">
        <v>2485</v>
      </c>
      <c r="D272" s="962" t="s">
        <v>2486</v>
      </c>
      <c r="E272" s="876" t="s">
        <v>2482</v>
      </c>
      <c r="F272" s="860">
        <v>356039.99999999802</v>
      </c>
      <c r="G272" s="959"/>
      <c r="H272" s="961"/>
      <c r="I272" s="860">
        <v>356039.99999999802</v>
      </c>
      <c r="J272" s="894">
        <v>356039.99999999802</v>
      </c>
      <c r="K272" s="862">
        <v>372203.51917935</v>
      </c>
    </row>
    <row r="273" spans="1:11" ht="15" customHeight="1">
      <c r="A273" s="503">
        <v>55</v>
      </c>
      <c r="B273" s="1347" t="s">
        <v>924</v>
      </c>
      <c r="C273" s="507" t="s">
        <v>2487</v>
      </c>
      <c r="D273" s="940" t="s">
        <v>1605</v>
      </c>
      <c r="E273" s="955" t="s">
        <v>2454</v>
      </c>
      <c r="F273" s="860">
        <v>340940</v>
      </c>
      <c r="G273" s="861"/>
      <c r="H273" s="507"/>
      <c r="I273" s="860">
        <v>340940</v>
      </c>
      <c r="J273" s="894">
        <v>340940</v>
      </c>
      <c r="K273" s="862">
        <v>356418.00873218803</v>
      </c>
    </row>
    <row r="274" spans="1:11">
      <c r="A274" s="507">
        <v>56</v>
      </c>
      <c r="B274" s="1347"/>
      <c r="C274" s="507" t="s">
        <v>2459</v>
      </c>
      <c r="D274" s="940" t="s">
        <v>169</v>
      </c>
      <c r="E274" s="955"/>
      <c r="F274" s="860">
        <v>481200.00000000099</v>
      </c>
      <c r="G274" s="861"/>
      <c r="H274" s="507"/>
      <c r="I274" s="860">
        <v>481200.00000000099</v>
      </c>
      <c r="J274" s="894">
        <v>481200.00000000099</v>
      </c>
      <c r="K274" s="862">
        <v>503045.53822352597</v>
      </c>
    </row>
    <row r="275" spans="1:11">
      <c r="A275" s="503">
        <v>73</v>
      </c>
      <c r="B275" s="507" t="s">
        <v>1817</v>
      </c>
      <c r="C275" s="507" t="s">
        <v>2490</v>
      </c>
      <c r="D275" s="511" t="s">
        <v>1817</v>
      </c>
      <c r="E275" s="955"/>
      <c r="F275" s="860">
        <v>914000</v>
      </c>
      <c r="G275" s="861"/>
      <c r="H275" s="507"/>
      <c r="I275" s="860">
        <v>914000</v>
      </c>
      <c r="J275" s="894">
        <v>914000</v>
      </c>
      <c r="K275" s="862">
        <v>955493.81117269804</v>
      </c>
    </row>
    <row r="276" spans="1:11" ht="18.75">
      <c r="A276" s="503"/>
      <c r="B276" s="923"/>
      <c r="C276" s="923"/>
      <c r="D276" s="893" t="s">
        <v>2467</v>
      </c>
      <c r="E276" s="891"/>
      <c r="F276" s="911">
        <v>12299300.1054</v>
      </c>
      <c r="G276" s="911">
        <v>0</v>
      </c>
      <c r="H276" s="911">
        <v>528477</v>
      </c>
      <c r="I276" s="911">
        <v>11765100.8544</v>
      </c>
      <c r="J276" s="911">
        <v>11757736.0644</v>
      </c>
      <c r="K276" s="911">
        <v>12291514.270170899</v>
      </c>
    </row>
    <row r="277" spans="1:11" ht="18.75">
      <c r="A277" s="503"/>
      <c r="B277" s="503"/>
      <c r="C277" s="503"/>
      <c r="D277" s="899" t="s">
        <v>1068</v>
      </c>
      <c r="E277" s="891"/>
      <c r="F277" s="503"/>
      <c r="G277" s="908"/>
      <c r="H277" s="503"/>
      <c r="I277" s="507">
        <v>0</v>
      </c>
      <c r="J277" s="914"/>
      <c r="K277" s="892"/>
    </row>
    <row r="278" spans="1:11" ht="15" customHeight="1">
      <c r="A278" s="503">
        <v>80</v>
      </c>
      <c r="B278" s="1347" t="s">
        <v>1068</v>
      </c>
      <c r="C278" s="507" t="s">
        <v>2491</v>
      </c>
      <c r="D278" s="586" t="s">
        <v>2492</v>
      </c>
      <c r="E278" s="878"/>
      <c r="F278" s="860">
        <v>2108000</v>
      </c>
      <c r="G278" s="908"/>
      <c r="H278" s="503"/>
      <c r="I278" s="860">
        <v>2108000</v>
      </c>
      <c r="J278" s="894">
        <v>2108000</v>
      </c>
      <c r="K278" s="892">
        <v>2203699.0743457898</v>
      </c>
    </row>
    <row r="279" spans="1:11">
      <c r="A279" s="503">
        <v>81</v>
      </c>
      <c r="B279" s="1347"/>
      <c r="C279" s="507" t="s">
        <v>2493</v>
      </c>
      <c r="D279" s="586" t="s">
        <v>1700</v>
      </c>
      <c r="E279" s="878"/>
      <c r="F279" s="860">
        <v>422799.99999999901</v>
      </c>
      <c r="G279" s="908"/>
      <c r="H279" s="503"/>
      <c r="I279" s="860">
        <v>422799.99999999901</v>
      </c>
      <c r="J279" s="894">
        <v>422799.99999999901</v>
      </c>
      <c r="K279" s="892">
        <v>441994.29252058698</v>
      </c>
    </row>
    <row r="280" spans="1:11">
      <c r="A280" s="503">
        <v>82</v>
      </c>
      <c r="B280" s="1347"/>
      <c r="C280" s="507" t="s">
        <v>2494</v>
      </c>
      <c r="D280" s="586" t="s">
        <v>1702</v>
      </c>
      <c r="E280" s="878"/>
      <c r="F280" s="860">
        <v>720800.00000000303</v>
      </c>
      <c r="G280" s="908"/>
      <c r="H280" s="503"/>
      <c r="I280" s="860">
        <v>720800.00000000303</v>
      </c>
      <c r="J280" s="894">
        <v>720800.00000000303</v>
      </c>
      <c r="K280" s="892">
        <v>753522.90929243295</v>
      </c>
    </row>
    <row r="281" spans="1:11">
      <c r="A281" s="503">
        <v>83</v>
      </c>
      <c r="B281" s="1347"/>
      <c r="C281" s="507" t="s">
        <v>2495</v>
      </c>
      <c r="D281" s="586" t="s">
        <v>1067</v>
      </c>
      <c r="E281" s="878"/>
      <c r="F281" s="860">
        <v>471699.99999999697</v>
      </c>
      <c r="G281" s="908"/>
      <c r="H281" s="503">
        <v>35256</v>
      </c>
      <c r="I281" s="860">
        <v>436443.99999999697</v>
      </c>
      <c r="J281" s="894">
        <v>435915.15999999701</v>
      </c>
      <c r="K281" s="892">
        <v>455704.855116361</v>
      </c>
    </row>
    <row r="282" spans="1:11" ht="15" customHeight="1">
      <c r="A282" s="503">
        <v>84</v>
      </c>
      <c r="B282" s="1347" t="s">
        <v>167</v>
      </c>
      <c r="C282" s="507" t="s">
        <v>2496</v>
      </c>
      <c r="D282" s="586" t="s">
        <v>2497</v>
      </c>
      <c r="E282" s="878"/>
      <c r="F282" s="860">
        <v>1115200</v>
      </c>
      <c r="G282" s="861"/>
      <c r="H282" s="503"/>
      <c r="I282" s="860">
        <v>1115200</v>
      </c>
      <c r="J282" s="894">
        <v>1115200</v>
      </c>
      <c r="K282" s="892">
        <v>1165827.8973958299</v>
      </c>
    </row>
    <row r="283" spans="1:11">
      <c r="A283" s="503">
        <v>85</v>
      </c>
      <c r="B283" s="1347"/>
      <c r="C283" s="507" t="s">
        <v>2498</v>
      </c>
      <c r="D283" s="586" t="s">
        <v>2499</v>
      </c>
      <c r="E283" s="878"/>
      <c r="F283" s="860">
        <v>1693360.00000001</v>
      </c>
      <c r="G283" s="908"/>
      <c r="H283" s="503"/>
      <c r="I283" s="860">
        <v>1693360.00000001</v>
      </c>
      <c r="J283" s="894">
        <v>1693360.00000001</v>
      </c>
      <c r="K283" s="892">
        <v>1770235.22985493</v>
      </c>
    </row>
    <row r="284" spans="1:11">
      <c r="A284" s="503">
        <v>86</v>
      </c>
      <c r="B284" s="1347"/>
      <c r="C284" s="507" t="s">
        <v>2500</v>
      </c>
      <c r="D284" s="586" t="s">
        <v>1773</v>
      </c>
      <c r="E284" s="878"/>
      <c r="F284" s="860">
        <v>768699.99999999697</v>
      </c>
      <c r="G284" s="908"/>
      <c r="H284" s="503"/>
      <c r="I284" s="860">
        <v>768699.99999999697</v>
      </c>
      <c r="J284" s="894">
        <v>768699.99999999697</v>
      </c>
      <c r="K284" s="892">
        <v>803597.47554535104</v>
      </c>
    </row>
    <row r="285" spans="1:11">
      <c r="A285" s="503">
        <v>87</v>
      </c>
      <c r="B285" s="1347"/>
      <c r="C285" s="507" t="s">
        <v>2501</v>
      </c>
      <c r="D285" s="586" t="s">
        <v>1769</v>
      </c>
      <c r="E285" s="906"/>
      <c r="F285" s="860">
        <v>660734.99999999697</v>
      </c>
      <c r="G285" s="907"/>
      <c r="H285" s="503"/>
      <c r="I285" s="860">
        <v>660734.99999999697</v>
      </c>
      <c r="J285" s="894">
        <v>660734.99999999697</v>
      </c>
      <c r="K285" s="892">
        <v>690731.075848129</v>
      </c>
    </row>
    <row r="286" spans="1:11" ht="15" customHeight="1">
      <c r="A286" s="503">
        <v>88</v>
      </c>
      <c r="B286" s="1347" t="s">
        <v>1817</v>
      </c>
      <c r="C286" s="507" t="s">
        <v>2502</v>
      </c>
      <c r="D286" s="586" t="s">
        <v>1819</v>
      </c>
      <c r="E286" s="878"/>
      <c r="F286" s="860">
        <v>407400.00000000198</v>
      </c>
      <c r="G286" s="908"/>
      <c r="H286" s="503"/>
      <c r="I286" s="860">
        <v>407400.00000000198</v>
      </c>
      <c r="J286" s="894">
        <v>407400.00000000198</v>
      </c>
      <c r="K286" s="892">
        <v>425895.16266056697</v>
      </c>
    </row>
    <row r="287" spans="1:11">
      <c r="A287" s="503">
        <v>89</v>
      </c>
      <c r="B287" s="1347"/>
      <c r="C287" s="507" t="s">
        <v>2503</v>
      </c>
      <c r="D287" s="586" t="s">
        <v>2504</v>
      </c>
      <c r="E287" s="906"/>
      <c r="F287" s="860">
        <v>16300</v>
      </c>
      <c r="G287" s="907"/>
      <c r="H287" s="503"/>
      <c r="I287" s="860">
        <v>16300</v>
      </c>
      <c r="J287" s="894">
        <v>16300</v>
      </c>
      <c r="K287" s="892">
        <v>17039.988098594</v>
      </c>
    </row>
    <row r="288" spans="1:11" ht="15" customHeight="1">
      <c r="A288" s="503">
        <v>90</v>
      </c>
      <c r="B288" s="1347" t="s">
        <v>2505</v>
      </c>
      <c r="C288" s="507" t="s">
        <v>2506</v>
      </c>
      <c r="D288" s="586" t="s">
        <v>2507</v>
      </c>
      <c r="E288" s="878"/>
      <c r="F288" s="860">
        <v>64666.650500000003</v>
      </c>
      <c r="G288" s="908"/>
      <c r="H288" s="503"/>
      <c r="I288" s="860">
        <v>64666.650500000003</v>
      </c>
      <c r="J288" s="894">
        <v>64666.650500000003</v>
      </c>
      <c r="K288" s="892">
        <v>67602.389870916697</v>
      </c>
    </row>
    <row r="289" spans="1:11">
      <c r="A289" s="503">
        <v>91</v>
      </c>
      <c r="B289" s="1347"/>
      <c r="C289" s="507" t="s">
        <v>2508</v>
      </c>
      <c r="D289" s="586" t="s">
        <v>2509</v>
      </c>
      <c r="E289" s="878"/>
      <c r="F289" s="860">
        <v>201999.79800000001</v>
      </c>
      <c r="G289" s="908"/>
      <c r="H289" s="503"/>
      <c r="I289" s="860">
        <v>201999.79800000001</v>
      </c>
      <c r="J289" s="894">
        <v>201999.79800000001</v>
      </c>
      <c r="K289" s="892">
        <v>211170.19348701899</v>
      </c>
    </row>
    <row r="290" spans="1:11">
      <c r="A290" s="503">
        <v>92</v>
      </c>
      <c r="B290" s="1347"/>
      <c r="C290" s="507" t="s">
        <v>2510</v>
      </c>
      <c r="D290" s="586" t="s">
        <v>2511</v>
      </c>
      <c r="E290" s="878"/>
      <c r="F290" s="860">
        <v>79599.8010000004</v>
      </c>
      <c r="G290" s="908"/>
      <c r="H290" s="503"/>
      <c r="I290" s="860">
        <v>79599.8010000004</v>
      </c>
      <c r="J290" s="894">
        <v>79599.8010000004</v>
      </c>
      <c r="K290" s="892">
        <v>83213.476177328994</v>
      </c>
    </row>
    <row r="291" spans="1:11">
      <c r="A291" s="503">
        <v>93</v>
      </c>
      <c r="B291" s="1347"/>
      <c r="C291" s="507" t="s">
        <v>2512</v>
      </c>
      <c r="D291" s="586" t="s">
        <v>2513</v>
      </c>
      <c r="E291" s="878"/>
      <c r="F291" s="860">
        <v>95181.330953800105</v>
      </c>
      <c r="G291" s="908"/>
      <c r="H291" s="503"/>
      <c r="I291" s="860">
        <v>95181.330953800105</v>
      </c>
      <c r="J291" s="894">
        <v>95181.330953800105</v>
      </c>
      <c r="K291" s="892">
        <v>99502.377095772797</v>
      </c>
    </row>
    <row r="292" spans="1:11">
      <c r="A292" s="503">
        <v>12</v>
      </c>
      <c r="B292" s="507" t="s">
        <v>1841</v>
      </c>
      <c r="C292" s="507" t="s">
        <v>2514</v>
      </c>
      <c r="D292" s="439" t="s">
        <v>1842</v>
      </c>
      <c r="E292" s="878" t="s">
        <v>2515</v>
      </c>
      <c r="F292" s="860">
        <v>1097000</v>
      </c>
      <c r="G292" s="908"/>
      <c r="H292" s="503"/>
      <c r="I292" s="860">
        <v>1097000</v>
      </c>
      <c r="J292" s="894">
        <v>1097000</v>
      </c>
      <c r="K292" s="892">
        <v>1146801.6530158101</v>
      </c>
    </row>
    <row r="293" spans="1:11" ht="15.75">
      <c r="A293" s="184"/>
      <c r="B293" s="896"/>
      <c r="C293" s="896"/>
      <c r="D293" s="915" t="s">
        <v>2516</v>
      </c>
      <c r="E293" s="891"/>
      <c r="F293" s="966">
        <v>9923442.5804538</v>
      </c>
      <c r="G293" s="1172">
        <v>0</v>
      </c>
      <c r="H293" s="966">
        <v>35256</v>
      </c>
      <c r="I293" s="966">
        <v>9888186.5804538</v>
      </c>
      <c r="J293" s="966">
        <v>9887657.7404538002</v>
      </c>
      <c r="K293" s="966">
        <v>10336538.050325399</v>
      </c>
    </row>
    <row r="294" spans="1:11" ht="18.75">
      <c r="A294" s="202"/>
      <c r="B294" s="923"/>
      <c r="C294" s="923"/>
      <c r="D294" s="899" t="s">
        <v>2517</v>
      </c>
      <c r="E294" s="891"/>
      <c r="F294" s="911">
        <v>58144290.919853702</v>
      </c>
      <c r="G294" s="911">
        <v>0</v>
      </c>
      <c r="H294" s="911">
        <v>1621243</v>
      </c>
      <c r="I294" s="911">
        <v>56448914.6688537</v>
      </c>
      <c r="J294" s="911">
        <v>56426177.023853801</v>
      </c>
      <c r="K294" s="911">
        <v>58987815.026725799</v>
      </c>
    </row>
    <row r="295" spans="1:11" ht="18.75">
      <c r="A295" s="967"/>
      <c r="B295" s="924"/>
      <c r="C295" s="924"/>
      <c r="D295" s="868" t="s">
        <v>2518</v>
      </c>
      <c r="E295" s="869"/>
      <c r="F295" s="870">
        <v>148407089.60880399</v>
      </c>
      <c r="G295" s="871">
        <v>-151952</v>
      </c>
      <c r="H295" s="870">
        <v>4155828</v>
      </c>
      <c r="I295" s="870">
        <v>144026380.357804</v>
      </c>
      <c r="J295" s="870">
        <v>143967366.99780399</v>
      </c>
      <c r="K295" s="870">
        <v>150503203.69499999</v>
      </c>
    </row>
  </sheetData>
  <mergeCells count="68">
    <mergeCell ref="A1:K1"/>
    <mergeCell ref="A2:I2"/>
    <mergeCell ref="B5:B9"/>
    <mergeCell ref="B10:B13"/>
    <mergeCell ref="B19:B20"/>
    <mergeCell ref="B21:B23"/>
    <mergeCell ref="B27:B28"/>
    <mergeCell ref="B29:B31"/>
    <mergeCell ref="B36:B38"/>
    <mergeCell ref="B39:B41"/>
    <mergeCell ref="B42:B45"/>
    <mergeCell ref="B46:B47"/>
    <mergeCell ref="B48:B49"/>
    <mergeCell ref="B50:B51"/>
    <mergeCell ref="B52:B53"/>
    <mergeCell ref="B56:B59"/>
    <mergeCell ref="A65:K65"/>
    <mergeCell ref="A66:I66"/>
    <mergeCell ref="B69:B71"/>
    <mergeCell ref="B72:B77"/>
    <mergeCell ref="B78:B80"/>
    <mergeCell ref="B83:B86"/>
    <mergeCell ref="B87:B90"/>
    <mergeCell ref="B92:B93"/>
    <mergeCell ref="B96:B101"/>
    <mergeCell ref="B102:B104"/>
    <mergeCell ref="A107:K107"/>
    <mergeCell ref="A108:I108"/>
    <mergeCell ref="B111:B120"/>
    <mergeCell ref="B121:B123"/>
    <mergeCell ref="B126:B130"/>
    <mergeCell ref="B133:B134"/>
    <mergeCell ref="B135:B137"/>
    <mergeCell ref="B138:B140"/>
    <mergeCell ref="B144:B149"/>
    <mergeCell ref="B154:B159"/>
    <mergeCell ref="B160:B163"/>
    <mergeCell ref="B166:B168"/>
    <mergeCell ref="B169:B171"/>
    <mergeCell ref="B172:B174"/>
    <mergeCell ref="B176:B178"/>
    <mergeCell ref="A182:K182"/>
    <mergeCell ref="A183:I183"/>
    <mergeCell ref="B186:B190"/>
    <mergeCell ref="B191:B193"/>
    <mergeCell ref="B194:B197"/>
    <mergeCell ref="B198:B199"/>
    <mergeCell ref="B203:B209"/>
    <mergeCell ref="B210:B212"/>
    <mergeCell ref="B217:B220"/>
    <mergeCell ref="B221:B225"/>
    <mergeCell ref="B226:B227"/>
    <mergeCell ref="B228:B230"/>
    <mergeCell ref="B233:B239"/>
    <mergeCell ref="B241:B243"/>
    <mergeCell ref="B244:B245"/>
    <mergeCell ref="B247:B248"/>
    <mergeCell ref="B251:B254"/>
    <mergeCell ref="B255:B256"/>
    <mergeCell ref="B258:B260"/>
    <mergeCell ref="B282:B285"/>
    <mergeCell ref="B286:B287"/>
    <mergeCell ref="B288:B291"/>
    <mergeCell ref="B261:B266"/>
    <mergeCell ref="B267:B269"/>
    <mergeCell ref="B270:B272"/>
    <mergeCell ref="B273:B274"/>
    <mergeCell ref="B278:B28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5"/>
  <sheetViews>
    <sheetView zoomScaleNormal="100" workbookViewId="0">
      <selection activeCell="I24" sqref="I24"/>
    </sheetView>
  </sheetViews>
  <sheetFormatPr defaultRowHeight="15"/>
  <cols>
    <col min="1" max="1025" width="8.7109375" customWidth="1"/>
  </cols>
  <sheetData>
    <row r="2" spans="1:3">
      <c r="A2">
        <v>59</v>
      </c>
      <c r="B2">
        <v>40</v>
      </c>
      <c r="C2">
        <v>30</v>
      </c>
    </row>
    <row r="3" spans="1:3">
      <c r="A3">
        <v>67</v>
      </c>
      <c r="B3">
        <v>39</v>
      </c>
      <c r="C3">
        <v>29</v>
      </c>
    </row>
    <row r="4" spans="1:3">
      <c r="A4">
        <v>54</v>
      </c>
      <c r="B4">
        <v>38</v>
      </c>
      <c r="C4">
        <v>28</v>
      </c>
    </row>
    <row r="5" spans="1:3">
      <c r="A5">
        <v>54</v>
      </c>
      <c r="B5">
        <v>40</v>
      </c>
      <c r="C5">
        <v>27</v>
      </c>
    </row>
    <row r="6" spans="1:3">
      <c r="A6">
        <v>50</v>
      </c>
      <c r="B6">
        <v>41</v>
      </c>
      <c r="C6">
        <v>30</v>
      </c>
    </row>
    <row r="7" spans="1:3">
      <c r="A7">
        <v>54</v>
      </c>
      <c r="B7">
        <v>44</v>
      </c>
      <c r="C7">
        <v>34</v>
      </c>
    </row>
    <row r="8" spans="1:3">
      <c r="A8">
        <v>57</v>
      </c>
      <c r="B8">
        <v>48</v>
      </c>
      <c r="C8">
        <v>45</v>
      </c>
    </row>
    <row r="9" spans="1:3">
      <c r="A9">
        <v>57</v>
      </c>
      <c r="B9">
        <v>50</v>
      </c>
      <c r="C9">
        <v>50</v>
      </c>
    </row>
    <row r="10" spans="1:3">
      <c r="A10">
        <v>57</v>
      </c>
      <c r="B10">
        <v>50</v>
      </c>
      <c r="C10">
        <v>52</v>
      </c>
    </row>
    <row r="11" spans="1:3">
      <c r="A11">
        <v>57</v>
      </c>
      <c r="B11">
        <v>50</v>
      </c>
      <c r="C11">
        <v>43</v>
      </c>
    </row>
    <row r="12" spans="1:3">
      <c r="A12">
        <v>57</v>
      </c>
      <c r="B12">
        <v>48</v>
      </c>
      <c r="C12">
        <v>40</v>
      </c>
    </row>
    <row r="13" spans="1:3">
      <c r="A13">
        <v>58</v>
      </c>
      <c r="B13">
        <v>46</v>
      </c>
      <c r="C13">
        <v>37</v>
      </c>
    </row>
    <row r="14" spans="1:3">
      <c r="A14">
        <v>58</v>
      </c>
      <c r="B14">
        <v>39</v>
      </c>
      <c r="C14">
        <v>36</v>
      </c>
    </row>
    <row r="15" spans="1:3">
      <c r="B15">
        <v>39</v>
      </c>
      <c r="C15">
        <v>34</v>
      </c>
    </row>
    <row r="16" spans="1:3">
      <c r="B16">
        <v>36</v>
      </c>
      <c r="C16">
        <v>34</v>
      </c>
    </row>
    <row r="17" spans="2:9">
      <c r="B17">
        <v>36</v>
      </c>
      <c r="C17">
        <v>40</v>
      </c>
    </row>
    <row r="18" spans="2:9">
      <c r="B18">
        <v>37</v>
      </c>
      <c r="C18">
        <v>40</v>
      </c>
    </row>
    <row r="19" spans="2:9">
      <c r="B19">
        <v>37</v>
      </c>
      <c r="C19">
        <v>40</v>
      </c>
    </row>
    <row r="20" spans="2:9">
      <c r="B20">
        <v>39</v>
      </c>
      <c r="C20">
        <v>37</v>
      </c>
    </row>
    <row r="21" spans="2:9">
      <c r="B21">
        <v>42</v>
      </c>
      <c r="C21">
        <v>32</v>
      </c>
    </row>
    <row r="22" spans="2:9">
      <c r="B22">
        <v>42</v>
      </c>
      <c r="C22">
        <v>30</v>
      </c>
    </row>
    <row r="23" spans="2:9">
      <c r="B23">
        <v>40</v>
      </c>
      <c r="C23">
        <v>31</v>
      </c>
      <c r="I23">
        <v>43.03</v>
      </c>
    </row>
    <row r="24" spans="2:9">
      <c r="B24">
        <v>40</v>
      </c>
    </row>
    <row r="25" spans="2:9">
      <c r="B25">
        <v>40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25"/>
  <sheetViews>
    <sheetView topLeftCell="A19" zoomScaleNormal="100" workbookViewId="0">
      <selection activeCell="K25" sqref="K25"/>
    </sheetView>
  </sheetViews>
  <sheetFormatPr defaultRowHeight="15"/>
  <cols>
    <col min="1" max="1025" width="8.7109375" customWidth="1"/>
  </cols>
  <sheetData>
    <row r="2" spans="2:11">
      <c r="B2">
        <v>74</v>
      </c>
      <c r="C2">
        <v>90</v>
      </c>
      <c r="D2">
        <v>128</v>
      </c>
      <c r="E2">
        <v>131</v>
      </c>
      <c r="H2">
        <v>75</v>
      </c>
      <c r="I2">
        <v>90</v>
      </c>
      <c r="J2">
        <v>146</v>
      </c>
      <c r="K2">
        <v>148</v>
      </c>
    </row>
    <row r="3" spans="2:11">
      <c r="B3">
        <v>72</v>
      </c>
      <c r="C3">
        <v>87</v>
      </c>
      <c r="D3">
        <v>125</v>
      </c>
      <c r="E3">
        <v>127</v>
      </c>
      <c r="H3">
        <v>72</v>
      </c>
      <c r="I3">
        <v>84</v>
      </c>
      <c r="J3">
        <v>141</v>
      </c>
      <c r="K3">
        <v>141</v>
      </c>
    </row>
    <row r="4" spans="2:11">
      <c r="B4">
        <v>70</v>
      </c>
      <c r="C4">
        <v>85</v>
      </c>
      <c r="D4">
        <v>122</v>
      </c>
      <c r="E4">
        <v>124</v>
      </c>
      <c r="H4">
        <v>69</v>
      </c>
      <c r="I4">
        <v>81</v>
      </c>
      <c r="J4">
        <v>135</v>
      </c>
      <c r="K4">
        <v>135</v>
      </c>
    </row>
    <row r="5" spans="2:11">
      <c r="B5">
        <v>68</v>
      </c>
      <c r="C5">
        <v>84</v>
      </c>
      <c r="D5">
        <v>120</v>
      </c>
      <c r="E5">
        <v>120</v>
      </c>
      <c r="H5">
        <v>72</v>
      </c>
      <c r="I5">
        <v>78</v>
      </c>
      <c r="J5">
        <v>129</v>
      </c>
      <c r="K5">
        <v>126</v>
      </c>
    </row>
    <row r="6" spans="2:11">
      <c r="B6">
        <v>78</v>
      </c>
      <c r="C6">
        <v>89</v>
      </c>
      <c r="D6">
        <v>118</v>
      </c>
      <c r="E6">
        <v>124</v>
      </c>
      <c r="H6">
        <v>75</v>
      </c>
      <c r="I6">
        <v>80</v>
      </c>
      <c r="J6">
        <v>124</v>
      </c>
      <c r="K6">
        <v>120</v>
      </c>
    </row>
    <row r="7" spans="2:11">
      <c r="B7">
        <v>92</v>
      </c>
      <c r="C7">
        <v>97</v>
      </c>
      <c r="D7">
        <v>124</v>
      </c>
      <c r="E7">
        <v>126</v>
      </c>
      <c r="H7">
        <v>84</v>
      </c>
      <c r="I7">
        <v>82</v>
      </c>
      <c r="J7">
        <v>115</v>
      </c>
      <c r="K7">
        <v>114</v>
      </c>
    </row>
    <row r="8" spans="2:11">
      <c r="B8">
        <v>114</v>
      </c>
      <c r="C8">
        <v>109</v>
      </c>
      <c r="D8">
        <v>132</v>
      </c>
      <c r="E8">
        <v>128</v>
      </c>
      <c r="H8">
        <v>92</v>
      </c>
      <c r="I8">
        <v>85</v>
      </c>
      <c r="J8">
        <v>111</v>
      </c>
      <c r="K8">
        <v>109</v>
      </c>
    </row>
    <row r="9" spans="2:11">
      <c r="B9">
        <v>120</v>
      </c>
      <c r="C9">
        <v>116</v>
      </c>
      <c r="D9">
        <v>127</v>
      </c>
      <c r="E9">
        <v>130</v>
      </c>
      <c r="H9">
        <v>100</v>
      </c>
      <c r="I9">
        <v>87</v>
      </c>
      <c r="J9">
        <v>106</v>
      </c>
      <c r="K9">
        <v>112</v>
      </c>
    </row>
    <row r="10" spans="2:11">
      <c r="B10">
        <v>100</v>
      </c>
      <c r="C10">
        <v>112</v>
      </c>
      <c r="D10">
        <v>110</v>
      </c>
      <c r="E10">
        <v>124</v>
      </c>
      <c r="H10">
        <v>90</v>
      </c>
      <c r="I10">
        <v>90</v>
      </c>
      <c r="J10">
        <v>103</v>
      </c>
      <c r="K10">
        <v>114</v>
      </c>
    </row>
    <row r="11" spans="2:11">
      <c r="B11">
        <v>96</v>
      </c>
      <c r="C11">
        <v>102</v>
      </c>
      <c r="D11">
        <v>111</v>
      </c>
      <c r="E11">
        <v>122</v>
      </c>
      <c r="H11">
        <v>90</v>
      </c>
      <c r="I11">
        <v>83</v>
      </c>
      <c r="J11">
        <v>101</v>
      </c>
      <c r="K11">
        <v>107</v>
      </c>
    </row>
    <row r="12" spans="2:11">
      <c r="B12">
        <v>82</v>
      </c>
      <c r="C12">
        <v>94</v>
      </c>
      <c r="D12">
        <v>102</v>
      </c>
      <c r="E12">
        <v>116</v>
      </c>
      <c r="H12">
        <v>84</v>
      </c>
      <c r="I12">
        <v>82</v>
      </c>
      <c r="J12">
        <v>100</v>
      </c>
      <c r="K12">
        <v>102</v>
      </c>
    </row>
    <row r="13" spans="2:11">
      <c r="B13">
        <v>74</v>
      </c>
      <c r="C13">
        <v>86</v>
      </c>
      <c r="D13">
        <v>100</v>
      </c>
      <c r="E13">
        <v>118</v>
      </c>
      <c r="H13">
        <v>77</v>
      </c>
      <c r="I13">
        <v>81</v>
      </c>
      <c r="J13">
        <v>101</v>
      </c>
      <c r="K13">
        <v>104</v>
      </c>
    </row>
    <row r="14" spans="2:11">
      <c r="B14">
        <v>78</v>
      </c>
      <c r="C14">
        <v>78</v>
      </c>
      <c r="D14">
        <v>101</v>
      </c>
      <c r="E14">
        <v>112</v>
      </c>
      <c r="H14">
        <v>76</v>
      </c>
      <c r="I14">
        <v>82</v>
      </c>
      <c r="J14">
        <v>109</v>
      </c>
      <c r="K14">
        <v>107</v>
      </c>
    </row>
    <row r="15" spans="2:11">
      <c r="B15">
        <v>79</v>
      </c>
      <c r="C15">
        <v>76</v>
      </c>
      <c r="D15">
        <v>102</v>
      </c>
      <c r="E15">
        <v>116</v>
      </c>
      <c r="H15">
        <v>74</v>
      </c>
      <c r="I15">
        <v>76</v>
      </c>
      <c r="J15">
        <v>110</v>
      </c>
      <c r="K15">
        <v>116</v>
      </c>
    </row>
    <row r="16" spans="2:11">
      <c r="B16">
        <v>72</v>
      </c>
      <c r="C16">
        <v>78</v>
      </c>
      <c r="D16">
        <v>110</v>
      </c>
      <c r="E16">
        <v>120</v>
      </c>
      <c r="H16">
        <v>73</v>
      </c>
      <c r="I16">
        <v>77</v>
      </c>
      <c r="J16">
        <v>116</v>
      </c>
      <c r="K16">
        <v>119</v>
      </c>
    </row>
    <row r="17" spans="2:11">
      <c r="B17">
        <v>86</v>
      </c>
      <c r="C17">
        <v>90</v>
      </c>
      <c r="D17">
        <v>126</v>
      </c>
      <c r="E17">
        <v>124</v>
      </c>
      <c r="H17">
        <v>73</v>
      </c>
      <c r="I17">
        <v>74</v>
      </c>
      <c r="J17">
        <v>114</v>
      </c>
      <c r="K17">
        <v>118</v>
      </c>
    </row>
    <row r="18" spans="2:11">
      <c r="B18">
        <v>120</v>
      </c>
      <c r="C18">
        <v>112</v>
      </c>
      <c r="D18">
        <v>144</v>
      </c>
      <c r="E18">
        <v>150</v>
      </c>
      <c r="H18">
        <v>84</v>
      </c>
      <c r="I18">
        <v>80</v>
      </c>
      <c r="J18">
        <v>117</v>
      </c>
      <c r="K18">
        <v>117</v>
      </c>
    </row>
    <row r="19" spans="2:11">
      <c r="B19">
        <v>132</v>
      </c>
      <c r="C19">
        <v>130</v>
      </c>
      <c r="D19">
        <v>150</v>
      </c>
      <c r="E19">
        <v>156</v>
      </c>
      <c r="H19">
        <v>96</v>
      </c>
      <c r="I19">
        <v>96</v>
      </c>
      <c r="J19">
        <v>126</v>
      </c>
      <c r="K19">
        <v>117</v>
      </c>
    </row>
    <row r="20" spans="2:11">
      <c r="B20">
        <v>132</v>
      </c>
      <c r="C20">
        <v>138</v>
      </c>
      <c r="D20">
        <v>156</v>
      </c>
      <c r="E20">
        <v>174</v>
      </c>
      <c r="H20">
        <v>99</v>
      </c>
      <c r="I20">
        <v>93</v>
      </c>
      <c r="J20">
        <v>126</v>
      </c>
      <c r="K20">
        <v>129</v>
      </c>
    </row>
    <row r="21" spans="2:11">
      <c r="B21">
        <v>117</v>
      </c>
      <c r="C21">
        <v>124</v>
      </c>
      <c r="D21">
        <v>150</v>
      </c>
      <c r="E21">
        <v>168</v>
      </c>
      <c r="H21">
        <v>96</v>
      </c>
      <c r="I21">
        <v>97</v>
      </c>
      <c r="J21">
        <v>126</v>
      </c>
      <c r="K21">
        <v>132</v>
      </c>
    </row>
    <row r="22" spans="2:11">
      <c r="B22">
        <v>99</v>
      </c>
      <c r="C22">
        <v>106</v>
      </c>
      <c r="D22">
        <v>141</v>
      </c>
      <c r="E22">
        <v>150</v>
      </c>
      <c r="H22">
        <v>87</v>
      </c>
      <c r="I22">
        <v>92</v>
      </c>
      <c r="J22">
        <v>135</v>
      </c>
      <c r="K22">
        <v>135</v>
      </c>
    </row>
    <row r="23" spans="2:11">
      <c r="B23">
        <v>90</v>
      </c>
      <c r="C23">
        <v>100</v>
      </c>
      <c r="D23">
        <v>141</v>
      </c>
      <c r="E23">
        <v>144</v>
      </c>
      <c r="H23">
        <v>84</v>
      </c>
      <c r="I23">
        <v>91</v>
      </c>
      <c r="J23">
        <v>147</v>
      </c>
      <c r="K23">
        <v>144</v>
      </c>
    </row>
    <row r="24" spans="2:11">
      <c r="B24">
        <v>90</v>
      </c>
      <c r="C24">
        <v>96</v>
      </c>
      <c r="D24">
        <v>138</v>
      </c>
      <c r="E24">
        <v>144</v>
      </c>
      <c r="H24">
        <v>81</v>
      </c>
      <c r="I24">
        <v>96</v>
      </c>
      <c r="J24">
        <v>159</v>
      </c>
      <c r="K24">
        <v>159</v>
      </c>
    </row>
    <row r="25" spans="2:11">
      <c r="B25">
        <v>80</v>
      </c>
      <c r="C25">
        <v>92</v>
      </c>
      <c r="D25">
        <v>132</v>
      </c>
      <c r="E25">
        <v>141</v>
      </c>
      <c r="H25">
        <v>81</v>
      </c>
      <c r="I25">
        <v>97</v>
      </c>
      <c r="J25">
        <v>153</v>
      </c>
      <c r="K25">
        <v>153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M56"/>
  <sheetViews>
    <sheetView topLeftCell="A37" zoomScaleNormal="100" workbookViewId="0">
      <selection activeCell="O27" sqref="O27"/>
    </sheetView>
  </sheetViews>
  <sheetFormatPr defaultRowHeight="15"/>
  <cols>
    <col min="1" max="1025" width="8.7109375" customWidth="1"/>
  </cols>
  <sheetData>
    <row r="1" spans="2:39">
      <c r="O1" t="s">
        <v>282</v>
      </c>
    </row>
    <row r="2" spans="2:39">
      <c r="B2">
        <v>36</v>
      </c>
      <c r="C2">
        <v>39</v>
      </c>
      <c r="D2">
        <v>22</v>
      </c>
      <c r="E2">
        <v>21</v>
      </c>
      <c r="J2">
        <v>38</v>
      </c>
      <c r="K2">
        <v>37</v>
      </c>
      <c r="L2">
        <v>26</v>
      </c>
      <c r="M2">
        <v>19</v>
      </c>
      <c r="O2">
        <v>76</v>
      </c>
      <c r="P2">
        <v>74</v>
      </c>
      <c r="Q2">
        <v>45</v>
      </c>
      <c r="R2">
        <v>41</v>
      </c>
      <c r="T2">
        <v>74</v>
      </c>
      <c r="U2">
        <v>69</v>
      </c>
      <c r="V2">
        <v>40</v>
      </c>
      <c r="W2">
        <v>34</v>
      </c>
      <c r="Y2">
        <v>48</v>
      </c>
      <c r="Z2">
        <v>48</v>
      </c>
      <c r="AA2">
        <v>66</v>
      </c>
      <c r="AC2">
        <v>46</v>
      </c>
      <c r="AD2">
        <v>46</v>
      </c>
      <c r="AE2">
        <v>64</v>
      </c>
      <c r="AG2">
        <v>28</v>
      </c>
      <c r="AH2">
        <v>19</v>
      </c>
      <c r="AI2">
        <v>23</v>
      </c>
      <c r="AK2">
        <v>32</v>
      </c>
      <c r="AL2">
        <v>12</v>
      </c>
      <c r="AM2">
        <v>27</v>
      </c>
    </row>
    <row r="3" spans="2:39">
      <c r="B3">
        <v>32</v>
      </c>
      <c r="C3">
        <v>35</v>
      </c>
      <c r="D3">
        <v>20</v>
      </c>
      <c r="E3">
        <v>21</v>
      </c>
      <c r="J3">
        <v>35</v>
      </c>
      <c r="K3">
        <v>36</v>
      </c>
      <c r="L3">
        <v>24</v>
      </c>
      <c r="M3">
        <v>19</v>
      </c>
      <c r="O3">
        <v>72</v>
      </c>
      <c r="P3">
        <v>70</v>
      </c>
      <c r="Q3">
        <v>44</v>
      </c>
      <c r="R3">
        <v>40</v>
      </c>
      <c r="T3">
        <v>69</v>
      </c>
      <c r="U3">
        <v>65</v>
      </c>
      <c r="V3">
        <v>36</v>
      </c>
      <c r="W3">
        <v>32</v>
      </c>
      <c r="Y3">
        <v>47</v>
      </c>
      <c r="Z3">
        <v>47</v>
      </c>
      <c r="AA3">
        <v>65</v>
      </c>
      <c r="AC3">
        <v>45</v>
      </c>
      <c r="AD3">
        <v>46</v>
      </c>
      <c r="AE3">
        <v>62</v>
      </c>
      <c r="AG3">
        <v>27</v>
      </c>
      <c r="AH3">
        <v>18</v>
      </c>
      <c r="AI3">
        <v>22</v>
      </c>
      <c r="AK3">
        <v>33</v>
      </c>
      <c r="AL3">
        <v>21</v>
      </c>
      <c r="AM3">
        <v>24</v>
      </c>
    </row>
    <row r="4" spans="2:39">
      <c r="B4">
        <v>30</v>
      </c>
      <c r="C4">
        <v>33</v>
      </c>
      <c r="D4">
        <v>19</v>
      </c>
      <c r="E4">
        <v>20</v>
      </c>
      <c r="J4">
        <v>32</v>
      </c>
      <c r="K4">
        <v>34</v>
      </c>
      <c r="L4">
        <v>22</v>
      </c>
      <c r="M4">
        <v>17</v>
      </c>
      <c r="O4">
        <v>70</v>
      </c>
      <c r="P4">
        <v>67</v>
      </c>
      <c r="Q4">
        <v>42</v>
      </c>
      <c r="R4">
        <v>39</v>
      </c>
      <c r="T4">
        <v>61</v>
      </c>
      <c r="U4">
        <v>60</v>
      </c>
      <c r="V4">
        <v>36</v>
      </c>
      <c r="W4">
        <v>32</v>
      </c>
      <c r="Y4">
        <v>46</v>
      </c>
      <c r="Z4">
        <v>46</v>
      </c>
      <c r="AA4">
        <v>64</v>
      </c>
      <c r="AC4">
        <v>44</v>
      </c>
      <c r="AD4">
        <v>45</v>
      </c>
      <c r="AE4">
        <v>61</v>
      </c>
      <c r="AG4">
        <v>26</v>
      </c>
      <c r="AH4">
        <v>18</v>
      </c>
      <c r="AI4">
        <v>21</v>
      </c>
      <c r="AK4">
        <v>35</v>
      </c>
      <c r="AL4">
        <v>22</v>
      </c>
      <c r="AM4">
        <v>25</v>
      </c>
    </row>
    <row r="5" spans="2:39">
      <c r="B5">
        <v>29</v>
      </c>
      <c r="C5">
        <v>29</v>
      </c>
      <c r="D5">
        <v>17</v>
      </c>
      <c r="E5">
        <v>20</v>
      </c>
      <c r="J5">
        <v>29</v>
      </c>
      <c r="K5">
        <v>35</v>
      </c>
      <c r="L5">
        <v>20</v>
      </c>
      <c r="M5">
        <v>17</v>
      </c>
      <c r="O5">
        <v>71</v>
      </c>
      <c r="P5">
        <v>60</v>
      </c>
      <c r="Q5">
        <v>42</v>
      </c>
      <c r="R5">
        <v>39</v>
      </c>
      <c r="T5">
        <v>59</v>
      </c>
      <c r="U5">
        <v>60</v>
      </c>
      <c r="V5">
        <v>36</v>
      </c>
      <c r="W5">
        <v>31</v>
      </c>
      <c r="Y5">
        <v>46</v>
      </c>
      <c r="Z5">
        <v>45</v>
      </c>
      <c r="AA5">
        <v>63</v>
      </c>
      <c r="AC5">
        <v>44</v>
      </c>
      <c r="AD5">
        <v>44</v>
      </c>
      <c r="AE5">
        <v>60</v>
      </c>
      <c r="AG5">
        <v>26</v>
      </c>
      <c r="AH5">
        <v>17</v>
      </c>
      <c r="AI5">
        <v>20</v>
      </c>
      <c r="AK5">
        <v>39</v>
      </c>
      <c r="AL5">
        <v>25</v>
      </c>
      <c r="AM5">
        <v>31</v>
      </c>
    </row>
    <row r="6" spans="2:39">
      <c r="B6">
        <v>26</v>
      </c>
      <c r="C6">
        <v>27</v>
      </c>
      <c r="D6">
        <v>18</v>
      </c>
      <c r="E6">
        <v>21</v>
      </c>
      <c r="J6">
        <v>27</v>
      </c>
      <c r="K6">
        <v>34</v>
      </c>
      <c r="L6">
        <v>24</v>
      </c>
      <c r="M6">
        <v>17</v>
      </c>
      <c r="O6">
        <v>72</v>
      </c>
      <c r="P6">
        <v>66</v>
      </c>
      <c r="Q6">
        <v>42</v>
      </c>
      <c r="R6">
        <v>48</v>
      </c>
      <c r="T6">
        <v>57</v>
      </c>
      <c r="U6">
        <v>55</v>
      </c>
      <c r="V6">
        <v>35</v>
      </c>
      <c r="W6">
        <v>36</v>
      </c>
      <c r="Y6">
        <v>51</v>
      </c>
      <c r="Z6">
        <v>54</v>
      </c>
      <c r="AA6">
        <v>69</v>
      </c>
      <c r="AC6">
        <v>50</v>
      </c>
      <c r="AD6">
        <v>57</v>
      </c>
      <c r="AE6">
        <v>68</v>
      </c>
      <c r="AG6">
        <v>30</v>
      </c>
      <c r="AH6">
        <v>19</v>
      </c>
      <c r="AI6">
        <v>22</v>
      </c>
      <c r="AK6">
        <v>45</v>
      </c>
      <c r="AL6">
        <v>36</v>
      </c>
      <c r="AM6">
        <v>38</v>
      </c>
    </row>
    <row r="7" spans="2:39">
      <c r="B7">
        <v>26</v>
      </c>
      <c r="C7">
        <v>27</v>
      </c>
      <c r="D7">
        <v>17</v>
      </c>
      <c r="E7">
        <v>23</v>
      </c>
      <c r="J7">
        <v>23</v>
      </c>
      <c r="K7">
        <v>36</v>
      </c>
      <c r="L7">
        <v>25</v>
      </c>
      <c r="M7">
        <v>19</v>
      </c>
      <c r="O7">
        <v>73</v>
      </c>
      <c r="P7">
        <v>72</v>
      </c>
      <c r="Q7">
        <v>50</v>
      </c>
      <c r="R7">
        <v>57</v>
      </c>
      <c r="T7">
        <v>55</v>
      </c>
      <c r="U7">
        <v>50</v>
      </c>
      <c r="V7">
        <v>38</v>
      </c>
      <c r="W7">
        <v>41</v>
      </c>
      <c r="Y7">
        <v>60</v>
      </c>
      <c r="Z7">
        <v>61</v>
      </c>
      <c r="AA7">
        <v>75</v>
      </c>
      <c r="AC7">
        <v>82</v>
      </c>
      <c r="AD7">
        <v>84</v>
      </c>
      <c r="AE7">
        <v>84</v>
      </c>
      <c r="AG7">
        <v>32</v>
      </c>
      <c r="AH7">
        <v>21</v>
      </c>
      <c r="AI7">
        <v>24</v>
      </c>
      <c r="AK7">
        <v>55</v>
      </c>
      <c r="AL7">
        <v>45</v>
      </c>
      <c r="AM7">
        <v>54</v>
      </c>
    </row>
    <row r="8" spans="2:39">
      <c r="B8">
        <v>27</v>
      </c>
      <c r="C8">
        <v>27</v>
      </c>
      <c r="D8">
        <v>19</v>
      </c>
      <c r="E8">
        <v>25</v>
      </c>
      <c r="J8">
        <v>25</v>
      </c>
      <c r="K8">
        <v>35</v>
      </c>
      <c r="L8">
        <v>26</v>
      </c>
      <c r="M8">
        <v>20</v>
      </c>
      <c r="O8">
        <v>75</v>
      </c>
      <c r="P8">
        <v>84</v>
      </c>
      <c r="Q8">
        <v>67</v>
      </c>
      <c r="R8">
        <v>74</v>
      </c>
      <c r="T8">
        <v>54</v>
      </c>
      <c r="U8">
        <v>50</v>
      </c>
      <c r="V8">
        <v>40</v>
      </c>
      <c r="W8">
        <v>40</v>
      </c>
      <c r="Y8">
        <v>81</v>
      </c>
      <c r="Z8">
        <v>86</v>
      </c>
      <c r="AA8">
        <v>86</v>
      </c>
      <c r="AC8">
        <v>126</v>
      </c>
      <c r="AD8">
        <v>126</v>
      </c>
      <c r="AE8">
        <v>116</v>
      </c>
      <c r="AG8">
        <v>34</v>
      </c>
      <c r="AH8">
        <v>38</v>
      </c>
      <c r="AI8">
        <v>40</v>
      </c>
      <c r="AK8">
        <v>65</v>
      </c>
      <c r="AL8">
        <v>60</v>
      </c>
      <c r="AM8">
        <v>67</v>
      </c>
    </row>
    <row r="9" spans="2:39">
      <c r="B9">
        <v>26</v>
      </c>
      <c r="C9">
        <v>27</v>
      </c>
      <c r="D9">
        <v>21</v>
      </c>
      <c r="E9">
        <v>26</v>
      </c>
      <c r="J9">
        <v>27</v>
      </c>
      <c r="K9">
        <v>34</v>
      </c>
      <c r="L9">
        <v>26</v>
      </c>
      <c r="M9">
        <v>20</v>
      </c>
      <c r="O9">
        <v>69</v>
      </c>
      <c r="P9">
        <v>69</v>
      </c>
      <c r="Q9">
        <v>74</v>
      </c>
      <c r="R9">
        <v>65</v>
      </c>
      <c r="T9">
        <v>53</v>
      </c>
      <c r="U9">
        <v>51</v>
      </c>
      <c r="V9">
        <v>86</v>
      </c>
      <c r="W9">
        <v>42</v>
      </c>
      <c r="Y9">
        <v>94</v>
      </c>
      <c r="Z9">
        <v>100</v>
      </c>
      <c r="AA9">
        <v>93</v>
      </c>
      <c r="AC9">
        <v>146</v>
      </c>
      <c r="AD9">
        <v>150</v>
      </c>
      <c r="AE9">
        <v>131</v>
      </c>
      <c r="AG9">
        <v>56</v>
      </c>
      <c r="AH9">
        <v>52</v>
      </c>
      <c r="AI9">
        <v>57</v>
      </c>
      <c r="AK9">
        <v>67</v>
      </c>
      <c r="AL9">
        <v>78</v>
      </c>
      <c r="AM9">
        <v>76</v>
      </c>
    </row>
    <row r="10" spans="2:39">
      <c r="B10">
        <v>27</v>
      </c>
      <c r="C10">
        <v>25</v>
      </c>
      <c r="D10">
        <v>22</v>
      </c>
      <c r="E10">
        <v>25</v>
      </c>
      <c r="J10">
        <v>26</v>
      </c>
      <c r="K10">
        <v>35</v>
      </c>
      <c r="L10">
        <v>27</v>
      </c>
      <c r="M10">
        <v>21</v>
      </c>
      <c r="O10">
        <v>65</v>
      </c>
      <c r="P10">
        <v>60</v>
      </c>
      <c r="Q10">
        <v>52</v>
      </c>
      <c r="R10">
        <v>58</v>
      </c>
      <c r="T10">
        <v>53</v>
      </c>
      <c r="U10">
        <v>45</v>
      </c>
      <c r="V10">
        <v>59</v>
      </c>
      <c r="W10">
        <v>45</v>
      </c>
      <c r="Y10">
        <v>91</v>
      </c>
      <c r="Z10">
        <v>107</v>
      </c>
      <c r="AA10">
        <v>99</v>
      </c>
      <c r="AC10">
        <v>128</v>
      </c>
      <c r="AD10">
        <v>134</v>
      </c>
      <c r="AE10">
        <v>124</v>
      </c>
      <c r="AG10">
        <v>53</v>
      </c>
      <c r="AH10">
        <v>53</v>
      </c>
      <c r="AI10">
        <v>56</v>
      </c>
      <c r="AK10">
        <v>66</v>
      </c>
      <c r="AL10">
        <v>78</v>
      </c>
      <c r="AM10">
        <v>76</v>
      </c>
    </row>
    <row r="11" spans="2:39">
      <c r="B11">
        <v>27</v>
      </c>
      <c r="C11">
        <v>28</v>
      </c>
      <c r="D11">
        <v>23</v>
      </c>
      <c r="E11">
        <v>28</v>
      </c>
      <c r="J11">
        <v>30</v>
      </c>
      <c r="K11">
        <v>35</v>
      </c>
      <c r="L11">
        <v>26</v>
      </c>
      <c r="M11">
        <v>24</v>
      </c>
      <c r="O11">
        <v>72</v>
      </c>
      <c r="P11">
        <v>56</v>
      </c>
      <c r="Q11">
        <v>47</v>
      </c>
      <c r="R11">
        <v>46</v>
      </c>
      <c r="T11">
        <v>59</v>
      </c>
      <c r="U11">
        <v>51</v>
      </c>
      <c r="V11">
        <v>48</v>
      </c>
      <c r="W11">
        <v>40</v>
      </c>
      <c r="Y11">
        <v>90</v>
      </c>
      <c r="Z11">
        <v>100</v>
      </c>
      <c r="AA11">
        <v>98</v>
      </c>
      <c r="AC11">
        <v>126</v>
      </c>
      <c r="AD11">
        <v>130</v>
      </c>
      <c r="AE11">
        <v>116</v>
      </c>
      <c r="AG11">
        <v>55</v>
      </c>
      <c r="AH11">
        <v>54</v>
      </c>
      <c r="AI11">
        <v>55</v>
      </c>
      <c r="AK11">
        <v>69</v>
      </c>
      <c r="AL11">
        <v>78</v>
      </c>
      <c r="AM11">
        <v>70</v>
      </c>
    </row>
    <row r="12" spans="2:39">
      <c r="B12">
        <v>27</v>
      </c>
      <c r="C12">
        <v>27</v>
      </c>
      <c r="D12">
        <v>22</v>
      </c>
      <c r="E12">
        <v>29</v>
      </c>
      <c r="J12">
        <v>30</v>
      </c>
      <c r="K12">
        <v>38</v>
      </c>
      <c r="L12">
        <v>25</v>
      </c>
      <c r="M12">
        <v>22</v>
      </c>
      <c r="O12">
        <v>66</v>
      </c>
      <c r="P12">
        <v>48</v>
      </c>
      <c r="Q12">
        <v>42</v>
      </c>
      <c r="R12">
        <v>44</v>
      </c>
      <c r="T12">
        <v>71</v>
      </c>
      <c r="U12">
        <v>52</v>
      </c>
      <c r="V12">
        <v>44</v>
      </c>
      <c r="W12">
        <v>40</v>
      </c>
      <c r="Y12">
        <v>83</v>
      </c>
      <c r="Z12">
        <v>86</v>
      </c>
      <c r="AA12">
        <v>93</v>
      </c>
      <c r="AC12">
        <v>102</v>
      </c>
      <c r="AD12">
        <v>110</v>
      </c>
      <c r="AE12">
        <v>106</v>
      </c>
      <c r="AG12">
        <v>53</v>
      </c>
      <c r="AH12">
        <v>50</v>
      </c>
      <c r="AI12">
        <v>53</v>
      </c>
      <c r="AK12">
        <v>69</v>
      </c>
      <c r="AL12">
        <v>66</v>
      </c>
      <c r="AM12">
        <v>61</v>
      </c>
    </row>
    <row r="13" spans="2:39">
      <c r="B13">
        <v>26</v>
      </c>
      <c r="C13">
        <v>27</v>
      </c>
      <c r="D13">
        <v>22</v>
      </c>
      <c r="E13">
        <v>28</v>
      </c>
      <c r="J13">
        <v>32</v>
      </c>
      <c r="K13">
        <v>38</v>
      </c>
      <c r="L13">
        <v>24</v>
      </c>
      <c r="M13">
        <v>21</v>
      </c>
      <c r="O13">
        <v>66</v>
      </c>
      <c r="P13">
        <v>50</v>
      </c>
      <c r="Q13">
        <v>40</v>
      </c>
      <c r="R13">
        <v>42</v>
      </c>
      <c r="T13">
        <v>64</v>
      </c>
      <c r="U13">
        <v>55</v>
      </c>
      <c r="V13">
        <v>40</v>
      </c>
      <c r="W13">
        <v>41</v>
      </c>
      <c r="Y13">
        <v>76</v>
      </c>
      <c r="Z13">
        <v>80</v>
      </c>
      <c r="AA13">
        <v>89</v>
      </c>
      <c r="AC13">
        <v>86</v>
      </c>
      <c r="AD13">
        <v>96</v>
      </c>
      <c r="AE13">
        <v>96</v>
      </c>
      <c r="AG13">
        <v>49</v>
      </c>
      <c r="AH13">
        <v>43</v>
      </c>
      <c r="AI13">
        <v>43</v>
      </c>
      <c r="AK13">
        <v>56</v>
      </c>
      <c r="AL13">
        <v>54</v>
      </c>
      <c r="AM13">
        <v>51</v>
      </c>
    </row>
    <row r="14" spans="2:39">
      <c r="B14">
        <v>25</v>
      </c>
      <c r="C14">
        <v>28</v>
      </c>
      <c r="D14">
        <v>21</v>
      </c>
      <c r="E14">
        <v>27</v>
      </c>
      <c r="J14">
        <v>34</v>
      </c>
      <c r="K14">
        <v>40</v>
      </c>
      <c r="L14">
        <v>23</v>
      </c>
      <c r="M14">
        <v>19</v>
      </c>
      <c r="O14">
        <v>59</v>
      </c>
      <c r="P14">
        <v>54</v>
      </c>
      <c r="Q14">
        <v>40</v>
      </c>
      <c r="R14">
        <v>38</v>
      </c>
      <c r="T14">
        <v>69</v>
      </c>
      <c r="U14">
        <v>54</v>
      </c>
      <c r="V14">
        <v>42</v>
      </c>
      <c r="W14">
        <v>38</v>
      </c>
      <c r="Y14">
        <v>63</v>
      </c>
      <c r="Z14">
        <v>70</v>
      </c>
      <c r="AA14">
        <v>87</v>
      </c>
      <c r="AC14">
        <v>66</v>
      </c>
      <c r="AD14">
        <v>82</v>
      </c>
      <c r="AE14">
        <v>92</v>
      </c>
      <c r="AG14">
        <v>44</v>
      </c>
      <c r="AH14">
        <v>3</v>
      </c>
      <c r="AI14">
        <v>35</v>
      </c>
      <c r="AK14">
        <v>44</v>
      </c>
      <c r="AL14">
        <v>48</v>
      </c>
      <c r="AM14">
        <v>47</v>
      </c>
    </row>
    <row r="15" spans="2:39">
      <c r="B15">
        <v>25</v>
      </c>
      <c r="C15">
        <v>29</v>
      </c>
      <c r="D15">
        <v>20</v>
      </c>
      <c r="E15">
        <v>28</v>
      </c>
      <c r="J15">
        <v>32</v>
      </c>
      <c r="K15">
        <v>34</v>
      </c>
      <c r="L15">
        <v>22</v>
      </c>
      <c r="M15">
        <v>19</v>
      </c>
      <c r="O15">
        <v>63</v>
      </c>
      <c r="P15">
        <v>57</v>
      </c>
      <c r="Q15">
        <v>43</v>
      </c>
      <c r="R15">
        <v>35</v>
      </c>
      <c r="T15">
        <v>70</v>
      </c>
      <c r="U15">
        <v>60</v>
      </c>
      <c r="V15">
        <v>43</v>
      </c>
      <c r="W15">
        <v>35</v>
      </c>
      <c r="Y15">
        <v>61</v>
      </c>
      <c r="Z15">
        <v>67</v>
      </c>
      <c r="AA15">
        <v>79</v>
      </c>
      <c r="AC15">
        <v>64</v>
      </c>
      <c r="AD15">
        <v>72</v>
      </c>
      <c r="AE15">
        <v>80</v>
      </c>
      <c r="AG15">
        <v>39</v>
      </c>
      <c r="AH15">
        <v>28</v>
      </c>
      <c r="AI15">
        <v>31</v>
      </c>
      <c r="AK15">
        <v>42</v>
      </c>
      <c r="AL15">
        <v>33</v>
      </c>
      <c r="AM15">
        <v>40</v>
      </c>
    </row>
    <row r="16" spans="2:39">
      <c r="B16">
        <v>27</v>
      </c>
      <c r="C16">
        <v>29</v>
      </c>
      <c r="D16">
        <v>21</v>
      </c>
      <c r="E16">
        <v>27</v>
      </c>
      <c r="J16">
        <v>32</v>
      </c>
      <c r="K16">
        <v>34</v>
      </c>
      <c r="L16">
        <v>24</v>
      </c>
      <c r="M16">
        <v>20</v>
      </c>
      <c r="O16">
        <v>59</v>
      </c>
      <c r="P16">
        <v>55</v>
      </c>
      <c r="Q16">
        <v>56</v>
      </c>
      <c r="R16">
        <v>36</v>
      </c>
      <c r="T16">
        <v>74</v>
      </c>
      <c r="U16">
        <v>60</v>
      </c>
      <c r="V16">
        <v>46</v>
      </c>
      <c r="W16">
        <v>36</v>
      </c>
      <c r="Y16">
        <v>59</v>
      </c>
      <c r="Z16">
        <v>66</v>
      </c>
      <c r="AA16">
        <v>74</v>
      </c>
      <c r="AC16">
        <v>62</v>
      </c>
      <c r="AD16">
        <v>66</v>
      </c>
      <c r="AE16">
        <v>72</v>
      </c>
      <c r="AG16">
        <v>35</v>
      </c>
      <c r="AH16">
        <v>24</v>
      </c>
      <c r="AI16">
        <v>27</v>
      </c>
      <c r="AK16">
        <v>41</v>
      </c>
      <c r="AL16">
        <v>30</v>
      </c>
      <c r="AM16">
        <v>29</v>
      </c>
    </row>
    <row r="17" spans="2:39">
      <c r="B17">
        <v>29</v>
      </c>
      <c r="C17">
        <v>27</v>
      </c>
      <c r="D17">
        <v>20</v>
      </c>
      <c r="E17">
        <v>27</v>
      </c>
      <c r="J17">
        <v>30</v>
      </c>
      <c r="K17">
        <v>32</v>
      </c>
      <c r="L17">
        <v>25</v>
      </c>
      <c r="M17">
        <v>18</v>
      </c>
      <c r="O17">
        <v>63</v>
      </c>
      <c r="P17">
        <v>57</v>
      </c>
      <c r="Q17">
        <v>52</v>
      </c>
      <c r="R17">
        <v>39</v>
      </c>
      <c r="T17">
        <v>72</v>
      </c>
      <c r="U17">
        <v>60</v>
      </c>
      <c r="V17">
        <v>46</v>
      </c>
      <c r="W17">
        <v>37</v>
      </c>
      <c r="Y17">
        <v>60</v>
      </c>
      <c r="Z17">
        <v>61</v>
      </c>
      <c r="AA17">
        <v>73</v>
      </c>
      <c r="AC17">
        <v>62</v>
      </c>
      <c r="AD17">
        <v>68</v>
      </c>
      <c r="AE17">
        <v>78</v>
      </c>
      <c r="AG17">
        <v>36</v>
      </c>
      <c r="AH17">
        <v>24</v>
      </c>
      <c r="AI17">
        <v>26</v>
      </c>
      <c r="AK17">
        <v>40</v>
      </c>
      <c r="AL17">
        <v>36</v>
      </c>
      <c r="AM17">
        <v>25</v>
      </c>
    </row>
    <row r="18" spans="2:39">
      <c r="B18">
        <v>30</v>
      </c>
      <c r="C18">
        <v>28</v>
      </c>
      <c r="D18">
        <v>17</v>
      </c>
      <c r="E18">
        <v>27</v>
      </c>
      <c r="J18">
        <v>31</v>
      </c>
      <c r="K18">
        <v>32</v>
      </c>
      <c r="L18">
        <v>26</v>
      </c>
      <c r="M18">
        <v>20</v>
      </c>
      <c r="O18">
        <v>74</v>
      </c>
      <c r="P18">
        <v>58</v>
      </c>
      <c r="Q18">
        <v>53</v>
      </c>
      <c r="R18">
        <v>45</v>
      </c>
      <c r="T18">
        <v>71</v>
      </c>
      <c r="U18">
        <v>59</v>
      </c>
      <c r="V18">
        <v>47</v>
      </c>
      <c r="W18">
        <v>39</v>
      </c>
      <c r="Y18">
        <v>68</v>
      </c>
      <c r="Z18">
        <v>72</v>
      </c>
      <c r="AA18">
        <v>79</v>
      </c>
      <c r="AC18">
        <v>108</v>
      </c>
      <c r="AD18">
        <v>114</v>
      </c>
      <c r="AE18">
        <v>122</v>
      </c>
      <c r="AG18">
        <v>38</v>
      </c>
      <c r="AH18">
        <v>27</v>
      </c>
      <c r="AI18">
        <v>28</v>
      </c>
      <c r="AK18">
        <v>45</v>
      </c>
      <c r="AL18">
        <v>40</v>
      </c>
      <c r="AM18">
        <v>38</v>
      </c>
    </row>
    <row r="19" spans="2:39">
      <c r="B19">
        <v>32</v>
      </c>
      <c r="C19">
        <v>28</v>
      </c>
      <c r="D19">
        <v>19</v>
      </c>
      <c r="E19">
        <v>28</v>
      </c>
      <c r="J19">
        <v>32</v>
      </c>
      <c r="K19">
        <v>30</v>
      </c>
      <c r="L19">
        <v>27</v>
      </c>
      <c r="M19">
        <v>20</v>
      </c>
      <c r="O19">
        <v>79</v>
      </c>
      <c r="P19">
        <v>61</v>
      </c>
      <c r="Q19">
        <v>47</v>
      </c>
      <c r="R19">
        <v>52</v>
      </c>
      <c r="T19">
        <v>64</v>
      </c>
      <c r="U19">
        <v>64</v>
      </c>
      <c r="V19">
        <v>44</v>
      </c>
      <c r="W19">
        <v>43</v>
      </c>
      <c r="Y19">
        <v>91</v>
      </c>
      <c r="Z19">
        <v>90</v>
      </c>
      <c r="AA19">
        <v>87</v>
      </c>
      <c r="AC19">
        <v>124</v>
      </c>
      <c r="AD19">
        <v>130</v>
      </c>
      <c r="AE19">
        <v>128</v>
      </c>
      <c r="AG19">
        <v>43</v>
      </c>
      <c r="AH19">
        <v>28</v>
      </c>
      <c r="AI19">
        <v>28</v>
      </c>
      <c r="AK19">
        <v>50</v>
      </c>
      <c r="AL19">
        <v>47</v>
      </c>
      <c r="AM19">
        <v>45</v>
      </c>
    </row>
    <row r="20" spans="2:39">
      <c r="B20">
        <v>35</v>
      </c>
      <c r="C20">
        <v>30</v>
      </c>
      <c r="D20">
        <v>20</v>
      </c>
      <c r="E20">
        <v>26</v>
      </c>
      <c r="J20">
        <v>34</v>
      </c>
      <c r="K20">
        <v>34</v>
      </c>
      <c r="L20">
        <v>27</v>
      </c>
      <c r="M20">
        <v>19</v>
      </c>
      <c r="O20">
        <v>82</v>
      </c>
      <c r="P20">
        <v>77</v>
      </c>
      <c r="Q20">
        <v>46</v>
      </c>
      <c r="R20">
        <v>58</v>
      </c>
      <c r="T20">
        <v>65</v>
      </c>
      <c r="U20">
        <v>67</v>
      </c>
      <c r="V20">
        <v>44</v>
      </c>
      <c r="W20">
        <v>44</v>
      </c>
      <c r="Y20">
        <v>86</v>
      </c>
      <c r="Z20">
        <v>90</v>
      </c>
      <c r="AA20">
        <v>90</v>
      </c>
      <c r="AC20">
        <v>124</v>
      </c>
      <c r="AD20">
        <v>124</v>
      </c>
      <c r="AE20">
        <v>130</v>
      </c>
      <c r="AG20">
        <v>44</v>
      </c>
      <c r="AH20">
        <v>30</v>
      </c>
      <c r="AI20">
        <v>30</v>
      </c>
      <c r="AK20">
        <v>52</v>
      </c>
      <c r="AL20">
        <v>52</v>
      </c>
      <c r="AM20">
        <v>47</v>
      </c>
    </row>
    <row r="21" spans="2:39">
      <c r="B21">
        <v>38</v>
      </c>
      <c r="C21">
        <v>32</v>
      </c>
      <c r="D21">
        <v>19</v>
      </c>
      <c r="E21">
        <v>26</v>
      </c>
      <c r="J21">
        <v>35</v>
      </c>
      <c r="K21">
        <v>39</v>
      </c>
      <c r="L21">
        <v>26</v>
      </c>
      <c r="M21">
        <v>18</v>
      </c>
      <c r="O21">
        <v>84</v>
      </c>
      <c r="P21">
        <v>71</v>
      </c>
      <c r="Q21">
        <v>47</v>
      </c>
      <c r="R21">
        <v>52</v>
      </c>
      <c r="T21">
        <v>74</v>
      </c>
      <c r="U21">
        <v>68</v>
      </c>
      <c r="V21">
        <v>41</v>
      </c>
      <c r="W21">
        <v>41</v>
      </c>
      <c r="Y21">
        <v>77</v>
      </c>
      <c r="Z21">
        <v>81</v>
      </c>
      <c r="AA21">
        <v>88</v>
      </c>
      <c r="AC21">
        <v>96</v>
      </c>
      <c r="AD21">
        <v>102</v>
      </c>
      <c r="AE21">
        <v>118</v>
      </c>
      <c r="AG21">
        <v>40</v>
      </c>
      <c r="AH21">
        <v>33</v>
      </c>
      <c r="AI21">
        <v>31</v>
      </c>
      <c r="AK21">
        <v>63</v>
      </c>
      <c r="AL21">
        <v>47</v>
      </c>
      <c r="AM21">
        <v>45</v>
      </c>
    </row>
    <row r="22" spans="2:39">
      <c r="C22">
        <v>34</v>
      </c>
      <c r="D22">
        <v>18</v>
      </c>
      <c r="E22">
        <v>25</v>
      </c>
      <c r="J22">
        <v>37</v>
      </c>
      <c r="L22">
        <v>26</v>
      </c>
      <c r="M22">
        <v>18</v>
      </c>
      <c r="O22">
        <v>83</v>
      </c>
      <c r="P22">
        <v>72</v>
      </c>
      <c r="Q22">
        <v>48</v>
      </c>
      <c r="R22">
        <v>49</v>
      </c>
      <c r="T22">
        <v>74</v>
      </c>
      <c r="U22">
        <v>66</v>
      </c>
      <c r="V22">
        <v>43</v>
      </c>
      <c r="W22">
        <v>39</v>
      </c>
      <c r="Y22">
        <v>70</v>
      </c>
      <c r="Z22">
        <v>78</v>
      </c>
      <c r="AA22">
        <v>80</v>
      </c>
      <c r="AC22">
        <v>82</v>
      </c>
      <c r="AD22">
        <v>90</v>
      </c>
      <c r="AE22">
        <v>98</v>
      </c>
      <c r="AG22">
        <v>38</v>
      </c>
      <c r="AH22">
        <v>33</v>
      </c>
      <c r="AI22">
        <v>28</v>
      </c>
      <c r="AK22">
        <v>48</v>
      </c>
      <c r="AL22">
        <v>42</v>
      </c>
      <c r="AM22">
        <v>38</v>
      </c>
    </row>
    <row r="23" spans="2:39">
      <c r="C23">
        <v>34</v>
      </c>
      <c r="D23">
        <v>19</v>
      </c>
      <c r="E23">
        <v>24</v>
      </c>
      <c r="J23">
        <v>37</v>
      </c>
      <c r="L23">
        <v>25</v>
      </c>
      <c r="M23">
        <v>17</v>
      </c>
      <c r="O23">
        <v>82</v>
      </c>
      <c r="P23">
        <v>72</v>
      </c>
      <c r="R23">
        <v>47</v>
      </c>
      <c r="T23">
        <v>81</v>
      </c>
      <c r="U23">
        <v>68</v>
      </c>
      <c r="W23">
        <v>39</v>
      </c>
      <c r="Y23">
        <v>62</v>
      </c>
      <c r="Z23">
        <v>72</v>
      </c>
      <c r="AA23">
        <v>75</v>
      </c>
      <c r="AC23">
        <v>70</v>
      </c>
      <c r="AD23">
        <v>74</v>
      </c>
      <c r="AE23">
        <v>92</v>
      </c>
      <c r="AG23">
        <v>34</v>
      </c>
      <c r="AH23">
        <v>34</v>
      </c>
      <c r="AI23">
        <v>26</v>
      </c>
      <c r="AK23">
        <v>40</v>
      </c>
      <c r="AL23">
        <v>37</v>
      </c>
      <c r="AM23">
        <v>33</v>
      </c>
    </row>
    <row r="24" spans="2:39">
      <c r="C24">
        <v>36</v>
      </c>
      <c r="D24">
        <v>19</v>
      </c>
      <c r="E24">
        <v>23</v>
      </c>
      <c r="J24">
        <v>39</v>
      </c>
      <c r="L24">
        <v>25</v>
      </c>
      <c r="M24">
        <v>16</v>
      </c>
      <c r="P24">
        <v>75</v>
      </c>
      <c r="R24">
        <v>47</v>
      </c>
      <c r="T24">
        <v>85</v>
      </c>
      <c r="U24">
        <v>69</v>
      </c>
      <c r="W24">
        <v>47</v>
      </c>
      <c r="Y24">
        <v>57</v>
      </c>
      <c r="Z24">
        <v>60</v>
      </c>
      <c r="AA24">
        <v>69</v>
      </c>
      <c r="AC24">
        <v>52</v>
      </c>
      <c r="AD24">
        <v>66</v>
      </c>
      <c r="AE24">
        <v>78</v>
      </c>
      <c r="AG24">
        <v>31</v>
      </c>
      <c r="AH24">
        <v>35</v>
      </c>
      <c r="AI24">
        <v>24</v>
      </c>
      <c r="AK24">
        <v>32</v>
      </c>
      <c r="AL24">
        <v>30</v>
      </c>
      <c r="AM24">
        <v>30</v>
      </c>
    </row>
    <row r="25" spans="2:39">
      <c r="C25">
        <v>37</v>
      </c>
      <c r="D25">
        <v>18</v>
      </c>
      <c r="E25">
        <v>24</v>
      </c>
      <c r="J25">
        <v>38</v>
      </c>
      <c r="L25">
        <v>24</v>
      </c>
      <c r="M25">
        <v>18</v>
      </c>
      <c r="P25">
        <v>76</v>
      </c>
      <c r="R25">
        <v>43</v>
      </c>
      <c r="T25">
        <v>77</v>
      </c>
      <c r="U25">
        <v>72</v>
      </c>
      <c r="W25">
        <v>35</v>
      </c>
      <c r="Y25">
        <v>57</v>
      </c>
      <c r="Z25">
        <v>57</v>
      </c>
      <c r="AA25">
        <v>69</v>
      </c>
      <c r="AC25">
        <v>52</v>
      </c>
      <c r="AD25">
        <v>57</v>
      </c>
      <c r="AE25">
        <v>72</v>
      </c>
      <c r="AG25">
        <v>28</v>
      </c>
      <c r="AH25">
        <v>36</v>
      </c>
      <c r="AI25">
        <v>21</v>
      </c>
      <c r="AK25">
        <v>32</v>
      </c>
      <c r="AL25">
        <v>26</v>
      </c>
      <c r="AM25">
        <v>27</v>
      </c>
    </row>
    <row r="27" spans="2:39">
      <c r="F27">
        <v>3370</v>
      </c>
      <c r="G27">
        <v>12500</v>
      </c>
      <c r="M27">
        <f>1.732*0.95*11*17*24</f>
        <v>7384.5551999999998</v>
      </c>
    </row>
    <row r="28" spans="2:39">
      <c r="F28">
        <f>F27*G27</f>
        <v>42125000</v>
      </c>
      <c r="M28">
        <v>13</v>
      </c>
      <c r="N28">
        <f>M28*M27</f>
        <v>95999.217600000004</v>
      </c>
    </row>
    <row r="29" spans="2:39">
      <c r="M29">
        <v>12500</v>
      </c>
    </row>
    <row r="31" spans="2:39">
      <c r="Q31">
        <v>33</v>
      </c>
      <c r="R31">
        <v>29</v>
      </c>
      <c r="S31">
        <v>27</v>
      </c>
    </row>
    <row r="32" spans="2:39">
      <c r="Q32">
        <v>30</v>
      </c>
      <c r="R32">
        <v>29</v>
      </c>
      <c r="S32">
        <v>26</v>
      </c>
    </row>
    <row r="33" spans="13:19">
      <c r="Q33">
        <v>31</v>
      </c>
      <c r="R33">
        <v>29</v>
      </c>
      <c r="S33">
        <v>26</v>
      </c>
    </row>
    <row r="34" spans="13:19">
      <c r="Q34">
        <v>31</v>
      </c>
      <c r="R34">
        <v>30</v>
      </c>
      <c r="S34">
        <v>26</v>
      </c>
    </row>
    <row r="35" spans="13:19">
      <c r="Q35">
        <v>30</v>
      </c>
      <c r="R35">
        <v>29</v>
      </c>
      <c r="S35">
        <v>26</v>
      </c>
    </row>
    <row r="36" spans="13:19">
      <c r="Q36">
        <v>35</v>
      </c>
      <c r="R36">
        <v>33</v>
      </c>
      <c r="S36">
        <v>30</v>
      </c>
    </row>
    <row r="37" spans="13:19">
      <c r="Q37">
        <v>41</v>
      </c>
      <c r="R37">
        <v>39</v>
      </c>
      <c r="S37">
        <v>34</v>
      </c>
    </row>
    <row r="38" spans="13:19">
      <c r="M38" t="s">
        <v>926</v>
      </c>
      <c r="N38">
        <v>143416.74969600001</v>
      </c>
      <c r="Q38">
        <v>44</v>
      </c>
      <c r="R38">
        <v>42</v>
      </c>
      <c r="S38">
        <v>39</v>
      </c>
    </row>
    <row r="39" spans="13:19">
      <c r="N39">
        <v>218930.34239999999</v>
      </c>
      <c r="Q39">
        <v>46</v>
      </c>
      <c r="R39">
        <v>49</v>
      </c>
      <c r="S39">
        <v>45</v>
      </c>
    </row>
    <row r="40" spans="13:19">
      <c r="N40">
        <v>95999.217600000004</v>
      </c>
      <c r="Q40">
        <v>53</v>
      </c>
      <c r="R40">
        <v>50</v>
      </c>
      <c r="S40">
        <v>48</v>
      </c>
    </row>
    <row r="41" spans="13:19">
      <c r="N41">
        <f>SUM(N39:N40)</f>
        <v>314929.56</v>
      </c>
      <c r="Q41">
        <v>58</v>
      </c>
      <c r="R41">
        <v>50</v>
      </c>
      <c r="S41">
        <v>50</v>
      </c>
    </row>
    <row r="42" spans="13:19">
      <c r="Q42">
        <v>62</v>
      </c>
      <c r="R42">
        <v>49</v>
      </c>
      <c r="S42">
        <v>51</v>
      </c>
    </row>
    <row r="43" spans="13:19">
      <c r="Q43">
        <v>139</v>
      </c>
      <c r="R43">
        <v>44</v>
      </c>
      <c r="S43">
        <v>50</v>
      </c>
    </row>
    <row r="44" spans="13:19">
      <c r="Q44">
        <v>128</v>
      </c>
      <c r="R44">
        <v>39</v>
      </c>
      <c r="S44">
        <v>46</v>
      </c>
    </row>
    <row r="45" spans="13:19">
      <c r="Q45">
        <v>164</v>
      </c>
      <c r="R45">
        <v>38</v>
      </c>
      <c r="S45">
        <v>41</v>
      </c>
    </row>
    <row r="46" spans="13:19">
      <c r="Q46">
        <v>167</v>
      </c>
      <c r="R46">
        <v>40</v>
      </c>
      <c r="S46">
        <v>42</v>
      </c>
    </row>
    <row r="47" spans="13:19">
      <c r="Q47">
        <v>162</v>
      </c>
      <c r="R47">
        <v>41</v>
      </c>
      <c r="S47">
        <v>47</v>
      </c>
    </row>
    <row r="48" spans="13:19">
      <c r="Q48">
        <v>155</v>
      </c>
      <c r="R48">
        <v>46</v>
      </c>
      <c r="S48">
        <v>54</v>
      </c>
    </row>
    <row r="49" spans="17:19">
      <c r="Q49">
        <v>140</v>
      </c>
      <c r="R49">
        <v>44</v>
      </c>
      <c r="S49">
        <v>54</v>
      </c>
    </row>
    <row r="50" spans="17:19">
      <c r="Q50">
        <v>112</v>
      </c>
      <c r="R50">
        <v>44</v>
      </c>
      <c r="S50">
        <v>51</v>
      </c>
    </row>
    <row r="51" spans="17:19">
      <c r="Q51">
        <v>87</v>
      </c>
      <c r="R51">
        <v>38</v>
      </c>
      <c r="S51">
        <v>43</v>
      </c>
    </row>
    <row r="52" spans="17:19">
      <c r="Q52">
        <v>68</v>
      </c>
      <c r="R52">
        <v>34</v>
      </c>
      <c r="S52">
        <v>34</v>
      </c>
    </row>
    <row r="53" spans="17:19">
      <c r="Q53">
        <f>SUM(Q31:Q52)</f>
        <v>1816</v>
      </c>
      <c r="R53">
        <v>30</v>
      </c>
      <c r="S53">
        <v>31</v>
      </c>
    </row>
    <row r="54" spans="17:19">
      <c r="Q54">
        <f>Q53/22</f>
        <v>82.545454545454547</v>
      </c>
      <c r="R54">
        <v>28</v>
      </c>
      <c r="S54">
        <v>28</v>
      </c>
    </row>
    <row r="55" spans="17:19">
      <c r="R55">
        <f>SUM(R31:R54)</f>
        <v>924</v>
      </c>
      <c r="S55">
        <f>SUM(S31:S54)</f>
        <v>949</v>
      </c>
    </row>
    <row r="56" spans="17:19">
      <c r="R56">
        <f>R55/24</f>
        <v>38.5</v>
      </c>
      <c r="S56">
        <f>S55/24</f>
        <v>39.541666666666664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P58"/>
  <sheetViews>
    <sheetView zoomScaleNormal="100" workbookViewId="0">
      <selection activeCell="I29" sqref="I29"/>
    </sheetView>
  </sheetViews>
  <sheetFormatPr defaultRowHeight="15"/>
  <cols>
    <col min="1" max="1025" width="8.7109375" customWidth="1"/>
  </cols>
  <sheetData>
    <row r="2" spans="3:16">
      <c r="C2" t="s">
        <v>3124</v>
      </c>
      <c r="D2" t="s">
        <v>3125</v>
      </c>
      <c r="E2" t="s">
        <v>3126</v>
      </c>
      <c r="F2" t="s">
        <v>3127</v>
      </c>
      <c r="P2">
        <v>3</v>
      </c>
    </row>
    <row r="3" spans="3:16">
      <c r="C3">
        <v>47</v>
      </c>
      <c r="D3">
        <v>38</v>
      </c>
      <c r="F3">
        <v>31</v>
      </c>
      <c r="P3">
        <v>3</v>
      </c>
    </row>
    <row r="4" spans="3:16">
      <c r="C4">
        <v>46</v>
      </c>
      <c r="D4">
        <v>36</v>
      </c>
      <c r="F4">
        <v>30</v>
      </c>
      <c r="P4">
        <v>3</v>
      </c>
    </row>
    <row r="5" spans="3:16">
      <c r="C5">
        <v>42</v>
      </c>
      <c r="D5">
        <v>36</v>
      </c>
      <c r="F5">
        <v>29</v>
      </c>
      <c r="P5">
        <v>3</v>
      </c>
    </row>
    <row r="6" spans="3:16">
      <c r="C6">
        <v>42</v>
      </c>
      <c r="D6">
        <v>34</v>
      </c>
      <c r="F6">
        <v>30</v>
      </c>
      <c r="P6">
        <v>3</v>
      </c>
    </row>
    <row r="7" spans="3:16">
      <c r="C7">
        <v>40</v>
      </c>
      <c r="D7">
        <v>33</v>
      </c>
      <c r="F7">
        <v>28</v>
      </c>
      <c r="P7">
        <v>3</v>
      </c>
    </row>
    <row r="8" spans="3:16">
      <c r="C8">
        <v>40</v>
      </c>
      <c r="D8">
        <v>36</v>
      </c>
      <c r="F8">
        <v>32</v>
      </c>
      <c r="P8">
        <v>3</v>
      </c>
    </row>
    <row r="9" spans="3:16">
      <c r="C9" s="201">
        <v>47</v>
      </c>
      <c r="D9">
        <v>42</v>
      </c>
      <c r="F9">
        <v>45</v>
      </c>
      <c r="P9">
        <v>3</v>
      </c>
    </row>
    <row r="10" spans="3:16">
      <c r="C10" s="201">
        <v>46</v>
      </c>
      <c r="E10">
        <v>45</v>
      </c>
      <c r="F10" s="201">
        <v>31</v>
      </c>
      <c r="P10">
        <v>3</v>
      </c>
    </row>
    <row r="11" spans="3:16">
      <c r="C11" s="201">
        <v>42</v>
      </c>
      <c r="E11">
        <v>45</v>
      </c>
      <c r="F11" s="201">
        <v>30</v>
      </c>
      <c r="P11">
        <v>3</v>
      </c>
    </row>
    <row r="12" spans="3:16">
      <c r="C12" s="201">
        <v>42</v>
      </c>
      <c r="E12">
        <v>48</v>
      </c>
      <c r="F12" s="201">
        <v>29</v>
      </c>
      <c r="P12">
        <v>2</v>
      </c>
    </row>
    <row r="13" spans="3:16">
      <c r="C13" s="201">
        <v>40</v>
      </c>
      <c r="E13">
        <v>57</v>
      </c>
      <c r="F13" s="201">
        <v>30</v>
      </c>
      <c r="P13">
        <v>3</v>
      </c>
    </row>
    <row r="14" spans="3:16">
      <c r="C14" s="201">
        <v>40</v>
      </c>
      <c r="E14">
        <v>87</v>
      </c>
      <c r="F14" s="201">
        <v>28</v>
      </c>
      <c r="P14">
        <v>3</v>
      </c>
    </row>
    <row r="15" spans="3:16">
      <c r="C15" s="201">
        <v>47</v>
      </c>
      <c r="E15">
        <v>85</v>
      </c>
      <c r="F15" s="201">
        <v>32</v>
      </c>
      <c r="P15">
        <v>2</v>
      </c>
    </row>
    <row r="16" spans="3:16">
      <c r="C16" s="201">
        <v>46</v>
      </c>
      <c r="E16">
        <v>84</v>
      </c>
      <c r="F16" s="201">
        <v>45</v>
      </c>
      <c r="P16">
        <v>2</v>
      </c>
    </row>
    <row r="17" spans="3:16">
      <c r="C17" s="201">
        <v>42</v>
      </c>
      <c r="E17">
        <v>84</v>
      </c>
      <c r="F17" s="201">
        <v>31</v>
      </c>
      <c r="P17">
        <v>2</v>
      </c>
    </row>
    <row r="18" spans="3:16">
      <c r="C18" s="201">
        <v>42</v>
      </c>
      <c r="E18">
        <v>95</v>
      </c>
      <c r="F18" s="201">
        <v>30</v>
      </c>
      <c r="P18">
        <v>2</v>
      </c>
    </row>
    <row r="19" spans="3:16">
      <c r="C19" s="201">
        <v>40</v>
      </c>
      <c r="E19">
        <v>100</v>
      </c>
      <c r="F19" s="201">
        <v>29</v>
      </c>
      <c r="P19">
        <v>3</v>
      </c>
    </row>
    <row r="20" spans="3:16">
      <c r="C20" s="201">
        <v>40</v>
      </c>
      <c r="E20">
        <v>85</v>
      </c>
      <c r="F20" s="201">
        <v>30</v>
      </c>
      <c r="P20">
        <v>3</v>
      </c>
    </row>
    <row r="21" spans="3:16">
      <c r="C21" s="201">
        <v>47</v>
      </c>
      <c r="E21">
        <v>80</v>
      </c>
      <c r="F21" s="201">
        <v>28</v>
      </c>
      <c r="P21">
        <v>3</v>
      </c>
    </row>
    <row r="22" spans="3:16">
      <c r="C22" s="201">
        <v>46</v>
      </c>
      <c r="E22">
        <v>75</v>
      </c>
      <c r="F22" s="201">
        <v>32</v>
      </c>
      <c r="P22">
        <v>3</v>
      </c>
    </row>
    <row r="23" spans="3:16">
      <c r="C23" s="201">
        <v>42</v>
      </c>
      <c r="E23">
        <v>53</v>
      </c>
      <c r="F23" s="201">
        <v>45</v>
      </c>
      <c r="P23">
        <v>2</v>
      </c>
    </row>
    <row r="24" spans="3:16">
      <c r="C24" s="201">
        <v>42</v>
      </c>
      <c r="E24">
        <v>41</v>
      </c>
      <c r="F24" s="201">
        <v>31</v>
      </c>
      <c r="P24">
        <v>2</v>
      </c>
    </row>
    <row r="25" spans="3:16">
      <c r="C25" s="201">
        <v>40</v>
      </c>
      <c r="E25">
        <v>40</v>
      </c>
      <c r="F25" s="201">
        <v>30</v>
      </c>
      <c r="G25">
        <v>59</v>
      </c>
      <c r="H25">
        <v>43</v>
      </c>
      <c r="I25">
        <v>32</v>
      </c>
      <c r="P25">
        <v>2</v>
      </c>
    </row>
    <row r="27" spans="3:16">
      <c r="C27" s="201">
        <v>24</v>
      </c>
      <c r="H27">
        <v>44.66</v>
      </c>
    </row>
    <row r="28" spans="3:16">
      <c r="C28" s="201">
        <v>17</v>
      </c>
    </row>
    <row r="29" spans="3:16">
      <c r="C29" s="201">
        <v>16</v>
      </c>
      <c r="H29">
        <v>35.200000000000003</v>
      </c>
      <c r="I29">
        <v>2.6659999999999999</v>
      </c>
      <c r="J29">
        <v>0.95</v>
      </c>
      <c r="K29">
        <v>11</v>
      </c>
      <c r="L29">
        <v>31</v>
      </c>
      <c r="M29">
        <v>24</v>
      </c>
    </row>
    <row r="30" spans="3:16">
      <c r="C30" s="201">
        <v>57</v>
      </c>
      <c r="H30">
        <f>H29*I29*J29*K29*L29*M29</f>
        <v>729612.1113600001</v>
      </c>
    </row>
    <row r="31" spans="3:16">
      <c r="C31" s="201">
        <v>8</v>
      </c>
    </row>
    <row r="35" spans="3:9">
      <c r="C35">
        <v>21</v>
      </c>
      <c r="D35">
        <v>18</v>
      </c>
      <c r="E35">
        <v>15</v>
      </c>
      <c r="F35">
        <v>18</v>
      </c>
    </row>
    <row r="36" spans="3:9">
      <c r="C36">
        <v>20</v>
      </c>
      <c r="D36">
        <v>16</v>
      </c>
      <c r="E36">
        <v>14</v>
      </c>
      <c r="F36">
        <v>18</v>
      </c>
      <c r="I36">
        <v>35.200000000000003</v>
      </c>
    </row>
    <row r="37" spans="3:9">
      <c r="C37">
        <v>19</v>
      </c>
      <c r="D37">
        <v>14</v>
      </c>
      <c r="E37">
        <v>14</v>
      </c>
      <c r="F37">
        <v>17</v>
      </c>
      <c r="I37">
        <v>12500</v>
      </c>
    </row>
    <row r="38" spans="3:9">
      <c r="C38">
        <v>18</v>
      </c>
      <c r="D38">
        <v>16</v>
      </c>
      <c r="E38">
        <v>13</v>
      </c>
      <c r="F38">
        <v>17</v>
      </c>
      <c r="I38">
        <f>I37*I36</f>
        <v>440000.00000000006</v>
      </c>
    </row>
    <row r="39" spans="3:9">
      <c r="C39">
        <v>22</v>
      </c>
      <c r="D39">
        <v>20</v>
      </c>
      <c r="E39">
        <v>15</v>
      </c>
      <c r="F39">
        <v>16</v>
      </c>
    </row>
    <row r="40" spans="3:9">
      <c r="C40">
        <v>25</v>
      </c>
      <c r="D40">
        <v>25</v>
      </c>
      <c r="E40">
        <v>20</v>
      </c>
      <c r="F40">
        <v>18</v>
      </c>
    </row>
    <row r="41" spans="3:9">
      <c r="C41">
        <v>35</v>
      </c>
      <c r="D41">
        <v>38</v>
      </c>
      <c r="E41">
        <v>26</v>
      </c>
      <c r="F41">
        <v>22</v>
      </c>
    </row>
    <row r="42" spans="3:9">
      <c r="C42">
        <v>54</v>
      </c>
      <c r="D42">
        <v>56</v>
      </c>
      <c r="E42">
        <v>57</v>
      </c>
      <c r="F42">
        <v>62</v>
      </c>
    </row>
    <row r="43" spans="3:9">
      <c r="C43">
        <v>55</v>
      </c>
      <c r="D43">
        <v>55</v>
      </c>
      <c r="E43">
        <v>55</v>
      </c>
      <c r="F43">
        <v>68</v>
      </c>
    </row>
    <row r="44" spans="3:9">
      <c r="C44">
        <v>56</v>
      </c>
      <c r="D44">
        <v>56</v>
      </c>
      <c r="E44">
        <v>63</v>
      </c>
      <c r="F44">
        <v>68</v>
      </c>
    </row>
    <row r="45" spans="3:9">
      <c r="C45">
        <v>51</v>
      </c>
      <c r="D45">
        <v>52</v>
      </c>
      <c r="E45">
        <v>55</v>
      </c>
      <c r="F45">
        <v>71</v>
      </c>
    </row>
    <row r="46" spans="3:9">
      <c r="C46">
        <v>48</v>
      </c>
      <c r="D46">
        <v>42</v>
      </c>
      <c r="E46">
        <v>43</v>
      </c>
      <c r="F46">
        <v>68</v>
      </c>
    </row>
    <row r="47" spans="3:9">
      <c r="C47">
        <v>37</v>
      </c>
      <c r="D47">
        <v>34</v>
      </c>
      <c r="E47">
        <v>37</v>
      </c>
      <c r="F47">
        <v>56</v>
      </c>
    </row>
    <row r="48" spans="3:9">
      <c r="C48">
        <v>33</v>
      </c>
      <c r="D48">
        <v>28</v>
      </c>
      <c r="E48">
        <v>27</v>
      </c>
      <c r="F48">
        <v>45</v>
      </c>
    </row>
    <row r="49" spans="3:6">
      <c r="C49">
        <v>27</v>
      </c>
      <c r="D49">
        <v>27</v>
      </c>
      <c r="E49">
        <v>25</v>
      </c>
      <c r="F49">
        <v>40</v>
      </c>
    </row>
    <row r="50" spans="3:6">
      <c r="C50">
        <v>24</v>
      </c>
      <c r="D50">
        <v>26</v>
      </c>
      <c r="E50">
        <v>24</v>
      </c>
      <c r="F50">
        <v>39</v>
      </c>
    </row>
    <row r="51" spans="3:6">
      <c r="C51">
        <v>28</v>
      </c>
      <c r="D51">
        <v>24</v>
      </c>
      <c r="E51">
        <v>29</v>
      </c>
      <c r="F51">
        <v>41</v>
      </c>
    </row>
    <row r="52" spans="3:6">
      <c r="C52">
        <v>34</v>
      </c>
      <c r="D52">
        <v>32</v>
      </c>
      <c r="E52">
        <v>32</v>
      </c>
      <c r="F52">
        <v>46</v>
      </c>
    </row>
    <row r="53" spans="3:6">
      <c r="C53">
        <v>34</v>
      </c>
      <c r="D53">
        <v>32</v>
      </c>
      <c r="E53">
        <v>36</v>
      </c>
      <c r="F53">
        <v>47</v>
      </c>
    </row>
    <row r="54" spans="3:6">
      <c r="C54">
        <v>81</v>
      </c>
      <c r="D54">
        <v>31</v>
      </c>
      <c r="E54">
        <v>38</v>
      </c>
      <c r="F54">
        <v>48</v>
      </c>
    </row>
    <row r="55" spans="3:6">
      <c r="C55">
        <v>80</v>
      </c>
      <c r="D55">
        <v>30</v>
      </c>
      <c r="E55">
        <v>36</v>
      </c>
      <c r="F55">
        <v>38</v>
      </c>
    </row>
    <row r="56" spans="3:6">
      <c r="C56">
        <v>26</v>
      </c>
      <c r="D56">
        <v>26</v>
      </c>
      <c r="E56">
        <v>32</v>
      </c>
      <c r="F56">
        <v>86</v>
      </c>
    </row>
    <row r="57" spans="3:6">
      <c r="C57">
        <v>24</v>
      </c>
      <c r="D57">
        <v>24</v>
      </c>
      <c r="E57">
        <v>28</v>
      </c>
      <c r="F57">
        <v>29</v>
      </c>
    </row>
    <row r="58" spans="3:6">
      <c r="C58">
        <v>22</v>
      </c>
      <c r="D58">
        <v>21</v>
      </c>
      <c r="E58">
        <v>22</v>
      </c>
      <c r="F58">
        <v>29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8"/>
  <sheetViews>
    <sheetView zoomScaleNormal="100" workbookViewId="0">
      <selection activeCell="M38" sqref="M38"/>
    </sheetView>
  </sheetViews>
  <sheetFormatPr defaultRowHeight="15"/>
  <cols>
    <col min="1" max="1" width="10.28515625" customWidth="1"/>
    <col min="2" max="1025" width="8.7109375" customWidth="1"/>
  </cols>
  <sheetData>
    <row r="1" spans="1:15">
      <c r="A1" t="s">
        <v>3128</v>
      </c>
      <c r="K1" t="s">
        <v>3129</v>
      </c>
    </row>
    <row r="2" spans="1:15">
      <c r="B2">
        <v>13</v>
      </c>
      <c r="C2">
        <v>14</v>
      </c>
      <c r="D2">
        <v>15</v>
      </c>
      <c r="E2">
        <v>23</v>
      </c>
      <c r="F2">
        <v>24</v>
      </c>
      <c r="G2">
        <v>25</v>
      </c>
      <c r="H2">
        <v>26</v>
      </c>
      <c r="I2">
        <v>27</v>
      </c>
      <c r="L2">
        <v>28</v>
      </c>
      <c r="M2">
        <v>29</v>
      </c>
      <c r="N2">
        <v>30</v>
      </c>
      <c r="O2">
        <v>31</v>
      </c>
    </row>
    <row r="3" spans="1:15">
      <c r="B3">
        <v>24</v>
      </c>
      <c r="C3">
        <v>23</v>
      </c>
      <c r="D3">
        <v>24</v>
      </c>
      <c r="F3">
        <v>25</v>
      </c>
      <c r="G3" s="201"/>
      <c r="H3" s="201">
        <v>46</v>
      </c>
      <c r="I3">
        <v>24</v>
      </c>
      <c r="L3">
        <v>23</v>
      </c>
      <c r="M3" s="201"/>
      <c r="N3" s="201">
        <v>50</v>
      </c>
      <c r="O3" s="201">
        <v>51</v>
      </c>
    </row>
    <row r="4" spans="1:15">
      <c r="B4">
        <v>24</v>
      </c>
      <c r="C4">
        <v>23</v>
      </c>
      <c r="D4">
        <v>23</v>
      </c>
      <c r="F4">
        <v>24</v>
      </c>
      <c r="G4" s="201"/>
      <c r="H4" s="201">
        <v>43</v>
      </c>
      <c r="I4">
        <v>24</v>
      </c>
      <c r="L4">
        <v>23</v>
      </c>
      <c r="M4" s="201"/>
      <c r="N4" s="201">
        <v>49</v>
      </c>
      <c r="O4" s="201">
        <v>49</v>
      </c>
    </row>
    <row r="5" spans="1:15">
      <c r="B5">
        <v>23</v>
      </c>
      <c r="C5">
        <v>24</v>
      </c>
      <c r="D5">
        <v>23</v>
      </c>
      <c r="E5">
        <v>3</v>
      </c>
      <c r="F5">
        <v>24</v>
      </c>
      <c r="G5" s="201"/>
      <c r="H5" s="201">
        <v>45</v>
      </c>
      <c r="I5">
        <v>23</v>
      </c>
      <c r="L5">
        <v>23</v>
      </c>
      <c r="M5" s="201"/>
      <c r="N5" s="201">
        <v>47</v>
      </c>
      <c r="O5" s="201">
        <v>48</v>
      </c>
    </row>
    <row r="6" spans="1:15">
      <c r="B6">
        <v>22</v>
      </c>
      <c r="C6">
        <v>23</v>
      </c>
      <c r="D6">
        <v>22</v>
      </c>
      <c r="F6">
        <v>23</v>
      </c>
      <c r="G6" s="201"/>
      <c r="H6" s="201">
        <v>45</v>
      </c>
      <c r="I6">
        <v>23</v>
      </c>
      <c r="L6">
        <v>23</v>
      </c>
      <c r="M6" s="201"/>
      <c r="N6" s="201">
        <v>47</v>
      </c>
      <c r="O6" s="201">
        <v>48</v>
      </c>
    </row>
    <row r="7" spans="1:15">
      <c r="B7">
        <v>22</v>
      </c>
      <c r="C7">
        <v>22</v>
      </c>
      <c r="D7">
        <v>21</v>
      </c>
      <c r="F7">
        <v>22</v>
      </c>
      <c r="G7" s="201"/>
      <c r="H7" s="201">
        <v>44</v>
      </c>
      <c r="I7">
        <v>22</v>
      </c>
      <c r="L7">
        <v>23</v>
      </c>
      <c r="M7" s="201"/>
      <c r="N7" s="201">
        <v>46</v>
      </c>
      <c r="O7" s="201">
        <v>47</v>
      </c>
    </row>
    <row r="8" spans="1:15">
      <c r="B8">
        <v>24</v>
      </c>
      <c r="C8">
        <v>24</v>
      </c>
      <c r="D8">
        <v>24</v>
      </c>
      <c r="F8">
        <v>25</v>
      </c>
      <c r="G8" s="201">
        <v>58</v>
      </c>
      <c r="H8" s="201">
        <v>50</v>
      </c>
      <c r="I8">
        <v>22</v>
      </c>
      <c r="L8">
        <v>26</v>
      </c>
      <c r="M8" s="201"/>
      <c r="N8" s="201">
        <v>53</v>
      </c>
      <c r="O8" s="201">
        <v>52</v>
      </c>
    </row>
    <row r="9" spans="1:15">
      <c r="B9">
        <v>36</v>
      </c>
      <c r="C9">
        <v>36</v>
      </c>
      <c r="D9">
        <v>37</v>
      </c>
      <c r="F9">
        <v>34</v>
      </c>
      <c r="G9" s="201">
        <v>69</v>
      </c>
      <c r="H9" s="201">
        <v>69</v>
      </c>
      <c r="I9">
        <v>35</v>
      </c>
      <c r="L9">
        <v>0</v>
      </c>
      <c r="M9" s="201"/>
      <c r="N9" s="201">
        <v>70</v>
      </c>
      <c r="O9" s="201">
        <v>68</v>
      </c>
    </row>
    <row r="10" spans="1:15">
      <c r="B10">
        <v>44</v>
      </c>
      <c r="C10">
        <v>38</v>
      </c>
      <c r="D10">
        <v>45</v>
      </c>
      <c r="F10">
        <v>42</v>
      </c>
      <c r="G10" s="201">
        <v>85</v>
      </c>
      <c r="H10" s="201">
        <v>88</v>
      </c>
      <c r="I10">
        <v>42</v>
      </c>
      <c r="L10">
        <v>68</v>
      </c>
      <c r="M10" s="201">
        <v>103</v>
      </c>
      <c r="N10" s="201">
        <v>87</v>
      </c>
      <c r="O10" s="201">
        <v>88</v>
      </c>
    </row>
    <row r="11" spans="1:15">
      <c r="B11">
        <v>45</v>
      </c>
      <c r="C11">
        <v>46</v>
      </c>
      <c r="D11">
        <v>47</v>
      </c>
      <c r="F11">
        <v>48</v>
      </c>
      <c r="G11" s="201">
        <v>106</v>
      </c>
      <c r="H11" s="201">
        <v>102</v>
      </c>
      <c r="I11">
        <v>49</v>
      </c>
      <c r="L11">
        <v>63</v>
      </c>
      <c r="M11" s="201">
        <v>111</v>
      </c>
      <c r="N11" s="201">
        <v>105</v>
      </c>
      <c r="O11" s="201">
        <v>107</v>
      </c>
    </row>
    <row r="12" spans="1:15">
      <c r="B12">
        <v>48</v>
      </c>
      <c r="C12">
        <v>49</v>
      </c>
      <c r="D12">
        <v>52</v>
      </c>
      <c r="F12">
        <v>52</v>
      </c>
      <c r="G12" s="201">
        <v>113</v>
      </c>
      <c r="H12" s="201">
        <v>107</v>
      </c>
      <c r="I12">
        <v>59</v>
      </c>
      <c r="L12">
        <v>66</v>
      </c>
      <c r="M12" s="201">
        <v>114</v>
      </c>
      <c r="N12" s="201">
        <v>113</v>
      </c>
      <c r="O12" s="201">
        <v>122</v>
      </c>
    </row>
    <row r="13" spans="1:15">
      <c r="B13">
        <v>52</v>
      </c>
      <c r="C13">
        <v>57</v>
      </c>
      <c r="D13">
        <v>57</v>
      </c>
      <c r="F13">
        <v>57</v>
      </c>
      <c r="G13" s="201">
        <v>120</v>
      </c>
      <c r="H13" s="201">
        <v>104</v>
      </c>
      <c r="I13">
        <v>55</v>
      </c>
      <c r="L13">
        <v>62</v>
      </c>
      <c r="M13" s="201">
        <v>122</v>
      </c>
      <c r="N13" s="201">
        <v>126</v>
      </c>
      <c r="O13" s="201">
        <v>129</v>
      </c>
    </row>
    <row r="14" spans="1:15">
      <c r="B14">
        <v>62</v>
      </c>
      <c r="C14">
        <v>62</v>
      </c>
      <c r="D14">
        <v>58</v>
      </c>
      <c r="F14">
        <v>67</v>
      </c>
      <c r="G14" s="201">
        <v>121</v>
      </c>
      <c r="H14" s="201"/>
      <c r="I14">
        <v>66</v>
      </c>
      <c r="L14">
        <v>59</v>
      </c>
      <c r="M14" s="201">
        <v>130</v>
      </c>
      <c r="N14" s="201">
        <v>127</v>
      </c>
      <c r="O14" s="201">
        <v>137</v>
      </c>
    </row>
    <row r="15" spans="1:15">
      <c r="B15">
        <v>62</v>
      </c>
      <c r="C15">
        <v>57</v>
      </c>
      <c r="D15">
        <v>65</v>
      </c>
      <c r="F15">
        <v>66</v>
      </c>
      <c r="G15" s="201">
        <v>114</v>
      </c>
      <c r="H15" s="201"/>
      <c r="I15">
        <v>64</v>
      </c>
      <c r="L15">
        <v>52</v>
      </c>
      <c r="M15" s="201">
        <v>119</v>
      </c>
      <c r="N15" s="201">
        <v>118</v>
      </c>
      <c r="O15" s="201">
        <v>138</v>
      </c>
    </row>
    <row r="16" spans="1:15">
      <c r="B16">
        <v>57</v>
      </c>
      <c r="C16">
        <v>56</v>
      </c>
      <c r="D16">
        <v>55</v>
      </c>
      <c r="F16">
        <v>60</v>
      </c>
      <c r="G16" s="201">
        <v>103</v>
      </c>
      <c r="H16" s="201"/>
      <c r="I16">
        <v>58</v>
      </c>
      <c r="L16">
        <v>45</v>
      </c>
      <c r="M16" s="201">
        <v>110</v>
      </c>
      <c r="N16" s="201">
        <v>111</v>
      </c>
      <c r="O16" s="201">
        <v>126</v>
      </c>
    </row>
    <row r="17" spans="2:20">
      <c r="B17">
        <v>55</v>
      </c>
      <c r="C17">
        <v>53</v>
      </c>
      <c r="D17">
        <v>55</v>
      </c>
      <c r="F17">
        <v>64</v>
      </c>
      <c r="G17" s="201">
        <v>100</v>
      </c>
      <c r="H17" s="201"/>
      <c r="I17">
        <v>55</v>
      </c>
      <c r="L17">
        <v>44</v>
      </c>
      <c r="M17" s="201">
        <v>104</v>
      </c>
      <c r="N17" s="201">
        <v>105</v>
      </c>
      <c r="O17" s="201">
        <v>124</v>
      </c>
    </row>
    <row r="18" spans="2:20">
      <c r="B18">
        <v>59</v>
      </c>
      <c r="C18">
        <v>55</v>
      </c>
      <c r="D18">
        <v>54</v>
      </c>
      <c r="F18">
        <v>58</v>
      </c>
      <c r="G18" s="201">
        <v>100</v>
      </c>
      <c r="H18" s="201"/>
      <c r="I18">
        <v>60</v>
      </c>
      <c r="L18">
        <v>42</v>
      </c>
      <c r="M18" s="201">
        <v>105</v>
      </c>
      <c r="N18" s="201">
        <v>104</v>
      </c>
      <c r="O18" s="201">
        <v>120</v>
      </c>
    </row>
    <row r="19" spans="2:20">
      <c r="B19">
        <v>65</v>
      </c>
      <c r="C19">
        <v>55</v>
      </c>
      <c r="D19">
        <v>55</v>
      </c>
      <c r="F19">
        <v>60</v>
      </c>
      <c r="G19" s="201">
        <v>110</v>
      </c>
      <c r="H19" s="201"/>
      <c r="I19">
        <v>60</v>
      </c>
      <c r="L19">
        <v>48</v>
      </c>
      <c r="M19" s="201">
        <v>108</v>
      </c>
      <c r="N19" s="201">
        <v>114</v>
      </c>
      <c r="O19" s="201">
        <v>124</v>
      </c>
    </row>
    <row r="20" spans="2:20">
      <c r="B20">
        <v>68</v>
      </c>
      <c r="C20">
        <v>68</v>
      </c>
      <c r="D20">
        <v>66</v>
      </c>
      <c r="F20">
        <v>65</v>
      </c>
      <c r="G20" s="201">
        <v>130</v>
      </c>
      <c r="H20" s="201"/>
      <c r="I20">
        <v>74</v>
      </c>
      <c r="L20">
        <v>53</v>
      </c>
      <c r="M20" s="201">
        <v>128</v>
      </c>
      <c r="N20" s="201">
        <v>134</v>
      </c>
      <c r="O20" s="201">
        <v>133</v>
      </c>
    </row>
    <row r="21" spans="2:20">
      <c r="B21">
        <v>66</v>
      </c>
      <c r="C21">
        <v>70</v>
      </c>
      <c r="D21">
        <v>72</v>
      </c>
      <c r="F21">
        <v>70</v>
      </c>
      <c r="G21" s="201">
        <v>126</v>
      </c>
      <c r="H21" s="201"/>
      <c r="I21">
        <v>70</v>
      </c>
      <c r="L21">
        <v>54</v>
      </c>
      <c r="M21" s="201">
        <v>131</v>
      </c>
      <c r="N21" s="201">
        <v>136</v>
      </c>
      <c r="O21" s="201">
        <v>134</v>
      </c>
      <c r="T21">
        <f>48+17</f>
        <v>65</v>
      </c>
    </row>
    <row r="22" spans="2:20">
      <c r="B22">
        <v>45</v>
      </c>
      <c r="C22">
        <v>65</v>
      </c>
      <c r="D22">
        <v>64</v>
      </c>
      <c r="F22">
        <v>68</v>
      </c>
      <c r="G22" s="201">
        <v>111</v>
      </c>
      <c r="H22" s="201"/>
      <c r="I22">
        <v>65</v>
      </c>
      <c r="L22">
        <v>54</v>
      </c>
      <c r="M22" s="201">
        <v>123</v>
      </c>
      <c r="N22" s="201">
        <v>127</v>
      </c>
      <c r="O22" s="201">
        <v>125</v>
      </c>
      <c r="T22">
        <v>49</v>
      </c>
    </row>
    <row r="23" spans="2:20">
      <c r="B23">
        <v>38</v>
      </c>
      <c r="C23">
        <v>52</v>
      </c>
      <c r="D23">
        <v>52</v>
      </c>
      <c r="F23">
        <v>45</v>
      </c>
      <c r="G23" s="201">
        <v>82</v>
      </c>
      <c r="H23" s="201"/>
      <c r="I23">
        <v>40</v>
      </c>
      <c r="L23">
        <v>42</v>
      </c>
      <c r="M23" s="201">
        <v>104</v>
      </c>
      <c r="N23" s="201">
        <v>106</v>
      </c>
      <c r="O23" s="201">
        <v>160</v>
      </c>
    </row>
    <row r="24" spans="2:20">
      <c r="B24">
        <v>34</v>
      </c>
      <c r="C24">
        <v>33</v>
      </c>
      <c r="D24">
        <v>34</v>
      </c>
      <c r="F24">
        <v>38</v>
      </c>
      <c r="G24" s="201">
        <v>69</v>
      </c>
      <c r="H24" s="201"/>
      <c r="I24">
        <v>37</v>
      </c>
      <c r="L24">
        <v>35</v>
      </c>
      <c r="M24" s="201">
        <v>77</v>
      </c>
      <c r="N24" s="201">
        <v>78</v>
      </c>
      <c r="O24" s="201">
        <v>74</v>
      </c>
    </row>
    <row r="25" spans="2:20">
      <c r="B25">
        <v>27</v>
      </c>
      <c r="C25">
        <v>27</v>
      </c>
      <c r="D25">
        <v>29</v>
      </c>
      <c r="F25">
        <v>30</v>
      </c>
      <c r="G25" s="201">
        <v>57</v>
      </c>
      <c r="H25" s="201"/>
      <c r="I25">
        <v>28</v>
      </c>
      <c r="L25">
        <v>33</v>
      </c>
      <c r="M25" s="201">
        <v>63</v>
      </c>
      <c r="N25" s="201">
        <v>65</v>
      </c>
      <c r="O25" s="201">
        <v>84</v>
      </c>
    </row>
    <row r="26" spans="2:20">
      <c r="B26">
        <v>24</v>
      </c>
      <c r="C26">
        <v>26</v>
      </c>
      <c r="D26">
        <v>29</v>
      </c>
      <c r="F26">
        <v>26</v>
      </c>
      <c r="G26" s="201">
        <v>50</v>
      </c>
      <c r="H26" s="201"/>
      <c r="I26">
        <v>28</v>
      </c>
      <c r="L26">
        <v>27</v>
      </c>
      <c r="M26" s="201">
        <v>54</v>
      </c>
      <c r="N26" s="201">
        <v>55</v>
      </c>
      <c r="O26" s="201">
        <v>58</v>
      </c>
    </row>
    <row r="27" spans="2:20">
      <c r="B27">
        <f t="shared" ref="B27:L27" si="0">SUM(B3:B26)</f>
        <v>1026</v>
      </c>
      <c r="C27">
        <f t="shared" si="0"/>
        <v>1044</v>
      </c>
      <c r="D27">
        <f t="shared" si="0"/>
        <v>1063</v>
      </c>
      <c r="E27">
        <f t="shared" si="0"/>
        <v>3</v>
      </c>
      <c r="F27">
        <f t="shared" si="0"/>
        <v>1093</v>
      </c>
      <c r="G27">
        <f t="shared" si="0"/>
        <v>1824</v>
      </c>
      <c r="H27">
        <f t="shared" si="0"/>
        <v>743</v>
      </c>
      <c r="I27">
        <f t="shared" si="0"/>
        <v>1083</v>
      </c>
      <c r="J27">
        <f t="shared" si="0"/>
        <v>0</v>
      </c>
      <c r="K27">
        <f t="shared" si="0"/>
        <v>0</v>
      </c>
      <c r="L27">
        <f t="shared" si="0"/>
        <v>988</v>
      </c>
      <c r="M27">
        <f>SUM(M10:M26)</f>
        <v>1806</v>
      </c>
      <c r="N27">
        <f>SUM(N3:N26)</f>
        <v>2173</v>
      </c>
      <c r="O27">
        <f>SUM(O3:O26)</f>
        <v>2346</v>
      </c>
    </row>
    <row r="28" spans="2:20">
      <c r="B28">
        <f>B27/24</f>
        <v>42.75</v>
      </c>
      <c r="C28">
        <f>C27/24</f>
        <v>43.5</v>
      </c>
      <c r="D28">
        <f>D27/24</f>
        <v>44.291666666666664</v>
      </c>
      <c r="E28">
        <f>E27/24</f>
        <v>0.125</v>
      </c>
      <c r="F28">
        <f>F27/24</f>
        <v>45.541666666666664</v>
      </c>
      <c r="G28">
        <v>85.57</v>
      </c>
      <c r="H28">
        <v>86.57</v>
      </c>
      <c r="I28">
        <f>I27/24</f>
        <v>45.125</v>
      </c>
      <c r="J28">
        <v>88.57</v>
      </c>
      <c r="K28">
        <v>89.57</v>
      </c>
      <c r="L28">
        <f>L27/24</f>
        <v>41.166666666666664</v>
      </c>
      <c r="M28">
        <f>M27/17</f>
        <v>106.23529411764706</v>
      </c>
      <c r="N28">
        <f>N27/24</f>
        <v>90.541666666666671</v>
      </c>
      <c r="O28">
        <f>O27/24</f>
        <v>97.75</v>
      </c>
    </row>
    <row r="31" spans="2:20">
      <c r="F31">
        <v>86.07</v>
      </c>
    </row>
    <row r="32" spans="2:20">
      <c r="C32">
        <v>24</v>
      </c>
    </row>
    <row r="33" spans="5:14">
      <c r="F33">
        <f>F31-F28</f>
        <v>40.528333333333329</v>
      </c>
    </row>
    <row r="34" spans="5:14">
      <c r="M34">
        <f>N34-L28</f>
        <v>57.008333333333333</v>
      </c>
      <c r="N34">
        <v>98.174999999999997</v>
      </c>
    </row>
    <row r="35" spans="5:14">
      <c r="E35">
        <f>1.732*0.95*11*33</f>
        <v>597.28019999999992</v>
      </c>
      <c r="F35" s="201">
        <f>E35*F33</f>
        <v>24206.771038999996</v>
      </c>
      <c r="M35">
        <f>1.732*0.95*11*65</f>
        <v>1176.461</v>
      </c>
      <c r="N35">
        <f>M35*M34</f>
        <v>67068.08084166667</v>
      </c>
    </row>
    <row r="38" spans="5:14">
      <c r="J38">
        <f>65-33</f>
        <v>32</v>
      </c>
      <c r="M38" s="201">
        <f>N35-F35</f>
        <v>42861.30980266667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D56"/>
  <sheetViews>
    <sheetView topLeftCell="A11" zoomScaleNormal="100" workbookViewId="0">
      <selection activeCell="E30" sqref="E30"/>
    </sheetView>
  </sheetViews>
  <sheetFormatPr defaultRowHeight="15"/>
  <cols>
    <col min="1" max="1025" width="8.7109375" customWidth="1"/>
  </cols>
  <sheetData>
    <row r="2" spans="3:22">
      <c r="C2">
        <v>33</v>
      </c>
      <c r="D2">
        <v>38</v>
      </c>
      <c r="E2">
        <v>52</v>
      </c>
      <c r="F2">
        <v>36</v>
      </c>
      <c r="I2">
        <v>25</v>
      </c>
      <c r="J2">
        <v>7</v>
      </c>
      <c r="K2">
        <v>16</v>
      </c>
      <c r="L2">
        <v>12</v>
      </c>
      <c r="N2">
        <v>68</v>
      </c>
      <c r="O2">
        <v>70</v>
      </c>
      <c r="P2">
        <v>64</v>
      </c>
      <c r="Q2">
        <v>46</v>
      </c>
      <c r="S2">
        <v>44</v>
      </c>
      <c r="T2">
        <v>62</v>
      </c>
      <c r="U2">
        <v>63</v>
      </c>
      <c r="V2">
        <v>63</v>
      </c>
    </row>
    <row r="3" spans="3:22">
      <c r="C3">
        <v>30</v>
      </c>
      <c r="D3">
        <v>34</v>
      </c>
      <c r="E3">
        <v>50</v>
      </c>
      <c r="F3">
        <v>34</v>
      </c>
      <c r="I3">
        <v>26</v>
      </c>
      <c r="J3">
        <v>14</v>
      </c>
      <c r="K3">
        <v>18</v>
      </c>
      <c r="L3">
        <v>13</v>
      </c>
      <c r="N3">
        <v>67</v>
      </c>
      <c r="O3">
        <v>70</v>
      </c>
      <c r="P3">
        <v>63</v>
      </c>
      <c r="Q3">
        <v>45</v>
      </c>
      <c r="S3">
        <v>43</v>
      </c>
      <c r="T3">
        <v>61</v>
      </c>
      <c r="U3">
        <v>60</v>
      </c>
      <c r="V3">
        <v>62</v>
      </c>
    </row>
    <row r="4" spans="3:22">
      <c r="C4">
        <v>28</v>
      </c>
      <c r="D4">
        <v>33</v>
      </c>
      <c r="E4">
        <v>48</v>
      </c>
      <c r="F4">
        <v>32</v>
      </c>
      <c r="I4">
        <v>27</v>
      </c>
      <c r="J4">
        <v>13</v>
      </c>
      <c r="K4">
        <v>19</v>
      </c>
      <c r="L4">
        <v>15</v>
      </c>
      <c r="N4">
        <v>66</v>
      </c>
      <c r="O4">
        <v>70</v>
      </c>
      <c r="P4">
        <v>62</v>
      </c>
      <c r="Q4">
        <v>44</v>
      </c>
      <c r="S4">
        <v>42</v>
      </c>
      <c r="T4">
        <v>60</v>
      </c>
      <c r="U4">
        <v>60</v>
      </c>
      <c r="V4">
        <v>61</v>
      </c>
    </row>
    <row r="5" spans="3:22">
      <c r="C5">
        <v>34</v>
      </c>
      <c r="D5">
        <v>32</v>
      </c>
      <c r="E5">
        <v>53</v>
      </c>
      <c r="F5">
        <v>35</v>
      </c>
      <c r="I5">
        <v>28</v>
      </c>
      <c r="J5">
        <v>15</v>
      </c>
      <c r="K5">
        <v>22</v>
      </c>
      <c r="L5">
        <v>16</v>
      </c>
      <c r="N5">
        <v>66</v>
      </c>
      <c r="O5">
        <v>70</v>
      </c>
      <c r="P5">
        <v>62</v>
      </c>
      <c r="Q5">
        <v>44</v>
      </c>
      <c r="S5">
        <v>42</v>
      </c>
      <c r="T5">
        <v>59</v>
      </c>
      <c r="U5">
        <v>63</v>
      </c>
      <c r="V5">
        <v>60</v>
      </c>
    </row>
    <row r="6" spans="3:22">
      <c r="C6">
        <v>45</v>
      </c>
      <c r="D6">
        <v>44</v>
      </c>
      <c r="E6">
        <v>60</v>
      </c>
      <c r="F6">
        <v>42</v>
      </c>
      <c r="I6">
        <v>29</v>
      </c>
      <c r="J6">
        <v>17</v>
      </c>
      <c r="K6">
        <v>23</v>
      </c>
      <c r="L6">
        <v>17</v>
      </c>
      <c r="N6">
        <v>105</v>
      </c>
      <c r="O6">
        <v>111</v>
      </c>
      <c r="P6">
        <v>95</v>
      </c>
      <c r="Q6">
        <v>92</v>
      </c>
      <c r="S6">
        <v>51</v>
      </c>
      <c r="T6">
        <v>62</v>
      </c>
      <c r="U6">
        <v>66</v>
      </c>
      <c r="V6">
        <v>69</v>
      </c>
    </row>
    <row r="7" spans="3:22">
      <c r="C7">
        <v>68</v>
      </c>
      <c r="D7">
        <v>55</v>
      </c>
      <c r="E7">
        <v>82</v>
      </c>
      <c r="F7">
        <v>67</v>
      </c>
      <c r="I7">
        <v>31</v>
      </c>
      <c r="J7">
        <v>19</v>
      </c>
      <c r="K7">
        <v>20</v>
      </c>
      <c r="L7">
        <v>19</v>
      </c>
      <c r="N7">
        <v>125</v>
      </c>
      <c r="O7">
        <v>210</v>
      </c>
      <c r="P7">
        <v>126</v>
      </c>
      <c r="Q7">
        <v>116</v>
      </c>
      <c r="S7">
        <v>66</v>
      </c>
      <c r="T7">
        <v>78</v>
      </c>
      <c r="U7">
        <v>75</v>
      </c>
      <c r="V7">
        <v>80</v>
      </c>
    </row>
    <row r="8" spans="3:22">
      <c r="C8">
        <v>87</v>
      </c>
      <c r="D8">
        <v>70</v>
      </c>
      <c r="E8">
        <v>105</v>
      </c>
      <c r="F8">
        <v>99</v>
      </c>
      <c r="I8">
        <v>32</v>
      </c>
      <c r="J8">
        <v>21</v>
      </c>
      <c r="K8">
        <v>24</v>
      </c>
      <c r="L8">
        <v>22</v>
      </c>
      <c r="N8">
        <v>162</v>
      </c>
      <c r="O8">
        <v>174</v>
      </c>
      <c r="P8">
        <v>160</v>
      </c>
      <c r="Q8">
        <v>141</v>
      </c>
      <c r="S8">
        <v>87</v>
      </c>
      <c r="T8">
        <v>96</v>
      </c>
      <c r="U8">
        <v>80</v>
      </c>
      <c r="V8">
        <v>98</v>
      </c>
    </row>
    <row r="9" spans="3:22">
      <c r="C9">
        <v>117</v>
      </c>
      <c r="D9">
        <v>120</v>
      </c>
      <c r="E9">
        <v>138</v>
      </c>
      <c r="F9">
        <v>111</v>
      </c>
      <c r="I9">
        <v>25</v>
      </c>
      <c r="J9">
        <v>20</v>
      </c>
      <c r="K9">
        <v>26</v>
      </c>
      <c r="L9">
        <v>21</v>
      </c>
      <c r="N9">
        <v>192</v>
      </c>
      <c r="O9">
        <v>162</v>
      </c>
      <c r="P9">
        <v>204</v>
      </c>
      <c r="Q9">
        <v>159</v>
      </c>
      <c r="S9">
        <v>123</v>
      </c>
      <c r="T9">
        <v>132</v>
      </c>
      <c r="U9">
        <v>126</v>
      </c>
      <c r="V9">
        <v>138</v>
      </c>
    </row>
    <row r="10" spans="3:22">
      <c r="C10">
        <v>120</v>
      </c>
      <c r="D10">
        <v>122</v>
      </c>
      <c r="E10">
        <v>114</v>
      </c>
      <c r="F10">
        <v>129</v>
      </c>
      <c r="I10">
        <v>23</v>
      </c>
      <c r="J10">
        <v>22</v>
      </c>
      <c r="K10">
        <v>27</v>
      </c>
      <c r="L10">
        <v>21</v>
      </c>
      <c r="N10">
        <v>177</v>
      </c>
      <c r="O10">
        <v>162</v>
      </c>
      <c r="P10">
        <v>213</v>
      </c>
      <c r="Q10">
        <v>140</v>
      </c>
      <c r="S10">
        <v>120</v>
      </c>
      <c r="T10">
        <v>160</v>
      </c>
      <c r="U10">
        <v>156</v>
      </c>
      <c r="V10">
        <v>157</v>
      </c>
    </row>
    <row r="11" spans="3:22">
      <c r="C11">
        <v>118</v>
      </c>
      <c r="D11">
        <v>109</v>
      </c>
      <c r="E11">
        <v>147</v>
      </c>
      <c r="I11">
        <v>19</v>
      </c>
      <c r="J11">
        <v>24</v>
      </c>
      <c r="K11">
        <v>26</v>
      </c>
      <c r="L11">
        <v>15</v>
      </c>
      <c r="N11">
        <v>168</v>
      </c>
      <c r="O11">
        <v>147</v>
      </c>
      <c r="P11">
        <v>183</v>
      </c>
      <c r="Q11">
        <v>132</v>
      </c>
      <c r="S11">
        <v>123</v>
      </c>
      <c r="T11">
        <v>157</v>
      </c>
      <c r="U11">
        <v>156</v>
      </c>
      <c r="V11">
        <v>141</v>
      </c>
    </row>
    <row r="12" spans="3:22">
      <c r="C12">
        <v>111</v>
      </c>
      <c r="D12">
        <v>93</v>
      </c>
      <c r="E12">
        <v>34</v>
      </c>
      <c r="F12">
        <v>112</v>
      </c>
      <c r="I12">
        <v>18</v>
      </c>
      <c r="J12">
        <v>21</v>
      </c>
      <c r="K12">
        <v>22</v>
      </c>
      <c r="L12">
        <v>14</v>
      </c>
      <c r="N12">
        <v>153</v>
      </c>
      <c r="O12">
        <v>138</v>
      </c>
      <c r="P12">
        <v>174</v>
      </c>
      <c r="Q12">
        <v>117</v>
      </c>
      <c r="S12">
        <v>117</v>
      </c>
      <c r="T12">
        <v>147</v>
      </c>
      <c r="U12">
        <v>142</v>
      </c>
      <c r="V12">
        <v>139</v>
      </c>
    </row>
    <row r="13" spans="3:22">
      <c r="C13">
        <v>85</v>
      </c>
      <c r="D13">
        <v>84</v>
      </c>
      <c r="E13">
        <v>108</v>
      </c>
      <c r="F13">
        <v>84</v>
      </c>
      <c r="I13">
        <v>18</v>
      </c>
      <c r="J13">
        <v>18</v>
      </c>
      <c r="K13">
        <v>20</v>
      </c>
      <c r="L13">
        <v>14</v>
      </c>
      <c r="N13">
        <v>108</v>
      </c>
      <c r="O13">
        <v>156</v>
      </c>
      <c r="P13">
        <v>132</v>
      </c>
      <c r="Q13">
        <v>90</v>
      </c>
      <c r="S13">
        <v>93</v>
      </c>
      <c r="T13">
        <v>146</v>
      </c>
      <c r="U13">
        <v>134</v>
      </c>
      <c r="V13">
        <v>101</v>
      </c>
    </row>
    <row r="14" spans="3:22">
      <c r="C14">
        <v>75</v>
      </c>
      <c r="D14">
        <v>61</v>
      </c>
      <c r="E14">
        <v>99</v>
      </c>
      <c r="F14">
        <v>64</v>
      </c>
      <c r="I14">
        <v>16</v>
      </c>
      <c r="J14">
        <v>15</v>
      </c>
      <c r="K14">
        <v>18</v>
      </c>
      <c r="L14">
        <v>10</v>
      </c>
      <c r="N14">
        <v>89</v>
      </c>
      <c r="O14">
        <v>170</v>
      </c>
      <c r="P14">
        <v>123</v>
      </c>
      <c r="Q14">
        <v>84</v>
      </c>
      <c r="S14">
        <v>81</v>
      </c>
      <c r="T14">
        <v>126</v>
      </c>
      <c r="U14">
        <v>121</v>
      </c>
      <c r="V14">
        <v>90</v>
      </c>
    </row>
    <row r="15" spans="3:22">
      <c r="C15">
        <v>79</v>
      </c>
      <c r="D15">
        <v>48</v>
      </c>
      <c r="E15">
        <v>77</v>
      </c>
      <c r="F15">
        <v>49</v>
      </c>
      <c r="I15">
        <v>14</v>
      </c>
      <c r="J15">
        <v>12</v>
      </c>
      <c r="K15">
        <v>15</v>
      </c>
      <c r="L15">
        <v>8</v>
      </c>
      <c r="N15">
        <v>78</v>
      </c>
      <c r="O15">
        <v>195</v>
      </c>
      <c r="P15">
        <v>102</v>
      </c>
      <c r="Q15">
        <v>66</v>
      </c>
      <c r="S15">
        <v>66</v>
      </c>
      <c r="T15">
        <v>103</v>
      </c>
      <c r="U15">
        <v>112</v>
      </c>
      <c r="V15">
        <v>77</v>
      </c>
    </row>
    <row r="16" spans="3:22">
      <c r="C16">
        <v>69</v>
      </c>
      <c r="D16">
        <v>44</v>
      </c>
      <c r="E16">
        <v>66</v>
      </c>
      <c r="F16">
        <v>117</v>
      </c>
      <c r="I16">
        <v>14</v>
      </c>
      <c r="J16">
        <v>10</v>
      </c>
      <c r="K16">
        <v>14</v>
      </c>
      <c r="L16">
        <v>6</v>
      </c>
      <c r="N16">
        <v>78</v>
      </c>
      <c r="O16">
        <v>192</v>
      </c>
      <c r="P16">
        <v>102</v>
      </c>
      <c r="Q16">
        <v>60</v>
      </c>
      <c r="S16">
        <v>59</v>
      </c>
      <c r="T16">
        <v>87</v>
      </c>
      <c r="U16">
        <v>100</v>
      </c>
      <c r="V16">
        <v>77</v>
      </c>
    </row>
    <row r="17" spans="2:22">
      <c r="C17">
        <v>78</v>
      </c>
      <c r="D17">
        <v>52</v>
      </c>
      <c r="E17">
        <v>71</v>
      </c>
      <c r="F17">
        <v>50</v>
      </c>
      <c r="I17">
        <v>15</v>
      </c>
      <c r="J17">
        <v>13</v>
      </c>
      <c r="K17">
        <v>11</v>
      </c>
      <c r="L17">
        <v>6</v>
      </c>
      <c r="N17">
        <v>144</v>
      </c>
      <c r="O17">
        <v>182</v>
      </c>
      <c r="P17">
        <v>102</v>
      </c>
      <c r="Q17">
        <v>75</v>
      </c>
      <c r="S17">
        <v>61</v>
      </c>
      <c r="T17">
        <v>83</v>
      </c>
      <c r="U17">
        <v>96</v>
      </c>
      <c r="V17">
        <v>82</v>
      </c>
    </row>
    <row r="18" spans="2:22">
      <c r="C18">
        <v>74</v>
      </c>
      <c r="D18">
        <v>62</v>
      </c>
      <c r="E18">
        <v>78</v>
      </c>
      <c r="F18">
        <v>55</v>
      </c>
      <c r="I18">
        <v>15</v>
      </c>
      <c r="J18">
        <v>15</v>
      </c>
      <c r="K18">
        <v>12</v>
      </c>
      <c r="L18">
        <v>10</v>
      </c>
      <c r="N18">
        <v>132</v>
      </c>
      <c r="O18">
        <v>147</v>
      </c>
      <c r="P18">
        <v>156</v>
      </c>
      <c r="Q18">
        <v>96</v>
      </c>
      <c r="S18">
        <v>69</v>
      </c>
      <c r="T18">
        <v>110</v>
      </c>
      <c r="U18">
        <v>108</v>
      </c>
      <c r="V18">
        <v>96</v>
      </c>
    </row>
    <row r="19" spans="2:22">
      <c r="C19">
        <v>77</v>
      </c>
      <c r="D19">
        <v>76</v>
      </c>
      <c r="E19">
        <v>76</v>
      </c>
      <c r="F19">
        <v>72</v>
      </c>
      <c r="I19">
        <v>12</v>
      </c>
      <c r="J19">
        <v>16</v>
      </c>
      <c r="K19">
        <v>14</v>
      </c>
      <c r="L19">
        <v>12</v>
      </c>
      <c r="N19">
        <v>150</v>
      </c>
      <c r="O19">
        <v>116</v>
      </c>
      <c r="P19">
        <v>168</v>
      </c>
      <c r="Q19">
        <v>117</v>
      </c>
      <c r="S19">
        <v>87</v>
      </c>
      <c r="T19">
        <v>113</v>
      </c>
      <c r="U19">
        <v>129</v>
      </c>
      <c r="V19">
        <v>120</v>
      </c>
    </row>
    <row r="20" spans="2:22">
      <c r="C20">
        <v>84</v>
      </c>
      <c r="D20">
        <v>85</v>
      </c>
      <c r="E20">
        <v>109</v>
      </c>
      <c r="F20">
        <v>81</v>
      </c>
      <c r="I20">
        <v>14</v>
      </c>
      <c r="J20">
        <v>18</v>
      </c>
      <c r="K20">
        <v>16</v>
      </c>
      <c r="L20">
        <v>11</v>
      </c>
      <c r="N20">
        <v>162</v>
      </c>
      <c r="O20">
        <v>99</v>
      </c>
      <c r="P20">
        <v>171</v>
      </c>
      <c r="Q20">
        <v>132</v>
      </c>
      <c r="S20">
        <v>99</v>
      </c>
      <c r="T20">
        <v>126</v>
      </c>
      <c r="U20">
        <v>129</v>
      </c>
      <c r="V20">
        <v>129</v>
      </c>
    </row>
    <row r="21" spans="2:22">
      <c r="C21">
        <v>88</v>
      </c>
      <c r="D21">
        <v>87</v>
      </c>
      <c r="E21">
        <v>117</v>
      </c>
      <c r="F21">
        <v>73</v>
      </c>
      <c r="I21">
        <v>15</v>
      </c>
      <c r="J21">
        <v>15</v>
      </c>
      <c r="K21">
        <v>17</v>
      </c>
      <c r="L21">
        <v>10</v>
      </c>
      <c r="N21">
        <v>162</v>
      </c>
      <c r="P21">
        <v>174</v>
      </c>
      <c r="Q21">
        <v>126</v>
      </c>
      <c r="S21">
        <v>99</v>
      </c>
      <c r="T21">
        <v>140</v>
      </c>
      <c r="U21">
        <v>129</v>
      </c>
      <c r="V21">
        <v>129</v>
      </c>
    </row>
    <row r="22" spans="2:22">
      <c r="C22">
        <v>82</v>
      </c>
      <c r="D22">
        <v>83</v>
      </c>
      <c r="E22">
        <v>114</v>
      </c>
      <c r="F22">
        <v>67</v>
      </c>
      <c r="I22">
        <v>17</v>
      </c>
      <c r="J22">
        <v>16</v>
      </c>
      <c r="K22">
        <v>18</v>
      </c>
      <c r="L22">
        <v>10</v>
      </c>
      <c r="N22">
        <v>150</v>
      </c>
      <c r="P22">
        <v>162</v>
      </c>
      <c r="Q22">
        <v>111</v>
      </c>
      <c r="S22">
        <v>93</v>
      </c>
      <c r="T22">
        <v>132</v>
      </c>
      <c r="U22">
        <v>126</v>
      </c>
      <c r="V22">
        <v>126</v>
      </c>
    </row>
    <row r="23" spans="2:22">
      <c r="C23">
        <v>66</v>
      </c>
      <c r="D23">
        <v>71</v>
      </c>
      <c r="E23">
        <v>95</v>
      </c>
      <c r="F23">
        <v>57</v>
      </c>
      <c r="I23">
        <v>15</v>
      </c>
      <c r="J23">
        <v>15</v>
      </c>
      <c r="K23">
        <v>19</v>
      </c>
      <c r="L23">
        <v>8</v>
      </c>
      <c r="N23">
        <v>135</v>
      </c>
      <c r="P23">
        <v>138</v>
      </c>
      <c r="Q23">
        <v>96</v>
      </c>
      <c r="S23">
        <v>84</v>
      </c>
      <c r="T23">
        <v>120</v>
      </c>
      <c r="U23">
        <v>102</v>
      </c>
      <c r="V23">
        <v>117</v>
      </c>
    </row>
    <row r="24" spans="2:22">
      <c r="C24">
        <v>52</v>
      </c>
      <c r="D24">
        <v>60</v>
      </c>
      <c r="E24">
        <v>70</v>
      </c>
      <c r="F24">
        <v>47</v>
      </c>
      <c r="I24">
        <v>12</v>
      </c>
      <c r="J24">
        <v>12</v>
      </c>
      <c r="K24">
        <v>20</v>
      </c>
      <c r="L24">
        <v>7</v>
      </c>
      <c r="N24">
        <v>108</v>
      </c>
      <c r="P24">
        <v>111</v>
      </c>
      <c r="Q24">
        <v>74</v>
      </c>
      <c r="S24">
        <v>69</v>
      </c>
      <c r="T24">
        <v>102</v>
      </c>
      <c r="U24">
        <v>90</v>
      </c>
      <c r="V24">
        <v>96</v>
      </c>
    </row>
    <row r="25" spans="2:22">
      <c r="C25">
        <v>40</v>
      </c>
      <c r="D25">
        <v>40</v>
      </c>
      <c r="E25">
        <v>58</v>
      </c>
      <c r="F25">
        <v>36</v>
      </c>
      <c r="I25">
        <v>10</v>
      </c>
      <c r="J25">
        <v>10</v>
      </c>
      <c r="K25">
        <v>19</v>
      </c>
      <c r="L25">
        <v>8</v>
      </c>
      <c r="N25">
        <v>84</v>
      </c>
      <c r="P25">
        <v>90</v>
      </c>
      <c r="Q25">
        <v>57</v>
      </c>
      <c r="S25">
        <v>57</v>
      </c>
      <c r="T25">
        <v>90</v>
      </c>
      <c r="U25">
        <v>72</v>
      </c>
      <c r="V25">
        <v>72</v>
      </c>
    </row>
    <row r="27" spans="2:22">
      <c r="C27">
        <v>72.768421050000001</v>
      </c>
    </row>
    <row r="29" spans="2:22">
      <c r="C29">
        <f>1.732*0.95*272*11</f>
        <v>4923.0367999999999</v>
      </c>
      <c r="D29">
        <v>44.31</v>
      </c>
      <c r="E29">
        <f>1.732*0.95*24*31*11</f>
        <v>13465.953600000001</v>
      </c>
      <c r="F29">
        <v>60.01</v>
      </c>
    </row>
    <row r="30" spans="2:22">
      <c r="D30">
        <f>D29*C29</f>
        <v>218139.76060800001</v>
      </c>
      <c r="E30">
        <f>E29*F29</f>
        <v>808091.87553600001</v>
      </c>
    </row>
    <row r="32" spans="2:22">
      <c r="B32">
        <f>1.732*57.2756*0.95*11*29*24</f>
        <v>721511.18026943994</v>
      </c>
    </row>
    <row r="33" spans="2:30">
      <c r="B33">
        <v>32</v>
      </c>
      <c r="C33">
        <v>45</v>
      </c>
      <c r="D33">
        <v>33</v>
      </c>
      <c r="F33">
        <v>31</v>
      </c>
      <c r="G33">
        <v>31</v>
      </c>
      <c r="H33">
        <v>38</v>
      </c>
      <c r="J33">
        <v>13</v>
      </c>
      <c r="K33">
        <v>12</v>
      </c>
      <c r="L33">
        <v>8</v>
      </c>
      <c r="O33">
        <v>35</v>
      </c>
      <c r="P33">
        <v>32</v>
      </c>
      <c r="Q33">
        <v>38</v>
      </c>
      <c r="S33">
        <v>62</v>
      </c>
      <c r="U33">
        <v>19</v>
      </c>
      <c r="V33">
        <v>22</v>
      </c>
      <c r="W33">
        <v>27</v>
      </c>
      <c r="X33">
        <v>53</v>
      </c>
      <c r="AA33">
        <v>34</v>
      </c>
      <c r="AB33">
        <v>31</v>
      </c>
      <c r="AC33">
        <v>65</v>
      </c>
      <c r="AD33">
        <v>39</v>
      </c>
    </row>
    <row r="34" spans="2:30">
      <c r="B34">
        <v>39</v>
      </c>
      <c r="C34">
        <v>43</v>
      </c>
      <c r="D34">
        <v>39</v>
      </c>
      <c r="F34">
        <v>28</v>
      </c>
      <c r="G34">
        <v>30</v>
      </c>
      <c r="H34">
        <v>35</v>
      </c>
      <c r="J34">
        <v>15</v>
      </c>
      <c r="K34">
        <v>14</v>
      </c>
      <c r="L34">
        <v>10</v>
      </c>
      <c r="O34">
        <v>34</v>
      </c>
      <c r="P34">
        <v>31</v>
      </c>
      <c r="Q34">
        <v>36</v>
      </c>
      <c r="S34">
        <v>60</v>
      </c>
      <c r="U34">
        <v>18</v>
      </c>
      <c r="V34">
        <v>21</v>
      </c>
      <c r="W34">
        <v>26</v>
      </c>
      <c r="X34">
        <v>52</v>
      </c>
      <c r="AA34">
        <v>54</v>
      </c>
      <c r="AB34">
        <v>30</v>
      </c>
      <c r="AC34">
        <v>65</v>
      </c>
      <c r="AD34">
        <v>38</v>
      </c>
    </row>
    <row r="35" spans="2:30">
      <c r="B35">
        <v>40</v>
      </c>
      <c r="C35">
        <v>41</v>
      </c>
      <c r="D35">
        <v>40</v>
      </c>
      <c r="F35">
        <v>28</v>
      </c>
      <c r="G35">
        <v>30</v>
      </c>
      <c r="H35">
        <v>34</v>
      </c>
      <c r="J35">
        <v>16</v>
      </c>
      <c r="K35">
        <v>15</v>
      </c>
      <c r="L35">
        <v>9</v>
      </c>
      <c r="O35">
        <v>46</v>
      </c>
      <c r="P35">
        <v>31</v>
      </c>
      <c r="Q35">
        <v>33</v>
      </c>
      <c r="S35">
        <v>58</v>
      </c>
      <c r="U35">
        <v>18</v>
      </c>
      <c r="V35">
        <v>21</v>
      </c>
      <c r="W35">
        <v>25</v>
      </c>
      <c r="X35">
        <v>51</v>
      </c>
      <c r="AA35">
        <v>32</v>
      </c>
      <c r="AB35">
        <v>28</v>
      </c>
      <c r="AC35">
        <v>62</v>
      </c>
      <c r="AD35">
        <v>35</v>
      </c>
    </row>
    <row r="36" spans="2:30">
      <c r="B36">
        <v>39</v>
      </c>
      <c r="C36">
        <v>40</v>
      </c>
      <c r="D36">
        <v>39</v>
      </c>
      <c r="F36">
        <v>29</v>
      </c>
      <c r="G36">
        <v>29</v>
      </c>
      <c r="H36">
        <v>40</v>
      </c>
      <c r="J36">
        <v>14</v>
      </c>
      <c r="K36">
        <v>17</v>
      </c>
      <c r="L36">
        <v>9</v>
      </c>
      <c r="O36">
        <v>57</v>
      </c>
      <c r="P36">
        <v>32</v>
      </c>
      <c r="Q36">
        <v>32</v>
      </c>
      <c r="S36">
        <v>45</v>
      </c>
      <c r="U36">
        <v>17</v>
      </c>
      <c r="V36">
        <v>20</v>
      </c>
      <c r="W36">
        <v>24</v>
      </c>
      <c r="X36">
        <v>50</v>
      </c>
      <c r="AA36">
        <v>32</v>
      </c>
      <c r="AB36">
        <v>31</v>
      </c>
      <c r="AC36">
        <v>62</v>
      </c>
      <c r="AD36">
        <v>38</v>
      </c>
    </row>
    <row r="37" spans="2:30">
      <c r="B37">
        <v>44</v>
      </c>
      <c r="C37">
        <v>38</v>
      </c>
      <c r="D37">
        <v>44</v>
      </c>
      <c r="F37">
        <v>45</v>
      </c>
      <c r="G37">
        <v>41</v>
      </c>
      <c r="H37">
        <v>62</v>
      </c>
      <c r="J37">
        <v>16</v>
      </c>
      <c r="K37">
        <v>19</v>
      </c>
      <c r="L37">
        <v>10</v>
      </c>
      <c r="O37">
        <v>60</v>
      </c>
      <c r="P37">
        <v>50</v>
      </c>
      <c r="Q37">
        <v>45</v>
      </c>
      <c r="S37">
        <v>39</v>
      </c>
      <c r="U37">
        <v>20</v>
      </c>
      <c r="V37">
        <v>24</v>
      </c>
      <c r="W37">
        <v>30</v>
      </c>
      <c r="X37">
        <v>52</v>
      </c>
      <c r="AA37">
        <v>37</v>
      </c>
      <c r="AB37">
        <v>42</v>
      </c>
      <c r="AC37">
        <v>60</v>
      </c>
      <c r="AD37">
        <v>45</v>
      </c>
    </row>
    <row r="38" spans="2:30">
      <c r="B38">
        <v>46</v>
      </c>
      <c r="C38">
        <v>72</v>
      </c>
      <c r="D38">
        <v>46</v>
      </c>
      <c r="F38">
        <v>78</v>
      </c>
      <c r="G38">
        <v>57</v>
      </c>
      <c r="H38">
        <v>87</v>
      </c>
      <c r="J38">
        <v>16</v>
      </c>
      <c r="K38">
        <v>20</v>
      </c>
      <c r="L38">
        <v>11</v>
      </c>
      <c r="O38">
        <v>65</v>
      </c>
      <c r="P38">
        <v>56</v>
      </c>
      <c r="Q38">
        <v>57</v>
      </c>
      <c r="S38">
        <v>48</v>
      </c>
      <c r="U38">
        <v>25</v>
      </c>
      <c r="V38">
        <v>30</v>
      </c>
      <c r="W38">
        <v>35</v>
      </c>
      <c r="X38">
        <v>54</v>
      </c>
      <c r="AA38">
        <v>40</v>
      </c>
      <c r="AB38">
        <v>60</v>
      </c>
      <c r="AC38">
        <v>62</v>
      </c>
      <c r="AD38">
        <v>66</v>
      </c>
    </row>
    <row r="39" spans="2:30">
      <c r="B39">
        <v>85</v>
      </c>
      <c r="C39">
        <v>87</v>
      </c>
      <c r="D39">
        <v>85</v>
      </c>
      <c r="F39">
        <v>114</v>
      </c>
      <c r="G39">
        <v>86</v>
      </c>
      <c r="H39">
        <v>106</v>
      </c>
      <c r="J39">
        <v>14</v>
      </c>
      <c r="K39">
        <v>22</v>
      </c>
      <c r="L39">
        <v>12</v>
      </c>
      <c r="O39">
        <v>72</v>
      </c>
      <c r="P39">
        <v>75</v>
      </c>
      <c r="Q39">
        <v>69</v>
      </c>
      <c r="S39">
        <v>54</v>
      </c>
      <c r="U39">
        <v>32</v>
      </c>
      <c r="V39">
        <v>35</v>
      </c>
      <c r="W39">
        <v>66</v>
      </c>
      <c r="X39">
        <v>68</v>
      </c>
      <c r="AA39">
        <v>67</v>
      </c>
      <c r="AB39">
        <v>84</v>
      </c>
      <c r="AC39">
        <v>67</v>
      </c>
      <c r="AD39">
        <v>95</v>
      </c>
    </row>
    <row r="40" spans="2:30">
      <c r="B40">
        <v>114</v>
      </c>
      <c r="C40">
        <v>116</v>
      </c>
      <c r="D40">
        <v>114</v>
      </c>
      <c r="F40">
        <v>121</v>
      </c>
      <c r="G40">
        <v>116</v>
      </c>
      <c r="H40">
        <v>130</v>
      </c>
      <c r="J40">
        <v>16</v>
      </c>
      <c r="K40">
        <v>18</v>
      </c>
      <c r="L40">
        <v>13</v>
      </c>
      <c r="O40">
        <v>90</v>
      </c>
      <c r="P40">
        <v>85</v>
      </c>
      <c r="Q40">
        <v>82</v>
      </c>
      <c r="S40">
        <v>67</v>
      </c>
      <c r="U40">
        <v>68</v>
      </c>
      <c r="V40">
        <v>66</v>
      </c>
      <c r="W40">
        <v>65</v>
      </c>
      <c r="X40">
        <v>65</v>
      </c>
      <c r="AA40">
        <v>99</v>
      </c>
      <c r="AB40">
        <v>104</v>
      </c>
      <c r="AC40">
        <v>87</v>
      </c>
      <c r="AD40">
        <v>100</v>
      </c>
    </row>
    <row r="41" spans="2:30">
      <c r="B41">
        <v>114</v>
      </c>
      <c r="C41">
        <v>108</v>
      </c>
      <c r="D41">
        <v>114</v>
      </c>
      <c r="F41">
        <v>115</v>
      </c>
      <c r="G41">
        <v>101</v>
      </c>
      <c r="H41">
        <v>121</v>
      </c>
      <c r="J41">
        <v>15</v>
      </c>
      <c r="K41">
        <v>17</v>
      </c>
      <c r="L41">
        <v>12</v>
      </c>
      <c r="O41">
        <v>84</v>
      </c>
      <c r="P41">
        <v>80</v>
      </c>
      <c r="Q41">
        <v>75</v>
      </c>
      <c r="S41">
        <v>69</v>
      </c>
      <c r="U41">
        <v>60</v>
      </c>
      <c r="V41">
        <v>59</v>
      </c>
      <c r="W41">
        <v>54</v>
      </c>
      <c r="X41">
        <v>51</v>
      </c>
      <c r="AA41">
        <v>102</v>
      </c>
      <c r="AB41">
        <v>102</v>
      </c>
      <c r="AC41">
        <v>88</v>
      </c>
      <c r="AD41">
        <v>94</v>
      </c>
    </row>
    <row r="42" spans="2:30">
      <c r="B42">
        <v>111</v>
      </c>
      <c r="C42">
        <v>100</v>
      </c>
      <c r="D42">
        <v>111</v>
      </c>
      <c r="F42">
        <v>109</v>
      </c>
      <c r="G42">
        <v>84</v>
      </c>
      <c r="H42">
        <v>123</v>
      </c>
      <c r="J42">
        <v>14</v>
      </c>
      <c r="K42">
        <v>18</v>
      </c>
      <c r="L42">
        <v>10</v>
      </c>
      <c r="O42">
        <v>74</v>
      </c>
      <c r="P42">
        <v>73</v>
      </c>
      <c r="Q42">
        <v>66</v>
      </c>
      <c r="S42">
        <v>68</v>
      </c>
      <c r="U42">
        <v>64</v>
      </c>
      <c r="V42">
        <v>57</v>
      </c>
      <c r="W42">
        <v>54</v>
      </c>
      <c r="X42">
        <v>53</v>
      </c>
      <c r="AA42">
        <v>90</v>
      </c>
      <c r="AB42">
        <v>91</v>
      </c>
      <c r="AC42">
        <v>80</v>
      </c>
      <c r="AD42">
        <v>87</v>
      </c>
    </row>
    <row r="43" spans="2:30">
      <c r="B43">
        <v>94</v>
      </c>
      <c r="C43">
        <v>80</v>
      </c>
      <c r="D43">
        <v>94</v>
      </c>
      <c r="F43">
        <v>92</v>
      </c>
      <c r="G43">
        <v>76</v>
      </c>
      <c r="H43">
        <v>110</v>
      </c>
      <c r="J43">
        <v>16</v>
      </c>
      <c r="K43">
        <v>17</v>
      </c>
      <c r="L43">
        <v>9</v>
      </c>
      <c r="O43">
        <v>64</v>
      </c>
      <c r="P43">
        <v>60</v>
      </c>
      <c r="Q43">
        <v>57</v>
      </c>
      <c r="S43">
        <v>61</v>
      </c>
      <c r="U43">
        <v>59</v>
      </c>
      <c r="V43">
        <v>50</v>
      </c>
      <c r="W43">
        <v>47</v>
      </c>
      <c r="X43">
        <v>52</v>
      </c>
      <c r="AA43">
        <v>75</v>
      </c>
      <c r="AB43">
        <v>81</v>
      </c>
      <c r="AC43">
        <v>76</v>
      </c>
      <c r="AD43">
        <v>74</v>
      </c>
    </row>
    <row r="44" spans="2:30">
      <c r="B44">
        <v>73</v>
      </c>
      <c r="C44">
        <v>66</v>
      </c>
      <c r="D44">
        <v>73</v>
      </c>
      <c r="F44">
        <v>78</v>
      </c>
      <c r="G44">
        <v>65</v>
      </c>
      <c r="H44">
        <v>89</v>
      </c>
      <c r="J44">
        <v>9</v>
      </c>
      <c r="K44">
        <v>16</v>
      </c>
      <c r="L44">
        <v>11</v>
      </c>
      <c r="O44">
        <v>56</v>
      </c>
      <c r="P44">
        <v>52</v>
      </c>
      <c r="Q44">
        <v>52</v>
      </c>
      <c r="S44">
        <v>58</v>
      </c>
      <c r="U44">
        <v>50</v>
      </c>
      <c r="V44">
        <v>44</v>
      </c>
      <c r="W44">
        <v>39</v>
      </c>
      <c r="X44">
        <v>47</v>
      </c>
      <c r="AA44">
        <v>63</v>
      </c>
      <c r="AB44">
        <v>65</v>
      </c>
      <c r="AC44">
        <v>70</v>
      </c>
      <c r="AD44">
        <v>60</v>
      </c>
    </row>
    <row r="45" spans="2:30">
      <c r="B45">
        <v>68</v>
      </c>
      <c r="C45">
        <v>50</v>
      </c>
      <c r="D45">
        <v>68</v>
      </c>
      <c r="F45">
        <v>55</v>
      </c>
      <c r="G45">
        <v>64</v>
      </c>
      <c r="H45">
        <v>71</v>
      </c>
      <c r="J45">
        <v>9</v>
      </c>
      <c r="K45">
        <v>15</v>
      </c>
      <c r="L45">
        <v>12</v>
      </c>
      <c r="O45">
        <v>50</v>
      </c>
      <c r="P45">
        <v>46</v>
      </c>
      <c r="Q45">
        <v>46</v>
      </c>
      <c r="S45">
        <v>56</v>
      </c>
      <c r="U45">
        <v>40</v>
      </c>
      <c r="V45">
        <v>38</v>
      </c>
      <c r="W45">
        <v>39</v>
      </c>
      <c r="X45">
        <v>46</v>
      </c>
      <c r="AA45">
        <v>45</v>
      </c>
      <c r="AB45">
        <v>56</v>
      </c>
      <c r="AC45">
        <v>67</v>
      </c>
      <c r="AD45">
        <v>48</v>
      </c>
    </row>
    <row r="46" spans="2:30">
      <c r="B46">
        <v>54</v>
      </c>
      <c r="C46">
        <v>48</v>
      </c>
      <c r="D46">
        <v>54</v>
      </c>
      <c r="F46">
        <v>46</v>
      </c>
      <c r="G46">
        <v>62</v>
      </c>
      <c r="H46">
        <v>52</v>
      </c>
      <c r="J46">
        <v>8</v>
      </c>
      <c r="K46">
        <v>14</v>
      </c>
      <c r="L46">
        <v>14</v>
      </c>
      <c r="O46">
        <v>46</v>
      </c>
      <c r="P46">
        <v>42</v>
      </c>
      <c r="Q46">
        <v>42</v>
      </c>
      <c r="S46">
        <v>54</v>
      </c>
      <c r="U46">
        <v>31</v>
      </c>
      <c r="V46">
        <v>31</v>
      </c>
      <c r="W46">
        <v>36</v>
      </c>
      <c r="X46">
        <v>46</v>
      </c>
      <c r="AA46">
        <v>42</v>
      </c>
      <c r="AB46">
        <v>37</v>
      </c>
      <c r="AC46">
        <v>73</v>
      </c>
      <c r="AD46">
        <v>39</v>
      </c>
    </row>
    <row r="47" spans="2:30">
      <c r="B47">
        <v>51</v>
      </c>
      <c r="C47">
        <v>48</v>
      </c>
      <c r="D47">
        <v>51</v>
      </c>
      <c r="F47">
        <v>44</v>
      </c>
      <c r="G47">
        <v>71</v>
      </c>
      <c r="H47">
        <v>43</v>
      </c>
      <c r="J47">
        <v>9</v>
      </c>
      <c r="K47">
        <v>18</v>
      </c>
      <c r="L47">
        <v>12</v>
      </c>
      <c r="O47">
        <v>40</v>
      </c>
      <c r="P47">
        <v>43</v>
      </c>
      <c r="Q47">
        <v>41</v>
      </c>
      <c r="S47">
        <v>60</v>
      </c>
      <c r="U47">
        <v>28</v>
      </c>
      <c r="V47">
        <v>27</v>
      </c>
      <c r="W47">
        <v>31</v>
      </c>
      <c r="X47">
        <v>43</v>
      </c>
      <c r="AA47">
        <v>36</v>
      </c>
      <c r="AB47">
        <v>38</v>
      </c>
      <c r="AC47">
        <v>72</v>
      </c>
      <c r="AD47">
        <v>38</v>
      </c>
    </row>
    <row r="48" spans="2:30">
      <c r="B48">
        <v>50</v>
      </c>
      <c r="C48">
        <v>46</v>
      </c>
      <c r="D48">
        <v>50</v>
      </c>
      <c r="F48">
        <v>49</v>
      </c>
      <c r="G48">
        <v>66</v>
      </c>
      <c r="H48">
        <v>48</v>
      </c>
      <c r="J48">
        <v>11</v>
      </c>
      <c r="K48">
        <v>16</v>
      </c>
      <c r="L48">
        <v>8</v>
      </c>
      <c r="O48">
        <v>75</v>
      </c>
      <c r="P48">
        <v>44</v>
      </c>
      <c r="Q48">
        <v>46</v>
      </c>
      <c r="S48">
        <v>56</v>
      </c>
      <c r="U48">
        <v>29</v>
      </c>
      <c r="V48">
        <v>25</v>
      </c>
      <c r="W48">
        <v>31</v>
      </c>
      <c r="X48">
        <v>45</v>
      </c>
      <c r="AA48">
        <v>39</v>
      </c>
      <c r="AB48">
        <v>43</v>
      </c>
      <c r="AC48">
        <v>72</v>
      </c>
      <c r="AD48">
        <v>43</v>
      </c>
    </row>
    <row r="49" spans="2:30">
      <c r="B49">
        <v>59</v>
      </c>
      <c r="C49">
        <v>50</v>
      </c>
      <c r="D49">
        <v>59</v>
      </c>
      <c r="F49">
        <v>54</v>
      </c>
      <c r="G49">
        <v>59</v>
      </c>
      <c r="H49">
        <v>57</v>
      </c>
      <c r="J49">
        <v>10</v>
      </c>
      <c r="K49">
        <v>9</v>
      </c>
      <c r="L49">
        <v>9</v>
      </c>
      <c r="O49">
        <v>66</v>
      </c>
      <c r="P49">
        <v>47</v>
      </c>
      <c r="Q49">
        <v>51</v>
      </c>
      <c r="S49">
        <v>60</v>
      </c>
      <c r="U49">
        <v>30</v>
      </c>
      <c r="V49">
        <v>29</v>
      </c>
      <c r="W49">
        <v>34</v>
      </c>
      <c r="X49">
        <v>46</v>
      </c>
      <c r="AA49">
        <v>48</v>
      </c>
      <c r="AB49">
        <v>60</v>
      </c>
      <c r="AC49">
        <v>68</v>
      </c>
      <c r="AD49">
        <v>48</v>
      </c>
    </row>
    <row r="50" spans="2:30">
      <c r="B50">
        <v>59</v>
      </c>
      <c r="C50">
        <v>66</v>
      </c>
      <c r="D50">
        <v>59</v>
      </c>
      <c r="F50">
        <v>65</v>
      </c>
      <c r="G50">
        <v>47</v>
      </c>
      <c r="H50">
        <v>75</v>
      </c>
      <c r="J50">
        <v>10</v>
      </c>
      <c r="K50">
        <v>10</v>
      </c>
      <c r="L50">
        <v>8</v>
      </c>
      <c r="O50">
        <v>56</v>
      </c>
      <c r="P50">
        <v>47</v>
      </c>
      <c r="Q50">
        <v>57</v>
      </c>
      <c r="S50">
        <v>56</v>
      </c>
      <c r="U50">
        <v>32</v>
      </c>
      <c r="V50">
        <v>31</v>
      </c>
      <c r="W50">
        <v>34</v>
      </c>
      <c r="X50">
        <v>49</v>
      </c>
      <c r="AA50">
        <v>52</v>
      </c>
      <c r="AB50">
        <v>71</v>
      </c>
      <c r="AC50">
        <v>69</v>
      </c>
      <c r="AD50">
        <v>52</v>
      </c>
    </row>
    <row r="51" spans="2:30">
      <c r="B51">
        <v>83</v>
      </c>
      <c r="C51">
        <v>74</v>
      </c>
      <c r="D51">
        <v>83</v>
      </c>
      <c r="F51">
        <v>77</v>
      </c>
      <c r="G51">
        <v>41</v>
      </c>
      <c r="H51">
        <v>80</v>
      </c>
      <c r="J51">
        <v>11</v>
      </c>
      <c r="K51">
        <v>11</v>
      </c>
      <c r="L51">
        <v>7</v>
      </c>
      <c r="O51">
        <v>58</v>
      </c>
      <c r="P51">
        <v>56</v>
      </c>
      <c r="Q51">
        <v>62</v>
      </c>
      <c r="S51">
        <v>64</v>
      </c>
      <c r="U51">
        <v>34</v>
      </c>
      <c r="V51">
        <v>33</v>
      </c>
      <c r="W51">
        <v>37</v>
      </c>
      <c r="X51">
        <v>50</v>
      </c>
      <c r="AA51">
        <v>60</v>
      </c>
      <c r="AB51">
        <v>68</v>
      </c>
      <c r="AC51">
        <v>74</v>
      </c>
      <c r="AD51">
        <v>66</v>
      </c>
    </row>
    <row r="52" spans="2:30">
      <c r="B52">
        <v>81</v>
      </c>
      <c r="C52">
        <v>70</v>
      </c>
      <c r="D52">
        <v>81</v>
      </c>
      <c r="F52">
        <v>83</v>
      </c>
      <c r="G52">
        <v>36</v>
      </c>
      <c r="H52">
        <v>85</v>
      </c>
      <c r="J52">
        <v>11</v>
      </c>
      <c r="K52">
        <v>10</v>
      </c>
      <c r="L52">
        <v>9</v>
      </c>
      <c r="O52">
        <v>50</v>
      </c>
      <c r="P52">
        <v>62</v>
      </c>
      <c r="Q52">
        <v>64</v>
      </c>
      <c r="S52">
        <v>69</v>
      </c>
      <c r="U52">
        <v>30</v>
      </c>
      <c r="V52">
        <v>36</v>
      </c>
      <c r="W52">
        <v>37</v>
      </c>
      <c r="X52">
        <v>52</v>
      </c>
      <c r="AA52">
        <v>62</v>
      </c>
      <c r="AB52">
        <v>65</v>
      </c>
      <c r="AC52">
        <v>83</v>
      </c>
      <c r="AD52">
        <v>69</v>
      </c>
    </row>
    <row r="53" spans="2:30">
      <c r="B53">
        <v>75</v>
      </c>
      <c r="C53">
        <v>66</v>
      </c>
      <c r="D53">
        <v>75</v>
      </c>
      <c r="F53">
        <v>75</v>
      </c>
      <c r="H53">
        <v>80</v>
      </c>
      <c r="J53">
        <v>9</v>
      </c>
      <c r="K53">
        <v>11</v>
      </c>
      <c r="L53">
        <v>10</v>
      </c>
      <c r="O53">
        <v>40</v>
      </c>
      <c r="P53">
        <v>56</v>
      </c>
      <c r="Q53">
        <v>59</v>
      </c>
      <c r="S53">
        <v>70</v>
      </c>
      <c r="U53">
        <v>30</v>
      </c>
      <c r="V53">
        <v>30</v>
      </c>
      <c r="W53">
        <v>34</v>
      </c>
      <c r="X53">
        <v>52</v>
      </c>
      <c r="AA53">
        <v>52</v>
      </c>
      <c r="AB53">
        <v>45</v>
      </c>
      <c r="AC53">
        <v>84</v>
      </c>
      <c r="AD53">
        <v>65</v>
      </c>
    </row>
    <row r="54" spans="2:30">
      <c r="B54">
        <v>65</v>
      </c>
      <c r="C54">
        <v>58</v>
      </c>
      <c r="D54">
        <v>6</v>
      </c>
      <c r="F54">
        <v>61</v>
      </c>
      <c r="H54">
        <v>71</v>
      </c>
      <c r="J54">
        <v>10</v>
      </c>
      <c r="K54">
        <v>10</v>
      </c>
      <c r="L54">
        <v>8</v>
      </c>
      <c r="P54">
        <v>50</v>
      </c>
      <c r="Q54">
        <v>53</v>
      </c>
      <c r="S54">
        <v>70</v>
      </c>
      <c r="U54">
        <v>26</v>
      </c>
      <c r="V54">
        <v>28</v>
      </c>
      <c r="W54">
        <v>31</v>
      </c>
      <c r="X54">
        <v>53</v>
      </c>
      <c r="AA54">
        <v>46</v>
      </c>
      <c r="AB54">
        <v>35</v>
      </c>
      <c r="AC54">
        <v>81</v>
      </c>
      <c r="AD54">
        <v>52</v>
      </c>
    </row>
    <row r="55" spans="2:30">
      <c r="B55">
        <v>50</v>
      </c>
      <c r="C55">
        <v>42</v>
      </c>
      <c r="D55">
        <v>50</v>
      </c>
      <c r="F55">
        <v>43</v>
      </c>
      <c r="H55">
        <v>50</v>
      </c>
      <c r="K55">
        <v>9</v>
      </c>
      <c r="L55">
        <v>9</v>
      </c>
      <c r="P55">
        <v>42</v>
      </c>
      <c r="Q55">
        <v>46</v>
      </c>
      <c r="S55">
        <v>70</v>
      </c>
      <c r="U55">
        <v>21</v>
      </c>
      <c r="V55">
        <v>28</v>
      </c>
      <c r="W55">
        <v>30</v>
      </c>
      <c r="X55">
        <v>53</v>
      </c>
      <c r="AA55">
        <v>39</v>
      </c>
      <c r="AB55">
        <v>32</v>
      </c>
      <c r="AC55">
        <v>80</v>
      </c>
      <c r="AD55">
        <v>44</v>
      </c>
    </row>
    <row r="56" spans="2:30">
      <c r="B56">
        <v>38</v>
      </c>
      <c r="C56">
        <v>41</v>
      </c>
      <c r="D56">
        <v>38</v>
      </c>
      <c r="F56">
        <v>35</v>
      </c>
      <c r="H56">
        <v>36</v>
      </c>
      <c r="K56">
        <v>8</v>
      </c>
      <c r="L56">
        <v>8</v>
      </c>
      <c r="P56">
        <v>35</v>
      </c>
      <c r="Q56">
        <v>42</v>
      </c>
      <c r="S56">
        <v>69</v>
      </c>
      <c r="V56">
        <v>29</v>
      </c>
      <c r="W56">
        <v>28</v>
      </c>
      <c r="AA56">
        <v>35</v>
      </c>
      <c r="AC56">
        <v>76</v>
      </c>
      <c r="AD56">
        <v>43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64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42</vt:i4>
      </vt:variant>
      <vt:variant>
        <vt:lpstr>Named Ranges</vt:lpstr>
      </vt:variant>
      <vt:variant>
        <vt:i4>22</vt:i4>
      </vt:variant>
    </vt:vector>
  </HeadingPairs>
  <TitlesOfParts>
    <vt:vector size="64" baseType="lpstr">
      <vt:lpstr>CIRCLE INPUT</vt:lpstr>
      <vt:lpstr>FORMAT A</vt:lpstr>
      <vt:lpstr>33KV FEEDER INPUT</vt:lpstr>
      <vt:lpstr>IMP-EXP</vt:lpstr>
      <vt:lpstr>RAO HT</vt:lpstr>
      <vt:lpstr>33 KV HT</vt:lpstr>
      <vt:lpstr>11 KV HT</vt:lpstr>
      <vt:lpstr>MIS</vt:lpstr>
      <vt:lpstr>SS LOSS</vt:lpstr>
      <vt:lpstr>SS INPUT</vt:lpstr>
      <vt:lpstr>Sheet3</vt:lpstr>
      <vt:lpstr>T&amp;D</vt:lpstr>
      <vt:lpstr>MDM</vt:lpstr>
      <vt:lpstr>Sheet27</vt:lpstr>
      <vt:lpstr>FORMAT C</vt:lpstr>
      <vt:lpstr>INDUSTRIAL FEEDER INPUT</vt:lpstr>
      <vt:lpstr>33 KV FEEDER LOSS</vt:lpstr>
      <vt:lpstr>Sheet1</vt:lpstr>
      <vt:lpstr>Sheet4</vt:lpstr>
      <vt:lpstr>Sheet2</vt:lpstr>
      <vt:lpstr>Sheet6</vt:lpstr>
      <vt:lpstr>c office</vt:lpstr>
      <vt:lpstr>Sheet11</vt:lpstr>
      <vt:lpstr>Sheet12</vt:lpstr>
      <vt:lpstr>Sheet14</vt:lpstr>
      <vt:lpstr>Sheet5</vt:lpstr>
      <vt:lpstr>Sheet7</vt:lpstr>
      <vt:lpstr>Sheet8</vt:lpstr>
      <vt:lpstr>Sheet9</vt:lpstr>
      <vt:lpstr>Sheet10</vt:lpstr>
      <vt:lpstr>Sheet13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_11KV_BARAGHATA__RURAL</vt:lpstr>
      <vt:lpstr>'33 KV HT'!_FilterDatabase</vt:lpstr>
      <vt:lpstr>'SS LOSS'!_FilterDatabase</vt:lpstr>
      <vt:lpstr>'33 KV FEEDER LOSS'!Print_Area</vt:lpstr>
      <vt:lpstr>'33 KV HT'!Print_Area</vt:lpstr>
      <vt:lpstr>'33KV FEEDER INPUT'!Print_Area</vt:lpstr>
      <vt:lpstr>'CIRCLE INPUT'!Print_Area</vt:lpstr>
      <vt:lpstr>'FORMAT A'!Print_Area</vt:lpstr>
      <vt:lpstr>'FORMAT C'!Print_Area</vt:lpstr>
      <vt:lpstr>'IMP-EXP'!Print_Area</vt:lpstr>
      <vt:lpstr>'INDUSTRIAL FEEDER INPUT'!Print_Area</vt:lpstr>
      <vt:lpstr>MIS!Print_Area</vt:lpstr>
      <vt:lpstr>'RAO HT'!Print_Area</vt:lpstr>
      <vt:lpstr>Sheet2!Print_Area</vt:lpstr>
      <vt:lpstr>'SS INPUT'!Print_Area</vt:lpstr>
      <vt:lpstr>'SS LOSS'!Print_Area</vt:lpstr>
      <vt:lpstr>'T&amp;D'!Print_Area</vt:lpstr>
      <vt:lpstr>'33 KV HT'!Print_Titles</vt:lpstr>
      <vt:lpstr>'33 KV HT'!Print_Titles_0</vt:lpstr>
      <vt:lpstr>'33 KV HT'!Print_Titles_0_0</vt:lpstr>
      <vt:lpstr>Sheet1!repbot</vt:lpstr>
      <vt:lpstr>Sheet1!reptop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compaq</dc:creator>
  <cp:lastModifiedBy>Nishank</cp:lastModifiedBy>
  <cp:revision>3</cp:revision>
  <cp:lastPrinted>2024-03-11T08:35:18Z</cp:lastPrinted>
  <dcterms:created xsi:type="dcterms:W3CDTF">2016-04-13T12:32:22Z</dcterms:created>
  <dcterms:modified xsi:type="dcterms:W3CDTF">2024-11-26T08:26:31Z</dcterms:modified>
  <dc:language>en-IN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