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AB UNCLEANED DATA" sheetId="1" r:id="rId4"/>
    <sheet state="visible" name="CLEANING DATA -1" sheetId="2" r:id="rId5"/>
    <sheet state="visible" name="CLEANING DATA -2" sheetId="3" r:id="rId6"/>
    <sheet state="visible" name="CLEANING DATA-4" sheetId="4" r:id="rId7"/>
    <sheet state="visible" name="CLEANING DATA-5" sheetId="5" r:id="rId8"/>
    <sheet state="visible" name="DATA CLEANING-6" sheetId="6" r:id="rId9"/>
    <sheet state="visible" name="DATA CLEANING-7" sheetId="7" r:id="rId10"/>
    <sheet state="visible" name="CLEANED DATA" sheetId="8" r:id="rId11"/>
    <sheet state="visible" name="Pivot Table 1" sheetId="9" r:id="rId12"/>
  </sheets>
  <definedNames>
    <definedName hidden="1" localSheetId="0" name="_xlnm._FilterDatabase">'IAB UNCLEANED DATA'!$A$1:$B$1400</definedName>
    <definedName hidden="1" localSheetId="1" name="_xlnm._FilterDatabase">'CLEANING DATA -1'!$F$1:$N$1279</definedName>
    <definedName hidden="1" localSheetId="2" name="_xlnm._FilterDatabase">'CLEANING DATA -2'!$F$1:$N$1279</definedName>
    <definedName hidden="1" localSheetId="7" name="_xlnm._FilterDatabase">'CLEANED DATA'!$A$1:$W$144</definedName>
  </definedNames>
  <calcPr/>
  <pivotCaches>
    <pivotCache cacheId="0" r:id="rId13"/>
  </pivotCaches>
</workbook>
</file>

<file path=xl/sharedStrings.xml><?xml version="1.0" encoding="utf-8"?>
<sst xmlns="http://schemas.openxmlformats.org/spreadsheetml/2006/main" count="10011" uniqueCount="2874">
  <si>
    <t>IAB REGISTERED ARCHITECTURAL CONSULTANTS (Valid Upto 31st December, 2020)</t>
  </si>
  <si>
    <t>In Alphabetical Order</t>
  </si>
  <si>
    <t>IAB-RP-B01</t>
  </si>
  <si>
    <t>BASATIKALPA (Est‐1988)</t>
  </si>
  <si>
    <t>Office Address: 70/1 Naya Paltan, VIP Road, Dhaka‐1000</t>
  </si>
  <si>
    <t>Email ID: asfar@global‐bd.net,</t>
  </si>
  <si>
    <t>Website : www.basatikalpa.com Contact: +88‐02‐7252314</t>
  </si>
  <si>
    <t>NAME OF PROPRIETOR/ PARTNER/ DIRECTOR(s) &amp; DESIGNATION</t>
  </si>
  <si>
    <t>Ar. Asfarul Islam (I‐020) Proprietor</t>
  </si>
  <si>
    <t>FULL TIME TECHNICAL PERSONNEL OF THE FIRM/COMPANY:</t>
  </si>
  <si>
    <t>IAB Member Architect 1 Architectural Graduate 6 Total 7</t>
  </si>
  <si>
    <t>IAB-RP-B02</t>
  </si>
  <si>
    <t>BESTEC INFOTECH (Est‐2013)</t>
  </si>
  <si>
    <t>Office Address: House‐02, Road‐14/A, Sector‐4, Uttara Model Town, Dhaka‐1230</t>
  </si>
  <si>
    <t>Email ID: tariqul@bestecgroup.com Contact: 09611689575‐6</t>
  </si>
  <si>
    <t>Ar. Tariqul Islam (I‐028) Proprietor</t>
  </si>
  <si>
    <t>IAB Member Architect 5 Architectural Graduate 15 Total 20</t>
  </si>
  <si>
    <t>IAB-RP-B03</t>
  </si>
  <si>
    <t>BINYASH (Est‐2005)</t>
  </si>
  <si>
    <t>Office Address: House‐480, Road‐32, New DOHS, Mohakhali, Dhaka‐1206</t>
  </si>
  <si>
    <t>Email ID: rahat.niaz@gmail.com</t>
  </si>
  <si>
    <t>Website : www.binyashltd.com Contact: +88‐02‐8715368</t>
  </si>
  <si>
    <t>Ar. Rahat Mujib Niaz (N‐029) Principal Architect</t>
  </si>
  <si>
    <t>Ar.Faisal Billah (B‐034) Architect Partner</t>
  </si>
  <si>
    <t>IAB Member Architect 7 Architectural Graduate 9 Total 16</t>
  </si>
  <si>
    <t>IAB-RP-B04</t>
  </si>
  <si>
    <t>BKS &amp; ASSOCIATES (Est‐2008)</t>
  </si>
  <si>
    <t>Office Address: House‐07, Road‐05, Apt‐5B, Block‐I, Banani, Dkaka‐1213</t>
  </si>
  <si>
    <t>Email ID: marathon_architects@yahoo.com</t>
  </si>
  <si>
    <t>Website : www.bksandassociates.com Contact: +88‐02‐9677467</t>
  </si>
  <si>
    <t>Ar. Bidhan Kumar Saha (S‐062) Proprietor</t>
  </si>
  <si>
    <t>IAB Member Architect 2 Architectural Graduate 3 Total 5</t>
  </si>
  <si>
    <t>IAB-RP-B05</t>
  </si>
  <si>
    <t>BABUIBASHA: A SUSTAINABLE ARCHITECTURE. (Est‐2013)</t>
  </si>
  <si>
    <t>Office Address: The Emporium, D‐05, 14/1, Mirpur Road, Shyamoli, Dhaka‐1207</t>
  </si>
  <si>
    <t>Email ID: babuibasha@gmail.com Contact: +8801711593658,</t>
  </si>
  <si>
    <t>Ar. Ruksana Sultana (S‐155) Principal</t>
  </si>
  <si>
    <t>FULL TIME ARCHITECTURAL PERSONNEL OF THE FIRM/COMPANY:</t>
  </si>
  <si>
    <t>IAB Member Architect 2 Architectural Graduate 2 Total 4</t>
  </si>
  <si>
    <t>IAB-RP- B06</t>
  </si>
  <si>
    <t>37 BRIDGE (Est‐2009)</t>
  </si>
  <si>
    <t>Office Address: 138, Darus Salam, Mirpur, Dhaka</t>
  </si>
  <si>
    <t>Email ID: contact@37bridge.net</t>
  </si>
  <si>
    <t>Website : www.37bridge.net Contact: +88‐02‐8051994</t>
  </si>
  <si>
    <t>NAME OF PROPRIETOR/ PARTNER/ DIRECTOR(s) &amp; DESIGNATION:</t>
  </si>
  <si>
    <t>Ar. Faysal Kabir (K‐108) Principal Architect</t>
  </si>
  <si>
    <t>IAB-RP- B07</t>
  </si>
  <si>
    <t>BASHA BARI LTD. (Est‐2012)</t>
  </si>
  <si>
    <t>Office Address: 3 rd Floor, 332, Elephant Road, Dhaka‐1205</t>
  </si>
  <si>
    <t>Email ID: bashabari.architects@gmail.com Contact: +88‐01711534290</t>
  </si>
  <si>
    <t>Website :</t>
  </si>
  <si>
    <t>Ar. Dr. Prof. Nizamuddin Ahmed (A‐040) Managing Director</t>
  </si>
  <si>
    <t>IAB Member Architect 2 Architectural Graduate 1 Total 3</t>
  </si>
  <si>
    <t>IAB REGISTERED ARCHITECTURAL CONSULTANTS (Valid Upto 31st December, 2019)</t>
  </si>
  <si>
    <t>IAB-RP-C01</t>
  </si>
  <si>
    <t>CAD LTD (Est‐1986)</t>
  </si>
  <si>
    <t>Office Address: CWN (B), 18/B, Road‐44, Gulshan‐2, Dhaka‐1212</t>
  </si>
  <si>
    <t>Email ID: cadinan@gmail.com, cadsayeda@gmail.com Contact: +8801671119933</t>
  </si>
  <si>
    <t>Ar. B.K.S. Inan (I‐015) Managing Director</t>
  </si>
  <si>
    <t>Ar. Sayeda Sultana (S‐017) Director</t>
  </si>
  <si>
    <t>IAB Member Architect 7 Architectural Graduate 0 Total 7</t>
  </si>
  <si>
    <t>IAB-RP-C02</t>
  </si>
  <si>
    <t>COCREATE STUDIO (Est‐2018)</t>
  </si>
  <si>
    <t>Office Address: 65, Suvastu Imam Square, 5th Floor, Gulshan Avenue, Gulshan‐1, Dhaka‐1212</t>
  </si>
  <si>
    <t>Email ID: cocreate@suvastu.com.bd Contact: +8801819272915</t>
  </si>
  <si>
    <t>Ar. Nazmul Haque Khan (K‐056) Managing Partner</t>
  </si>
  <si>
    <t>IAB Member Architect 1 Architectural Graduate 0 Total 1</t>
  </si>
  <si>
    <t>IAB-RP-C03</t>
  </si>
  <si>
    <t>CUBEINSIDE DESIGN LTD. (Est‐2009)</t>
  </si>
  <si>
    <t>Office Address: House‐5B, Road‐05, Block‐I, Banani, Dhaka‐1213</t>
  </si>
  <si>
    <t>Email ID: cubeinside@gmail.com</t>
  </si>
  <si>
    <t>Website : www.cubeinsidebd.com Contact: +88‐02‐9870193</t>
  </si>
  <si>
    <t>Ar. Khandaker Ashifuzzaman (A‐194) Managing Director</t>
  </si>
  <si>
    <t>Ar. Ahmed Firoj Ul Hoque (H‐213) Chairman</t>
  </si>
  <si>
    <t>Ar. Shakhawat Hossain (H‐216) Director</t>
  </si>
  <si>
    <t>IAB Member Architect 7 Architectural Graduate 3 Total 10</t>
  </si>
  <si>
    <t>IAB-RP-D01</t>
  </si>
  <si>
    <t>DESH UPODESH LTD(Est‐1978)</t>
  </si>
  <si>
    <t>Office Address: House 80/C (4th floor), Block‐D, Asad Avenue, Mohammadpur, Dhaka‐1207</t>
  </si>
  <si>
    <t>Email ID: munirullah@gmail.com, alfaz.hossain1@gmail.com</t>
  </si>
  <si>
    <t>Website : www.deshupodesh.com Contact: +88‐02‐8117694, 9137154</t>
  </si>
  <si>
    <t>Ar. Munirul Haque (H‐011) Managing Director</t>
  </si>
  <si>
    <t>Ar. Alfaz Hossain (H‐003) Director</t>
  </si>
  <si>
    <t>IAB Member Architect 2 Architectural Graduate 17 Total 19</t>
  </si>
  <si>
    <t>IAB-RP-D02</t>
  </si>
  <si>
    <t>DESIGN CELL (Est‐ )</t>
  </si>
  <si>
    <t>Office Address: 75 Indera Road, Metro Garden, Ground Floor, Flat‐GC, Dhaka‐1215</t>
  </si>
  <si>
    <t>Email ID: designcell.cell@gmail.com Contact: +88‐02‐ 8150612</t>
  </si>
  <si>
    <t>Ar. Arif Hasan (H‐136) CEO</t>
  </si>
  <si>
    <t>IAB Member Architect 1 Architectural Graduate 3 Total 4</t>
  </si>
  <si>
    <t>IAB-RP-D03</t>
  </si>
  <si>
    <t>DESIGN ENGINEERS &amp; ARCHITECTS (Est‐1992)</t>
  </si>
  <si>
    <t>Office Address: House‐14, Road‐9, Sector‐4, Uttara</t>
  </si>
  <si>
    <t>Email ID: tjl_slm@yahoo.com Contact: +88‐02‐9886055</t>
  </si>
  <si>
    <t>Ar. Tajul Islam (I‐019) Managing Director</t>
  </si>
  <si>
    <t>IAB Member Architect 2 Architectural Graduate 7 Total 9</t>
  </si>
  <si>
    <t>IAB-RP-D04</t>
  </si>
  <si>
    <t>DESIGN VISION ASSOCIATES LTD (Est‐1998)</t>
  </si>
  <si>
    <t>Office Address: AAA Tower, Plot‐80, Block‐J, baridhara pragati Sharani, Dhaka‐1212</t>
  </si>
  <si>
    <t>Email ID: info@designvision.com.bd</t>
  </si>
  <si>
    <t>Website : www.designvision.com.bd Contact: +88‐02‐9895183, 8834353</t>
  </si>
  <si>
    <t>Ar. Alamgir Jalil (J‐014) Managing Director</t>
  </si>
  <si>
    <t>Ar. Shamina Reza Ava (CA‐020) Chairman</t>
  </si>
  <si>
    <t>IAB Member Architect 7 Architectural Graduate 5 Total 12</t>
  </si>
  <si>
    <t>IAB-RP-D05</t>
  </si>
  <si>
    <t>DOMUS (Est‐may 1977)</t>
  </si>
  <si>
    <t>Office Address: Safura Tower(level 14), 20 Kamal Atartuk Avenue,Banani C/A, Banani ,Dhaka 1213</t>
  </si>
  <si>
    <t>Email ID: domus@accesstel.net , domusdesk@gmail.com</t>
  </si>
  <si>
    <t>Website : www.domusbdarchitects.com Contact: +88‐02‐8822629,9820968,9820969,9889418</t>
  </si>
  <si>
    <t>Ar. Mustafa Ameen (A‐010) Proprietor</t>
  </si>
  <si>
    <t>IAB Member Architect 6 Architectural Graduate 12 Total 18</t>
  </si>
  <si>
    <t>IAB-RP-D06</t>
  </si>
  <si>
    <t>DCON DESIGN STUDIO (Est‐2005)</t>
  </si>
  <si>
    <t>Office Address: 6/10, 1st Floor, Lalmatia, Block‐A, Dhaka</t>
  </si>
  <si>
    <t>Email ID: dcon.design@gmail.com, faisal2395@hotmail.com Contact: : +8801711614551</t>
  </si>
  <si>
    <t>Ar. Abu Anas Faisal (F‐012) Partner</t>
  </si>
  <si>
    <t>IAB Member Architect 3 Architectural Graduate 3 Total 6</t>
  </si>
  <si>
    <t>IAB-RP-D07</t>
  </si>
  <si>
    <t>DEHSAR WORKS (Est‐2015)</t>
  </si>
  <si>
    <t>Office Address: Apt‐LV8, House‐10, Road‐6/A, Dhanmondi R/A, Dhaka‐1209</t>
  </si>
  <si>
    <t>Email ID: rashed@dehsarworks.com</t>
  </si>
  <si>
    <t>Website : www.dehsarworks.com Contact: +8801818064118</t>
  </si>
  <si>
    <t>Ar. Rashed Hassan Chowdhury (C‐069) Principal Architect</t>
  </si>
  <si>
    <t>IAB Member Architect 4 Architectural Graduate 5 Total 9</t>
  </si>
  <si>
    <t>IAB-RP-D08</t>
  </si>
  <si>
    <t>DIAGONAL ARCHITECTS (Est‐2014)</t>
  </si>
  <si>
    <t>Office Address: Flat‐A‐14, (14 th Floor), Building‐12, Bashati Provati, Ring Road, Shyamoli, Dhaka‐1207.</t>
  </si>
  <si>
    <t>Email ID: fairoze@diagonalarchitects‐bd.com Contact: +88‐02‐9126473,</t>
  </si>
  <si>
    <t>Website : www.diagonalarchitects‐bd.com</t>
  </si>
  <si>
    <t>Ar. Fairoze Shamim (S‐067) CEO &amp; Principal Architect</t>
  </si>
  <si>
    <t>IAB Member Architect 1 Architectural Graduate 2 Total 3</t>
  </si>
  <si>
    <t>IAB-RP-D09</t>
  </si>
  <si>
    <t>DOT ARCHITECTS (Est‐2014)</t>
  </si>
  <si>
    <t>Office Address: House‐40, Road‐12, Block‐Kha, PC Culture Housing Society, Mohammadpur, Dhaka‐1207</t>
  </si>
  <si>
    <t>Email ID: Dot.architects@hotmail.com Contact: +8801612880595, +8801965370464</t>
  </si>
  <si>
    <t>Ar. Sudeshna Shireen Chowdhury (C‐063) Partner Architect</t>
  </si>
  <si>
    <t>Ar. M Shihabul Wares (AW‐007) Partner Architect</t>
  </si>
  <si>
    <t>Ar. Eshita Rahman (AR‐143) Partner Architect</t>
  </si>
  <si>
    <t>IAB Member Architect 3 Architectural Graduate 1 Total 4</t>
  </si>
  <si>
    <t>IAB-RP-D10</t>
  </si>
  <si>
    <t>DWG (Est‐2008)</t>
  </si>
  <si>
    <t>Office Address: House‐56,Road‐27,Apt‐1 C1, Dhanmond R/A, Dhaka‐1209</t>
  </si>
  <si>
    <t>Email ID: info@dwg‐office.com</t>
  </si>
  <si>
    <t>Website : www.dwg‐office.com Contact: +88‐02‐9125596,</t>
  </si>
  <si>
    <t>Ar. Naheed Farzana (F‐010) Managing Partner</t>
  </si>
  <si>
    <t>Ar. Tanzim Hasan Salim (S‐063) Partner Architect</t>
  </si>
  <si>
    <t>IAB Member Architect 3 Architectural Graduate 2 Total 5</t>
  </si>
  <si>
    <t>IAB-RP-D11</t>
  </si>
  <si>
    <t>DA‐SEIN ARCHITECTS (Est‐2004)</t>
  </si>
  <si>
    <t>Office Address: Unit: 1/C/1, House: 56, Road: 27(old), 16 (new), Dhanmondi, Dhaka‐1209.</t>
  </si>
  <si>
    <t>Email ID: shawon.dasein@gmail.com Contact: +88 01711937254, +88 02‐9125596</t>
  </si>
  <si>
    <t>Website: www.dasein‐bd.com</t>
  </si>
  <si>
    <t>Ar. Md Rashidur Rahman (R‐134) Principal Architect</t>
  </si>
  <si>
    <t>Tanzir Choudhury Tuhin Partner</t>
  </si>
  <si>
    <t>IAB-RP-D12</t>
  </si>
  <si>
    <t>DWm4 ARCHITECTS (Est‐1995)</t>
  </si>
  <si>
    <t>Office Address: 236, Lake Road , New DOHS , Mohkhali , Dhaka ‐1206</t>
  </si>
  <si>
    <t>Email ID: Contact: +88 01712921323, +88 02‐9885564</t>
  </si>
  <si>
    <t>Website: www.dwm4.com</t>
  </si>
  <si>
    <t>Ar. Mamnoon M. Chowdhury (C‐031) Architect &amp; Partner</t>
  </si>
  <si>
    <t>Ar. Mahmudul Anwar Riyaad (R‐081) Architect &amp; Partner</t>
  </si>
  <si>
    <t>IAB Member Architect Architectural Graduate Total</t>
  </si>
  <si>
    <t>IAB-RP-D13</t>
  </si>
  <si>
    <t>DWm4 INTRENDS LTD. (Est‐2014)</t>
  </si>
  <si>
    <t>Office Address: 236, Lake Road, New DOHS, Mohakhali, Dhaka‐1206</t>
  </si>
  <si>
    <t>Email ID: info@dwm4intrends.com Contact: +88 02‐222280802</t>
  </si>
  <si>
    <t>Website: www.dwm4intrends.com</t>
  </si>
  <si>
    <t>Ar. Mamnoon M. Chowdhury (C‐031) Chairman</t>
  </si>
  <si>
    <t>Ar. Mahmudul Anwar Riyaad (R‐081) Director</t>
  </si>
  <si>
    <t>IAB-RP-E01</t>
  </si>
  <si>
    <t>ENVIRON STRUCTURE LTD. (Est‐1989)</t>
  </si>
  <si>
    <t>Office Address: 86 Laboratory Road, Dhanmondi R/A, Dhaka‐1205</t>
  </si>
  <si>
    <t>Email ID: esl_arch@yahoo.com Contact: +88‐02‐9660876, 9660851</t>
  </si>
  <si>
    <t>Ar. Moid Ul Ahsan (A‐028) Managing Director</t>
  </si>
  <si>
    <t>IAB Member Architect 6 Architectural Graduate 9 Total 15</t>
  </si>
  <si>
    <t>IAB-RP-E02</t>
  </si>
  <si>
    <t>ECLIPTIC (Est‐2009)</t>
  </si>
  <si>
    <t>Office Address: 27/D, Monipuripara, Tejgaon, Dhaka‐1215</t>
  </si>
  <si>
    <t>Email ID: eclipticbd@gmail.com Contact: +88‐02‐9145364, +8801819244544</t>
  </si>
  <si>
    <t>Ar. Tanwir Serajuddowla (S‐075) Chairman &amp; Principal Architect</t>
  </si>
  <si>
    <t>IAB-RP-E03</t>
  </si>
  <si>
    <t>EHSAN KHAN ARCHITECTS LTD. (Est‐2010)</t>
  </si>
  <si>
    <t>Office Address: 25, Gulshan Avenue, Taj Casilina (5th Floor), 6/E, Gulshan‐1, Dhaka‐1212</t>
  </si>
  <si>
    <t>Email ID: ehsan@ekarchitects.com.bd, admin@ekarchitects.com.bd Contact: +88‐02‐9890855</t>
  </si>
  <si>
    <t>Ar. Md. Ehsan Khan (K‐047) Managing Director</t>
  </si>
  <si>
    <t>IAB Member Architect 10 Architectural Graduate 3 Total 13</t>
  </si>
  <si>
    <t>IAB-RP-E04</t>
  </si>
  <si>
    <t>ENVISION ARCHITECTS (Est‐1999)</t>
  </si>
  <si>
    <t>Office Address: 6/2, Block‐B, 1st Floor, Lalmatia, Dhaka‐1207</t>
  </si>
  <si>
    <t>Email ID: qazimarif2012@gmail.com, principal@envision‐arch.org Contact: +88‐02‐58151763</t>
  </si>
  <si>
    <t>Website : www.envision‐arch.org</t>
  </si>
  <si>
    <t>Ar. Qazi Muhammad Arif (A‐059) Principal Architect</t>
  </si>
  <si>
    <t>IAB-RP-F01</t>
  </si>
  <si>
    <t>FOURTH DIMENSION (Est‐2007)</t>
  </si>
  <si>
    <t>Office Address: House‐25/A, Road‐18, Sector‐3, Uttara Model Town, Dhaka‐1230</t>
  </si>
  <si>
    <t>Email ID: turjo_96inte@yahoo.com</t>
  </si>
  <si>
    <t>Website : www.fourthdimensionbd.com Contact: +88‐02‐7913394, 8957701</t>
  </si>
  <si>
    <t>Ar. A. F. M. Ashek Imran (I‐061) Proprietor &amp; Principal Architect</t>
  </si>
  <si>
    <t>IAB Member Architect 2 Architectural Graduate 12 Total 14</t>
  </si>
  <si>
    <t>IAB-RP-F02</t>
  </si>
  <si>
    <t>FALGUNI MALLICK &amp; ASSOCIATES (Est‐ 2011)</t>
  </si>
  <si>
    <t>Office Address: Flat‐B2, House‐29&amp;31, Road‐18, Sector‐7, Uttara, Dhaka‐1230</t>
  </si>
  <si>
    <t>Email ID: fma_architects@yahoo.com, fmallick74@gmail.com Contact: +8801970112299</t>
  </si>
  <si>
    <t>Ar. Falguni Mallick (M‐046) Principal Architect</t>
  </si>
  <si>
    <t>IAB Member Architect 2 Architectural Graduate 4 Total 6</t>
  </si>
  <si>
    <t>IAB-RP-F03</t>
  </si>
  <si>
    <t>FIALKA (Est‐1999)</t>
  </si>
  <si>
    <t>Office Address: Press Club Building, (2 nd Floor), Jamal Khan Road, Chittagong.</t>
  </si>
  <si>
    <t>Email ID: ashiq.fialka@gmail.com Contact: +88‐031‐618599, +88‐031‐</t>
  </si>
  <si>
    <t>Ar. Ashiq Imran (I‐044) Principal Architect</t>
  </si>
  <si>
    <t>IAB-RP-G01</t>
  </si>
  <si>
    <t>GKA &amp; ASSOCIATES (Est‐may 2009)</t>
  </si>
  <si>
    <t>Office Address: 5A, 5 th Floor, House‐99, Road‐11/A, Dhanmondi R/A, Dhaka‐1209</t>
  </si>
  <si>
    <t>Email ID: gakhan0306@yahoo.com</t>
  </si>
  <si>
    <t>Website : www.gka‐bd.com Contact: +88‐02‐8191082</t>
  </si>
  <si>
    <t>Ar. Ghausul Alam Khan (K‐027) CEO/Proprietor</t>
  </si>
  <si>
    <t>IAB Member Architect 1 Architectural Graduate 4 Total 5</t>
  </si>
  <si>
    <t>IAB-RP-G02</t>
  </si>
  <si>
    <t>GENESIS ARCHITECTS (Est‐2017)</t>
  </si>
  <si>
    <t>Office Address: House‐F‐214/3, Uttar Chaya Bithy, Gazipur Sadar, Gazipur‐1700</t>
  </si>
  <si>
    <t>Email ID: info@genesis.archi Contact: +8801812807687</t>
  </si>
  <si>
    <t>Website : www.genesis.archi</t>
  </si>
  <si>
    <t>Ar. Noymul Haque Nohon (N‐040) CEO</t>
  </si>
  <si>
    <t>IAB-RP-G03</t>
  </si>
  <si>
    <t>GRAVITY ARCHITECTURE STUDIO (Est‐2017)</t>
  </si>
  <si>
    <t>Office Address: House 268 (4th Floor‐Right), Road 19, New DOHS Mohakhali, Dhaka‐1206.</t>
  </si>
  <si>
    <t>Email ID: gravity.asbd@gmail.com Contact: +88 01730096986, +88 01676057570</t>
  </si>
  <si>
    <t>Website: www.gravityarchitecturestudio.com</t>
  </si>
  <si>
    <t>Ar. Md. Nahid Hasan (H‐186) Managing Partner</t>
  </si>
  <si>
    <t>Ar. S M Ruhul Amin (A‐221) Partner</t>
  </si>
  <si>
    <t>Ar. Animesh Provaker Debnath (D‐018) Partner</t>
  </si>
  <si>
    <t>IAB Member Architect 5 Architectural Graduate 1 Total 6</t>
  </si>
  <si>
    <t>IAB-RP-H01</t>
  </si>
  <si>
    <t>H I ARCHITECTS (Est‐2019)</t>
  </si>
  <si>
    <t>Office Address: 101, R M Centre (Level‐3), CWN (C) 5, Gulshan Avenue, Gulshan, Dhaka‐121</t>
  </si>
  <si>
    <t>Email ID: md.hasan.imam23@gmail.com Contact: +88 01714110471</t>
  </si>
  <si>
    <t>Ar. Mohammad Hasan Imam (I‐037) Principal Architect</t>
  </si>
  <si>
    <t>IAB-RP-I01</t>
  </si>
  <si>
    <t>IDEA (Est‐2003)</t>
  </si>
  <si>
    <t>Office Address: JMC Plaza, Flat‐A‐6, House‐8/A/9, Road‐13(New), Dhanmondi, Dhaka‐1209</t>
  </si>
  <si>
    <t>Email ID: idea@enstudio.org Contact: +88‐02‐9144347</t>
  </si>
  <si>
    <t>Ar. Moushumi Ahmed (A‐159) Managing Director</t>
  </si>
  <si>
    <t>IAB-RP-I02</t>
  </si>
  <si>
    <t>IMAGE ARCHITECTS (Est‐2010)</t>
  </si>
  <si>
    <t>Office Address: House‐10/GA, Road‐2, Shyamoli, Dhaka‐1207</t>
  </si>
  <si>
    <t>Email ID: image_architects@yahoo.com Contact: +8801712573353, +8801681235750</t>
  </si>
  <si>
    <t>Ar. Md. Emdadul Habib (H‐155) Principal Architect</t>
  </si>
  <si>
    <t>IAB-RP-I03</t>
  </si>
  <si>
    <t>INGRID ARCHITECTS (Est‐1996)</t>
  </si>
  <si>
    <t>Office Address: House#394(3rd floor), Road#29, DOHS Mohakhali , Dhaka 1206</t>
  </si>
  <si>
    <t>Email ID: ingrid_dhaka@yahoo.com Contact: +88‐02‐9880507</t>
  </si>
  <si>
    <t>Ar. Anwarul Islam Khan (K‐083) Partner</t>
  </si>
  <si>
    <t>A.K.M. Abu Hasan (H‐116) Partner</t>
  </si>
  <si>
    <t>Md. Mahfil Ali (A‐076) Partner</t>
  </si>
  <si>
    <t>Md. Mushtaque Ahmed Tanvir (A‐096) Partner</t>
  </si>
  <si>
    <t>IAB Member Architect 3 Architectural Graduate 7 Total 10</t>
  </si>
  <si>
    <t>IAB-RP-I04</t>
  </si>
  <si>
    <t>ICON DESIGN STUDIO (Est‐2014)</t>
  </si>
  <si>
    <t>Office Address: Icon Elan, House‐29, Road‐7, 1 st Floor, Dhanmondi, Dhaka‐1205</t>
  </si>
  <si>
    <t>Email ID: suriti@icon‐bd.com Contact: +8801819211608</t>
  </si>
  <si>
    <t>Ar. Suriti Tassannum (T‐022) Principal Architect</t>
  </si>
  <si>
    <t>IAB Member Architect 2 Architectural Graduate 0 Total 2</t>
  </si>
  <si>
    <t>IAB-RP-I05</t>
  </si>
  <si>
    <t>INARCH STUDIO AND CONSTRUCTION LIMITED (Est‐2010)</t>
  </si>
  <si>
    <t>Office Address: House‐140, 3rd Floor, Road‐04, New DOHS, Mohakhali, Dhaka‐1206</t>
  </si>
  <si>
    <t>Email ID: studio.inarch@gmail.com</t>
  </si>
  <si>
    <t>Website : www.studioinarch.com.bd Contact: +8801715005352</t>
  </si>
  <si>
    <t>Ar. Mohammad Mamunur Rasheed (R‐089) Managing Director &amp;</t>
  </si>
  <si>
    <t>Principal Architect</t>
  </si>
  <si>
    <t>IAB-RP-I06</t>
  </si>
  <si>
    <t>INSIGHT ARCHITECTS (Est‐2010)</t>
  </si>
  <si>
    <t>Office Address: House‐122, Road‐01, Mohammadi Housing Society, Mohammadpur, Dhaka‐1207</t>
  </si>
  <si>
    <t>Email ID: insightarcdhaka@gmail.com Contact: +8801711577032</t>
  </si>
  <si>
    <t>Website : www.facebook.com/insightarch</t>
  </si>
  <si>
    <t>Ar. Masud Ur Rashid (R‐104) Principal Architect</t>
  </si>
  <si>
    <t>IAB Member Architect 6 Architectural Graduate 1 Total 7</t>
  </si>
  <si>
    <t>IAB-RP-I07</t>
  </si>
  <si>
    <t>IN QUEST DESIGN STUDIO (Est‐2017)</t>
  </si>
  <si>
    <t>Office Address: House‐5/12, Ground Floor, Block‐D, Lalmatia, Dhaka‐1209</t>
  </si>
  <si>
    <t>Email ID: inquestbd@gmail.com Contact: 02 58153033, +88 01713038759, +88 01717602792</t>
  </si>
  <si>
    <t>Website: www.inquestbd.com</t>
  </si>
  <si>
    <t>Ar. Selim Altaf Biplob (B‐025) Sr. Partner</t>
  </si>
  <si>
    <t>Ar. Tamanna Sayeed (S‐061) Sr. Partner</t>
  </si>
  <si>
    <t>Ar. Khalid Bin Kabir (K‐129) Partner</t>
  </si>
  <si>
    <t>IAB Member Architect 7 Architectural Graduate 1 Total 8</t>
  </si>
  <si>
    <t>IAB-RP-I08</t>
  </si>
  <si>
    <t>INTEGRATED DESIGNERS, ENGINEERS AND ARCHITECTS LIMITED (Est‐2020)</t>
  </si>
  <si>
    <t>Office Address: Flat‐C5, Mother’s Dream Apartments, 1/2, 1/3 Darussalam, Dhaka‐1216</t>
  </si>
  <si>
    <t>Email ID: contact.ideal.consultants@gmail.com Contact: +88 01912085801</t>
  </si>
  <si>
    <t>Website:</t>
  </si>
  <si>
    <t>Ar. Syed Abdul Halim (H‐233) Managing Director</t>
  </si>
  <si>
    <t>IAB Member Architect 03 Architectural Graduate Total 03</t>
  </si>
  <si>
    <t>IAB-RP-J01</t>
  </si>
  <si>
    <t>J.A.ARCHITECTS LTD. (Est‐2005)</t>
  </si>
  <si>
    <t>Office Address: Apt: C1, 1st Floor, Rabbee House, CEN(B)11, Road 99,Gulshan 2, Dhaka‐1212</t>
  </si>
  <si>
    <t>Email ID: mail@jaarchitects.com.bd</t>
  </si>
  <si>
    <t>Website : www.jaarchitects.com.bd Contact: +88‐02‐9889196, 9887311</t>
  </si>
  <si>
    <t>Ar. Afroza Ahmed (A‐087) Chairperson</t>
  </si>
  <si>
    <t>Ar. Jalal Ahmed (A‐036) Managing Director</t>
  </si>
  <si>
    <t>Ar. Md. Ismail Ibrahim (I‐057) Director</t>
  </si>
  <si>
    <t>Ar. Md. Atiqul Haq (H‐073) Director</t>
  </si>
  <si>
    <t>IAB Member Architect 13 Architectural Graduate 3 Total 16</t>
  </si>
  <si>
    <t>IAB-RP-J02</t>
  </si>
  <si>
    <t>J.M. CONSULTANT (Est‐2009)</t>
  </si>
  <si>
    <t>Office Address: 937, Flat‐G5, Eidgha Road, Ibrahimpur, Kafrul, Cantonment, Dhaka</t>
  </si>
  <si>
    <t>Email ID: consultant.jm878@gmail.com, mrinmoyadhakary@yahoo.com Contact: +8801712621792, +8801942909110</t>
  </si>
  <si>
    <t>Ar. Mrinmoy Adhikary (A‐121) Sr. Architect</t>
  </si>
  <si>
    <t>IAB-RP-K01</t>
  </si>
  <si>
    <t>KHETRO (Est‐2007)</t>
  </si>
  <si>
    <t>Office Address: Flat ‐1, House‐431,Road‐30,New DOHS,Mohakhali, Dhaka‐1206</t>
  </si>
  <si>
    <t>Email ID: info@khetro.com</t>
  </si>
  <si>
    <t>Website : www.khetro.com Contact: +88‐02‐8872212</t>
  </si>
  <si>
    <t>Ar. Al Numan Md. Yunus(Y‐008) Managing Partner</t>
  </si>
  <si>
    <t>Ar. Dhrubajyoti Das (D‐014) Partner</t>
  </si>
  <si>
    <t>Md. Shumsuddin Ahmed Bhuiyan (B‐041) Partner</t>
  </si>
  <si>
    <t>Md. Hasan Al Emtiaz Zafree (CZ‐011) Partner</t>
  </si>
  <si>
    <t>IAB-RP-K02</t>
  </si>
  <si>
    <t>KHETTRA ARCHITECTS (Est‐2005)</t>
  </si>
  <si>
    <t>Office Address: H#72,Ground Floor,R#8/A, Dhanmondi,Dhaka‐1209</t>
  </si>
  <si>
    <t>Email ID: khettra@gmail.com</t>
  </si>
  <si>
    <t>Website : www.khettraarchitects.com Contact: +88‐02‐ 8142871</t>
  </si>
  <si>
    <t>Ar. Mainul Quader Tito (T‐006) CEO</t>
  </si>
  <si>
    <t>IAB-RP-K03</t>
  </si>
  <si>
    <t>K2AH+ ARCHITECTS (Est‐2014)</t>
  </si>
  <si>
    <t>Office Address: House‐91, 1 st Floor, Road‐9/A, Dhanmondi, Dhaka‐1209</t>
  </si>
  <si>
    <t>Email ID: k2ah.architects@gmail.com</t>
  </si>
  <si>
    <t>Website : https://www.facebook.com/K2AHArchitects Contact: +8801717183918,</t>
  </si>
  <si>
    <t>Ar. Ahsanul Haque Rubel (R‐153) Managing Partner</t>
  </si>
  <si>
    <t>Ar. Kawsary Perveen (P‐011) Managing Partner</t>
  </si>
  <si>
    <t>IAB-RP-K04</t>
  </si>
  <si>
    <t>KHETTRA ARCHITECTS &amp; ENGINEERS LIMITED (Est‐2000)</t>
  </si>
  <si>
    <t>Office Address: House‐337, Ground Floor, Road‐23, New DOHS, Mohakhali, Dhaka‐1206</t>
  </si>
  <si>
    <t>Email ID: khettra2000@gmail.com Contact: +88‐02‐8835831</t>
  </si>
  <si>
    <t>Ar. A.K.M Lutful Kabir (K‐065) Managing Director</t>
  </si>
  <si>
    <t>IAB Member Architect 4 Architectural Graduate 2 Total 6</t>
  </si>
  <si>
    <t>IAB-RP-K05</t>
  </si>
  <si>
    <t>KALPAK ARCHITECTS (Est‐2019)</t>
  </si>
  <si>
    <t>Office Address: 13‐B, Rupsha Tower, 07, Kemal Ataturk Avenue, Banani, Dhaka</t>
  </si>
  <si>
    <t>Email ID: kkalpon@gmail.com Contact: +88 01711899081</t>
  </si>
  <si>
    <t>Ar. Kazi Touhidul Islam (I‐041) Partner</t>
  </si>
  <si>
    <t>Ar. Hasina Shams (S‐097) Partner</t>
  </si>
  <si>
    <t>IAB-RP-M01</t>
  </si>
  <si>
    <t>MATRIX (Est‐2000)</t>
  </si>
  <si>
    <t>Office Address: House‐B‐181, (3rd Floor), Road‐23, New DOHS, Mohakhali, Dhaka‐1206</t>
  </si>
  <si>
    <t>Email ID: archmiraz@yahoo.com Contact: +8801191557292</t>
  </si>
  <si>
    <t>Ar. Muhammed Miraz Ur Rahman (R‐087) Principal Architect</t>
  </si>
  <si>
    <t>IAB Member Architect 1 Architectural Graduate 7 Total 8</t>
  </si>
  <si>
    <t>IAB-RP-M02</t>
  </si>
  <si>
    <t>MAATRIK ARCHITECTS (Est‐2000)</t>
  </si>
  <si>
    <t>Office Address: 137/A/1, Jahanara Garden, Green Road, Dhaka‐1205</t>
  </si>
  <si>
    <t>Email ID: maatrikmail@gmail.com Contact: +8801723563209, +8801673545909</t>
  </si>
  <si>
    <t>Website : www.maatrik.net</t>
  </si>
  <si>
    <t>Ar. Md. Aminul Islam (I‐051) CEO</t>
  </si>
  <si>
    <t>IAB-RP-M03</t>
  </si>
  <si>
    <t>MW3 DESIGN + PARTNERS (Est‐2014)</t>
  </si>
  <si>
    <t>Office Address: House‐24 (7th Floor), Road‐14, Block‐G, Niketon, Gulshan‐1, Dhaka‐1212</t>
  </si>
  <si>
    <t>Email ID: mahtab@mw3.com.bd, mw3designpartners@gmail.com Contact: +88‐02‐9840957</t>
  </si>
  <si>
    <t>Website : www.mw3.com.bd</t>
  </si>
  <si>
    <t>Ar. Mahtab Hussain Siddique (S‐101) President &amp; Principal Architect</t>
  </si>
  <si>
    <t>IAB Member Architect 10 Architectural Graduate 0 Total 10</t>
  </si>
  <si>
    <t>IAB REGISTERED ARCHITECTURAL CONSULTANTS (Valid Upto 31 st December, 2019)</t>
  </si>
  <si>
    <t>IAB-RP-N01</t>
  </si>
  <si>
    <t>NAYREET ARCHITECTS (Est‐2007)</t>
  </si>
  <si>
    <t>Office Address: House‐14, Road‐13/C, Block‐E, Banani, Dhaka‐1213</t>
  </si>
  <si>
    <t>Email ID: nayreet_architects@yahoo.com</t>
  </si>
  <si>
    <t>Website : www.nayreetarchitects.com Contact: +88‐02‐7913394, 8957701</t>
  </si>
  <si>
    <t>Ar. Shaila Joarder (J‐013) Managing Partner</t>
  </si>
  <si>
    <t>Ar. Md. Ruhul Amin (A‐196) Partner</t>
  </si>
  <si>
    <t>Ar. Atiqur Rahman (R‐115) Partner</t>
  </si>
  <si>
    <t>IAB Member Architect 5 Architectural Graduate 18 Total 23</t>
  </si>
  <si>
    <t>IAB-RP-N02</t>
  </si>
  <si>
    <t>NOUVEAU ARCHITECTS. (Est‐2009)</t>
  </si>
  <si>
    <t>Office Address: House‐F5, Ground Floor, Block‐E, Jakir Hossain Road, Mohammadpur, Dhaka‐1207</t>
  </si>
  <si>
    <t>Email ID: razaoull@gmail.com Contact: +8801912137212</t>
  </si>
  <si>
    <t>Ar. Mohammed Razaoull Karim (K‐132) Proprietor</t>
  </si>
  <si>
    <t>IAB Member Architect 5 Architectural Graduate Total 5</t>
  </si>
  <si>
    <t>IAB-RP-N03</t>
  </si>
  <si>
    <t>NAKSHABID ARCHITECTS (Est‐2006)</t>
  </si>
  <si>
    <t>Office Address: 8, Kemal Ataturk Avenue, ABC House (5th Floor), Banani C/A, Dhaka‐1213.</t>
  </si>
  <si>
    <t>Email ID: nakshabid@gmail.com Contact: +88 01819221011, +88 02‐9845080</t>
  </si>
  <si>
    <t>Website: www.nakshabid.com</t>
  </si>
  <si>
    <t>Ar. Bayejid Mahbub Khondker (K‐077) Principal Architect</t>
  </si>
  <si>
    <t>IAB-RP-O01</t>
  </si>
  <si>
    <t>OLI MAHMUD ARCHITECTS (Est‐2008)</t>
  </si>
  <si>
    <t>Office Address: 170‐171,Elephant Road (B‐1),Hatirpool ,Dhaka 1205</t>
  </si>
  <si>
    <t>Email ID: olimahmud@gmail.com</t>
  </si>
  <si>
    <t>Website : www.olimahmud.com Contact: +88‐02‐9668945</t>
  </si>
  <si>
    <t>Ar. Oli Mahmud (M‐059) Managing Director</t>
  </si>
  <si>
    <t>IAB Member Architect 4 Architectural Graduate 3 Total 7</t>
  </si>
  <si>
    <t>IAB-RP-P01</t>
  </si>
  <si>
    <t>PRACHEE STHAPATI (Est‐2008)</t>
  </si>
  <si>
    <t>Office Address: Room‐F‐5 (3 rd Floor), 113 Lake Circus, Kalabagan, Dhaka‐1205</t>
  </si>
  <si>
    <t>Email ID: saumenhazra@yahoo.com</t>
  </si>
  <si>
    <t>Website : www.pracheesthapati.com Contact: +88‐02‐9112912, +8801713065657</t>
  </si>
  <si>
    <t>Ar. Saumen Hazra (H‐109) Principal Architect</t>
  </si>
  <si>
    <t>IAB-RP-P02</t>
  </si>
  <si>
    <t>PROFILE LTD (Est‐28/8/1996)</t>
  </si>
  <si>
    <t>Office Address: House 18, Road 6,Gulshan‐1 , Dhaka 1213.</t>
  </si>
  <si>
    <t>Email ID: profileltd@gmail.com, info@profilelimited.com</t>
  </si>
  <si>
    <t>Website : www.profilelimited.com Contact: +88‐02‐9854672‐5,8812145,8815034,8816538 Fax: 9855153‐4</t>
  </si>
  <si>
    <t>Ar. Md. Abdus Salam(S‐047) Managing Director</t>
  </si>
  <si>
    <t>IAB Member Architect 21 Architectural Graduate 46 Total 67</t>
  </si>
  <si>
    <t>IAB-RP-P03</t>
  </si>
  <si>
    <t>PROKALPA UPODESHTA LTD (Est‐8/11/1984)</t>
  </si>
  <si>
    <t>Office Address: House 2/16 (5th &amp; 6 th Fl), Block B, Lalmatia, Dhaka‐1207.</t>
  </si>
  <si>
    <t>Email ID: info@pulbd.com</t>
  </si>
  <si>
    <t>Website : www.pulbd.com Contact: +88‐02‐9117689, 9126909</t>
  </si>
  <si>
    <t>Ar. Shahidul Hasan Azad (H‐045) Managing Director</t>
  </si>
  <si>
    <t>Ar. Ferdous Ahmed (A‐038) Director</t>
  </si>
  <si>
    <t>Ar. Yeafesh Osman (O‐001)</t>
  </si>
  <si>
    <t>IAB Member Architect 3 Architectural Graduate 57 Total 60</t>
  </si>
  <si>
    <t>IAB-RP-P04</t>
  </si>
  <si>
    <t>PRONAYON (Est‐1990)</t>
  </si>
  <si>
    <t>Office Address: Comm.Court(3 rd Floor), 95 Agrabad C/A, Chittagong</t>
  </si>
  <si>
    <t>Email ID: pronayon@capcobd.com , shakoor_sohail@yahoo.com</t>
  </si>
  <si>
    <t>Website: www.pronayon.com Contact: 031‐716066</t>
  </si>
  <si>
    <t>Ar. Sohail M Shakoor (S‐021) Principal</t>
  </si>
  <si>
    <t>Architect &amp;</t>
  </si>
  <si>
    <t>CEO</t>
  </si>
  <si>
    <t>IAB Member Architect 7 Architectural Graduate 23 Total 30</t>
  </si>
  <si>
    <t>IAB-RP-R01</t>
  </si>
  <si>
    <t>REGIONAL ARCHITECTS (Est‐2013)</t>
  </si>
  <si>
    <t>Office Address: House 112, Road‐06, Mohakhali, New DOHS, Dhaka‐1206</t>
  </si>
  <si>
    <t>Email ID: regional_architects@yahoo.com Contact:</t>
  </si>
  <si>
    <t>Ar. Jalal Uddin Md. Akbar (A‐128) Partner</t>
  </si>
  <si>
    <t>Ar. Md. Mobinul Alam (A‐116) Partner</t>
  </si>
  <si>
    <t>Architectural Staff 2 Architectural Graduate Total 2</t>
  </si>
  <si>
    <t>IAB-RP-R02</t>
  </si>
  <si>
    <t>RIDDHI ARCHITECTS (Est‐2008)</t>
  </si>
  <si>
    <t>Office Address: 8/44 Eastern Plaza (7th Floor), Sonargaon Road, Dhaka‐1205</t>
  </si>
  <si>
    <t>Email ID: riddhi.arch@gmail.com Contact: +88‐02‐8626480</t>
  </si>
  <si>
    <t>Ar. Abu Hena Md. Zia Uddin (U‐005) Proprietor &amp; Managing Partner</t>
  </si>
  <si>
    <t>IAB Member Architect 6 Architectural Graduate 4 Total 10</t>
  </si>
  <si>
    <t>IAB-RP-R03</t>
  </si>
  <si>
    <t>RIVNAT ARCHITECTS (Est‐2006)</t>
  </si>
  <si>
    <t>Office Address: 56, Lake Circus, Kalabagan (2 nd floor), West Panthapath, Dhaka‐1205</t>
  </si>
  <si>
    <t>Email ID: rivnat360@gmail.com Contact: +88‐02‐9127032</t>
  </si>
  <si>
    <t>Ar. Shakhawat Tanvir Hossain (H‐107) Principal Architect</t>
  </si>
  <si>
    <t>IAB-RP-R04</t>
  </si>
  <si>
    <t>RACHONA CONSULTANTS (Est‐1997)</t>
  </si>
  <si>
    <t>Office Address: House‐44 (2 nd Floor), Road‐15, Block‐D, Banani, Dhaka‐1213</t>
  </si>
  <si>
    <t>Email ID: rachona@gmail.com Contact: +88‐02‐9820896, +8801713017973</t>
  </si>
  <si>
    <t>Ar. Riad Rouf (R‐061) Principal Architect</t>
  </si>
  <si>
    <t>IAB-RP-R05</t>
  </si>
  <si>
    <t>REINCARNATION (Est‐2010)</t>
  </si>
  <si>
    <t>Office Address: Apt‐5, House‐3, Road‐7, Block‐C, Niketon, Gulshan‐1, Dhaka‐1212</t>
  </si>
  <si>
    <t>Email ID: reincarnationbd@yahoo.com</t>
  </si>
  <si>
    <t>Website : www.reincarnation‐bd.com Contact: +88‐02‐9854352</t>
  </si>
  <si>
    <t>Ar. Khandoker Abdal Hossain (H‐133) Principal Architect &amp; Partner</t>
  </si>
  <si>
    <t>IAB Member Architect 6 Architectural Graduate 5 Total 11</t>
  </si>
  <si>
    <t>IAB-RP-R06</t>
  </si>
  <si>
    <t>ROOFLINERS_STUDIO OF ARCHITECTURE (Est‐2012)</t>
  </si>
  <si>
    <t>Office Address: Flat‐C1, House‐277, Road‐01, Baitul Aman Housing Society, Adabor, Mohammadpur, Dhaka‐1207</t>
  </si>
  <si>
    <t>Email ID: contact@roofliners.org, roofliners.bd@gmail.com Contact: +8801706602332, +8801815007774</t>
  </si>
  <si>
    <t>Website : www.roofliners.org</t>
  </si>
  <si>
    <t>Ar. Sarawat Iqbal (I‐091) Architect Partner</t>
  </si>
  <si>
    <t>Ar. Monon‐Bin‐Yunus (AY‐013) Architect Partner</t>
  </si>
  <si>
    <t>IAB Member Architect 5 Architectural Graduate 6 Total 11</t>
  </si>
  <si>
    <t>IAB-RP-R07</t>
  </si>
  <si>
    <t>ROSEBUD CONSULTANTS LTD (Est‐1995)</t>
  </si>
  <si>
    <t>Office Address: 14, Bijoy Nagar, 3rd Floor, Dhaka‐1000</t>
  </si>
  <si>
    <t>Email ID: rosebudcon@gmail.com Contact: +88‐02‐9334169, +88‐02‐9354491</t>
  </si>
  <si>
    <t>Ar. A.K.M. Quamrul Hasan (H‐071) Managing Director</t>
  </si>
  <si>
    <t>IAB-RP-R08</t>
  </si>
  <si>
    <t>River &amp; Rain Ltd. (Est‐2015)</t>
  </si>
  <si>
    <t>Office Address: H‐100B, Road‐6A, Banani DOHS, Banani, Dhaka‐1206</t>
  </si>
  <si>
    <t>Email ID: riverandraininfo@gmail.com Contact: +88 01734017695 +88 01746506316</t>
  </si>
  <si>
    <t>Website: www.riverandrain.net</t>
  </si>
  <si>
    <t>Ar. Kazi Fida Islam (I‐060) Principal Architect</t>
  </si>
  <si>
    <t>IAB-RP-S01</t>
  </si>
  <si>
    <t>SAIUJ CONSULTANTS (Est‐6/6/2001)</t>
  </si>
  <si>
    <t>Office Address: 539, Baitul Aman Housing Society, Road‐12, P.S. Adabor, P.O.‐Mohammedpur, Dhaka‐1207</t>
  </si>
  <si>
    <t>Email ID: saiuj_con@yahoo.com Contact: +88‐02‐8190746</t>
  </si>
  <si>
    <t>Ar.Mirza Shahper Jalil (J‐019) Managing Director</t>
  </si>
  <si>
    <t>Ar. Hasan Mahmud (H‐090) Director</t>
  </si>
  <si>
    <t>Ar. Umme Farzana Zarif (CZ‐001) Director</t>
  </si>
  <si>
    <t>IAB Member Architect 4 Architectural Graduate 6 Total 10</t>
  </si>
  <si>
    <t>IAB-RP-S02</t>
  </si>
  <si>
    <t>SCENIC (Est‐2008)</t>
  </si>
  <si>
    <t>Office Address: Fattah Plaza (8 th Floor), 70 Green road, Dhaka‐1205</t>
  </si>
  <si>
    <t>Email ID: scenicbd@gmail.com Contact: +88‐02‐9677467</t>
  </si>
  <si>
    <t>Ar. Mohammad Fazlul Quader (Q‐004) CEO</t>
  </si>
  <si>
    <t>IAB-RP-S03</t>
  </si>
  <si>
    <t>SHANGBIT (Est‐2010)</t>
  </si>
  <si>
    <t>Office Address: House‐60/A, Road‐7/A, Dhanmondi, Dhaka</t>
  </si>
  <si>
    <t>Email ID: shangbit.architects@gmail.com Contact:</t>
  </si>
  <si>
    <t>Ar. Abu Sayem Mohammad Rahmatullah (R‐083) Partner</t>
  </si>
  <si>
    <t>Ar. Tahmina Rumi (R‐105) Partner</t>
  </si>
  <si>
    <t>SHELTER ARCHITECTS AND ENGINEERS LIMITED (Est‐1996)</t>
  </si>
  <si>
    <t>Office Address: 5, Outer Circular Road, Z.R. Tower (2 nd floor), Rajarbag, Dhaka‐1217</t>
  </si>
  <si>
    <t>Email ID: shelterarchitect32@yahoo.com Contact: +88‐02‐9358428, 8333384</t>
  </si>
  <si>
    <t>Ar. Mukhtar Ahmed (A‐023) Managing Director</t>
  </si>
  <si>
    <t>IAB-RP-S04</t>
  </si>
  <si>
    <t>SILT (Est‐2011)</t>
  </si>
  <si>
    <t>Office Address: House‐204/A, Road‐09, New DOHS, Mohakhali, Dhaka‐1206</t>
  </si>
  <si>
    <t>Email ID: silt.bd@gmail.com, silt@silt.com.bd</t>
  </si>
  <si>
    <t>Website : www.silt.com.bd Contact: +88‐02‐9892062</t>
  </si>
  <si>
    <t>Ar.Razib Hassan Chowdhury (C‐0048) Principal Architect</t>
  </si>
  <si>
    <t>IAB-RP-S05</t>
  </si>
  <si>
    <t>SPACE SCAPE (Est‐1996)</t>
  </si>
  <si>
    <t>Office Address: H‐78,Road 11, Sector 13,Uttara ,Dhaka 1230</t>
  </si>
  <si>
    <t>Email ID: arch_pintoo@yahoo.com Contact: +88‐02‐8918765</t>
  </si>
  <si>
    <t>Ar. Rafiul Alam (A‐047) Chief Executive</t>
  </si>
  <si>
    <t>IAB-RP-S06</t>
  </si>
  <si>
    <t>SRISHTI SHAILEE (Est‐2008)</t>
  </si>
  <si>
    <t>Office Address: House‐297B, Road‐19B, New DOHS, Mohakhali, Dhaka‐1206</t>
  </si>
  <si>
    <t>Email ID: srishtishailee@yahoo.com Contact: +88‐02‐8711883, 8711884</t>
  </si>
  <si>
    <t>Ar. Mobin Uddin Mohammed Helaly (H‐134) Partner Architect</t>
  </si>
  <si>
    <t>IAB Member Architect 2 Architectural Graduate 8 Total 10</t>
  </si>
  <si>
    <t>IAB-RP-S07</t>
  </si>
  <si>
    <t>SRISTI UPADESHTA (Est‐1995)</t>
  </si>
  <si>
    <t>Office Address: 3/3, North Road, (4 th Floor), Dhanmondi‐1205</t>
  </si>
  <si>
    <t>Email ID: saiful.hafiz@gmail.com Contact:</t>
  </si>
  <si>
    <t>Ar. Saiful Hafiz (H‐055) Principal Architect</t>
  </si>
  <si>
    <t>IAB-RP-S08</t>
  </si>
  <si>
    <t>STUDIO XI ARCHITECTS (Est‐2003)</t>
  </si>
  <si>
    <t>Office Address: 211/1,Elephant Road, Dhaka‐1205</t>
  </si>
  <si>
    <t>Email ID: studio_xi_architects@yahoo.com Contact: +88‐02‐8813992, 9889360</t>
  </si>
  <si>
    <t>Ar. Ashik Vaskor Mannan (M‐070) Managing Partner</t>
  </si>
  <si>
    <t>IAB-RP-S09</t>
  </si>
  <si>
    <t>STUDIO ECOTECTURE LIMITED (Est‐2011)</t>
  </si>
  <si>
    <t>Office Address: 1 st Floor, H‐57/D, Road‐15A (New), 26 (old), Dhanmondi Res. Area, Dhaka‐1205.</t>
  </si>
  <si>
    <t>Email ID: info@studioecotecture.com</t>
  </si>
  <si>
    <t>Website : www.studioecotecture.com Contact: +88‐02‐8191422</t>
  </si>
  <si>
    <t>Ar. S. M. Hasan Kabir (K‐030) Managing Director</t>
  </si>
  <si>
    <t>IAB-RP-S10</t>
  </si>
  <si>
    <t>STUDIO HDA (Est‐2013)</t>
  </si>
  <si>
    <t>Office Address: 14/C,(Gr Floor), Road ‐02,Block‐ L, Banani , Dhaka.</t>
  </si>
  <si>
    <t>Email ID: studiohda@gmail.com Contact: +88‐02‐9888123</t>
  </si>
  <si>
    <t>Ar. Mohammad Maksumul Hoque (H‐150) Chief Architect</t>
  </si>
  <si>
    <t>IAB Member Architect 1 Architectural Graduate 5 Total 6</t>
  </si>
  <si>
    <t>IAB-RP-S11</t>
  </si>
  <si>
    <t>STYLE LIVING ARCHITECTS LTD (Est‐2004)</t>
  </si>
  <si>
    <t>Office Address: Ramna Trade Center (8th Floor), 36/7 CDA Avenue, Muradpur, Chittagong</t>
  </si>
  <si>
    <t>Email ID: chairman@stylelivingbd.com</t>
  </si>
  <si>
    <t>Website : www.stylelivingbd.com Contact:+8801714050222,+8801713441449</t>
  </si>
  <si>
    <t>Ar. Md. Mizanur Rahman (R‐097) Chairman</t>
  </si>
  <si>
    <t>Ar. Jabid Akram (A‐150) Managing Director</t>
  </si>
  <si>
    <t>IAB Member Architect 3 Architectural Graduate 9 Total 12</t>
  </si>
  <si>
    <t>IAB-RP-S12</t>
  </si>
  <si>
    <t>SYMBIOTIC ARCHITECTS &amp; ASSOCIATES (Est‐2011)</t>
  </si>
  <si>
    <t>Office Address: Ground Floor, House‐78, Road‐18, Sector‐11, Uttara, Dhaka‐1230</t>
  </si>
  <si>
    <t>Email ID: Symbiotic.aa@live.com Contact: +88‐02‐8991817</t>
  </si>
  <si>
    <t>Ar.Abul Bashar Md. Shamsuzzaman (S‐027) Managing Partner</t>
  </si>
  <si>
    <t>IAB-RP-S13</t>
  </si>
  <si>
    <t>SYNTHESIS ARCHITECTS (Est‐1999)</t>
  </si>
  <si>
    <t>Office Address: House‐30, Block‐KA, Pisci Culture H/S, Shamoly, Dhaka‐1207</t>
  </si>
  <si>
    <t>Email ID: synthesisarchitectsbd@gmail.com, synthesis_arch@yahoo.com</t>
  </si>
  <si>
    <t>Contact: +88‐02‐9124105,9124638,8141642</t>
  </si>
  <si>
    <t>Ar. Patrick D’Rozario (R‐135) Partner</t>
  </si>
  <si>
    <t>IAB Member Architect 12 Architectural Graduate 14 Total 26</t>
  </si>
  <si>
    <t>IAB-RP-S14</t>
  </si>
  <si>
    <t>S &amp; ASSOCIATES (Est‐2009)</t>
  </si>
  <si>
    <t>Office Address: 44/7‐A,B, 1 st Floor, Suite‐03, West Panthapoth, Dhaka</t>
  </si>
  <si>
    <t>Email ID: sabd5200@gmail.com Contact: +8801730303421</t>
  </si>
  <si>
    <t>Ar. Md. Raisul Rafi Shaon (S‐089) CEO &amp; Sr. Architect</t>
  </si>
  <si>
    <t>IAB-RP-S15</t>
  </si>
  <si>
    <t>SHATOTTO ARCHITECTURE FOR GREEN LIVING (Est‐1995)</t>
  </si>
  <si>
    <t>Office Address: House‐1/11, 2nd Floor, Iqbal Road, Mohammadpur, Dhaka‐1209</t>
  </si>
  <si>
    <t>Email ID: shatotto@gmail.com</t>
  </si>
  <si>
    <t>Website : www.shatottogreen.com Contact: +88‐02‐8119702, +8801711641175</t>
  </si>
  <si>
    <t>Ar. Md. Rafiq Azam (A‐055) Principal Architect</t>
  </si>
  <si>
    <t>IAB Member Architect 9 Architectural Graduate 5 Total 14</t>
  </si>
  <si>
    <t>IAB-RP-S16</t>
  </si>
  <si>
    <t>SPACE ARCHITECTS, ENGINEERS, PLANNERS (Est‐2011)</t>
  </si>
  <si>
    <t>Office Address: House#407 (5‐A), Road#29, New DOHS, Mohakhali, Dhaka 1206</t>
  </si>
  <si>
    <t>Email ID: fawad_hyder@yahoo.com Contact: +88‐02‐9840245, +8801979873387</t>
  </si>
  <si>
    <t>info@spacearcht.com</t>
  </si>
  <si>
    <t>Website : www.spacearcht.com</t>
  </si>
  <si>
    <t>Ar. D.S. Fawad Hyder (H‐056) Proprietor</t>
  </si>
  <si>
    <t>IAB-RP-S17</t>
  </si>
  <si>
    <t>STHAPOTIK (Est‐2006)</t>
  </si>
  <si>
    <t>Office Address: House‐8/2, 1 st Floor, Block‐D, Lalmatia, Dhaka</t>
  </si>
  <si>
    <t>Email ID: sthapotik_arch@yahoo.com</t>
  </si>
  <si>
    <t>Website : www.sthapotik.com Contact: +8801713039777</t>
  </si>
  <si>
    <t>Ar. Sharif Uddin Ahammed (A‐137) Proprietor</t>
  </si>
  <si>
    <t>IAB Member Architect 5 Architectural Graduate 2 Total 7</t>
  </si>
  <si>
    <t>IAB-RP-S18</t>
  </si>
  <si>
    <t>STUDIO DHAKA ARCHITECTS (Est‐2017)</t>
  </si>
  <si>
    <t>Office Address: 44, Rabindra Sharani Road, Sector‐7, Uttara Model Town, Dhaka‐1230</t>
  </si>
  <si>
    <t>Email ID: studio.dhaka.architects@gmail.com</t>
  </si>
  <si>
    <t>Website : www.studiodhakaarchitects.com Contact: +8801534355957</t>
  </si>
  <si>
    <t>Ar. Tarek Md. Saidul Islam (I‐081) Principal Architect</t>
  </si>
  <si>
    <t>IAB-RP-S19</t>
  </si>
  <si>
    <t>STUDIO DHAKA LIMITED. (Est‐2016)</t>
  </si>
  <si>
    <t>Office Address: House‐91/1, Road‐11/A, Dhanmondi R/A, Dhaka‐1205</t>
  </si>
  <si>
    <t>Email ID: studiodhakaltd@gmail.com</t>
  </si>
  <si>
    <t>Website : www.studiodhaka.com Contact: +8801711335635</t>
  </si>
  <si>
    <t>Ar. Muhammad Moniruzzaman (M‐086) Managing Director</t>
  </si>
  <si>
    <t>IAB Member Architect 4 Architectural Graduate 7 Total 11</t>
  </si>
  <si>
    <t>IAB-RP-S20</t>
  </si>
  <si>
    <t>SYSTEM ARCHITECTS (Est‐2001)</t>
  </si>
  <si>
    <t>Office Address: House‐31, [Celeste], Unit‐A2, Road‐20, Block‐K, Banani, Dhaka‐1213</t>
  </si>
  <si>
    <t>Email ID: nirjhar@systemarchitectsbd.com</t>
  </si>
  <si>
    <t>Website : www.systemarchitectsbd.com Contact: +88‐02‐9843303, +88‐02‐9842193</t>
  </si>
  <si>
    <t>Ar. Enamul Karim (K‐058) Principal Architect &amp; CEO</t>
  </si>
  <si>
    <t>IAB Member Architect 4 Architectural Graduate 9 Total 13</t>
  </si>
  <si>
    <t>IAB-RP-S21</t>
  </si>
  <si>
    <t>SILVERBRICKS (Est‐2008)</t>
  </si>
  <si>
    <t>Office Address: 3 rd Floor, IEB Bhaban, S.S Khaled Road, Chattogram</t>
  </si>
  <si>
    <t>Email ID: info@silverbricksbd.com Contact: +88‐01714084433</t>
  </si>
  <si>
    <t>Ar. Mohammad Asaduzzaman Chowdhury (C‐040) Managing Partner</t>
  </si>
  <si>
    <t>Ar. Aniket Chowdhury (C‐066) Partner</t>
  </si>
  <si>
    <t>IAB Member Architect 3 Architectural Graduate 4 Total 7</t>
  </si>
  <si>
    <t>IAB-RP-S22</t>
  </si>
  <si>
    <t>STUDIO MORPHOGENESIS LTD. (Est‐2014)</t>
  </si>
  <si>
    <t>Office Address: Suite‐2D, House‐11, Road‐14, Gulshan‐1, Dhaka‐1212</t>
  </si>
  <si>
    <t>Email ID: design@studiomorphogenesis.com Contact: +88 01723819678 +88 02 9858862</t>
  </si>
  <si>
    <t>Website: www.studiomorphogenesis.com</t>
  </si>
  <si>
    <t>Ar. Shahla Karim Kabir (K‐050)</t>
  </si>
  <si>
    <t>Ar. Minhaz Bin Gaffar (G‐009)</t>
  </si>
  <si>
    <t>IAB-RP-T01</t>
  </si>
  <si>
    <t>THE DESIGNERS (Est‐2001)</t>
  </si>
  <si>
    <t>Office Address: House‐431, Road‐30, DOHS, Mohakhali, Dhaka‐1206</t>
  </si>
  <si>
    <t>Email ID: malikshaheen@yahoo.com Contact: +88‐02‐9850798</t>
  </si>
  <si>
    <t>Ar. Shaheen Malik (M‐009) CEO</t>
  </si>
  <si>
    <t>IAB-RP-T02</t>
  </si>
  <si>
    <t>TRIANGLE CONSULTANTS (Est‐1993)</t>
  </si>
  <si>
    <t>Office Address: House 120(B),Road#1,Block#F, Banani , Dhaka‐1213</t>
  </si>
  <si>
    <t>Email ID: shakoormajid@yahoo.com Contact: +88‐02‐8812109‐10</t>
  </si>
  <si>
    <t>Ar. Shakoor Majid (M‐031) CEO</t>
  </si>
  <si>
    <t>IAB Member Architect 2 Architectural Graduate 5 Total 7</t>
  </si>
  <si>
    <t>IAB-RP-T03</t>
  </si>
  <si>
    <t>TANYA KARIM N.R. KHAN &amp; ASSOCIATES (Est‐1993)</t>
  </si>
  <si>
    <t>Office Address: Laboni‐2, Flat‐B1 &amp; C1, House‐24, Road‐9/A, Dhanmond R/A, Dhaka‐1209</t>
  </si>
  <si>
    <t>Email ID: mail@tknrk.com</t>
  </si>
  <si>
    <t>Website : www.tknrk.com Contact: +88‐02‐58156547, +88‐02‐9142487</t>
  </si>
  <si>
    <t>Ar. Nurur Rahman Khan (K‐049) Architect Partner</t>
  </si>
  <si>
    <t>Ar. Tanya Tazeen Karim (K‐051) Architect Partner</t>
  </si>
  <si>
    <t>IAB Member Architect 14 Architectural Graduate 12 Total 26</t>
  </si>
  <si>
    <t>IAB-RP-T04</t>
  </si>
  <si>
    <t>TARIQUE HASAN &amp; ASSOCIATES LTD. (Est‐ 2013)</t>
  </si>
  <si>
    <t>Office Address: House‐31, Road‐06, Block‐C, Banani, Dhaka‐1213</t>
  </si>
  <si>
    <t>Email ID: tarique.37@gmail.com</t>
  </si>
  <si>
    <t>Website : www.thalbd.com Contact: +88‐02‐9896337, +88‐02‐9882504</t>
  </si>
  <si>
    <t>Ar. Tarique Hasan (H‐097) Managing Director</t>
  </si>
  <si>
    <t>IAB Member Architect 5 Architectural Graduate 0 Total 5</t>
  </si>
  <si>
    <t>IAB-RP-T05</t>
  </si>
  <si>
    <t>TRIOTECT &amp; ASSOCIATES LTD. (Est‐2018)</t>
  </si>
  <si>
    <t>Office Address: 25/2, Rani Garh (2nd Floor), Lake Circus, Kalabagan, Dhaka‐1205</t>
  </si>
  <si>
    <t>Email ID: info@triotect.com.bd Contact: +8801777768366, +8801777768367</t>
  </si>
  <si>
    <t>Website : www.triotect.com.bd</t>
  </si>
  <si>
    <t>Ar. Md. Tareq Abdullah (A‐236) Director</t>
  </si>
  <si>
    <t>Ar. Khondoker Arif Uzzaman (AU‐019) Managing Director</t>
  </si>
  <si>
    <t>IAB-RP-U01</t>
  </si>
  <si>
    <t>UNITED CONSULTANT (Est‐2003)</t>
  </si>
  <si>
    <t>Office Address: House‐211, (2 nd &amp; 3rd), Lane‐13, Lake Road, New DOHS, Mohakhali, Dhaka‐1206</t>
  </si>
  <si>
    <t>Email ID: mail.awpl@yahoo.com Contact: +88‐02‐9849303, +88‐02‐9849317</t>
  </si>
  <si>
    <t>Ar. Md. Maruf Hossain Khan (K‐073) Principal Architect</t>
  </si>
  <si>
    <t>IAB-RP-U02</t>
  </si>
  <si>
    <t>URBANA (Est‐1996)</t>
  </si>
  <si>
    <t>Office Address: House‐56, Road‐5/A, Dhanmondi, Dhaka‐1209</t>
  </si>
  <si>
    <t>Email ID: urbana.communications@gmail.com Contact: +88‐02‐9671500, +88‐02‐9671515</t>
  </si>
  <si>
    <t>Ar. Mahboob‐E‐Sobhan Chowdhury (C‐025) Principal Architect</t>
  </si>
  <si>
    <t>IAB-RP-V01</t>
  </si>
  <si>
    <t>VASTUVITA ARCHITECTS (Est‐2005)</t>
  </si>
  <si>
    <t>Office Address: Amelia, Suite:A6, House‐71, Road‐17, Sector‐11, Uttara, Dhaka‐1230</t>
  </si>
  <si>
    <t>Email ID: vita_arc@yahoo.com Contact: +88‐01678016706</t>
  </si>
  <si>
    <t>Ar. Amit Kumar Saha (S‐077) Partner</t>
  </si>
  <si>
    <t>Ar. Faisal Ishtiaq Alam (A‐151) Partner</t>
  </si>
  <si>
    <t>Ar. Dipozzwal Sen (S‐090) Partner</t>
  </si>
  <si>
    <t>IAB-RP-V02</t>
  </si>
  <si>
    <t>VENNA ARCHITECTS (Est‐2002)</t>
  </si>
  <si>
    <t>Office Address: Level‐05, A K Complex, 19‐Green Road, Dhaka‐1205</t>
  </si>
  <si>
    <t>Email ID: architects.venna@gmail.com, architect.asif@gmail.com Contact: +88‐02‐ 8625835</t>
  </si>
  <si>
    <t>Ar.Asif Mohammed Ahsanul Haq (H‐117) Managing Partner</t>
  </si>
  <si>
    <t>Ar. Arifa Akhter (A‐120) Partner</t>
  </si>
  <si>
    <t>IAB Member Architect 3 Architectural Graduate 6 Total 9</t>
  </si>
  <si>
    <t>IAB-RP-V03</t>
  </si>
  <si>
    <t>VISTAARA ARCHITECTS (PVT.) LTD (Est‐1998)</t>
  </si>
  <si>
    <t>Office Address: Delvistaa Ruparup, Apt‐D1 &amp; B1, SE(H)6, Road‐143, Gulshan Model Town, Gulshan, Dhaka‐1212.</t>
  </si>
  <si>
    <t>Email ID: info@delvistaa.com Contact: +88‐02‐55044873, +88‐02‐55044874, +88‐02‐55044875</t>
  </si>
  <si>
    <t>Ar. Khan Mohammed Mustapha Khalid (K‐037) Managing Director</t>
  </si>
  <si>
    <t>Ar. Shahzia Islam (I‐023) Director</t>
  </si>
  <si>
    <t>IAB Member Architect 15 Architectural Graduate 4 Total 19</t>
  </si>
  <si>
    <t>IAB-RP-V04</t>
  </si>
  <si>
    <t>VOLUMEZERO LIMITED (Est‐2008)</t>
  </si>
  <si>
    <t>Office Address: House‐135, Road‐04, Block‐A, Banani , Dhaka 1213.</t>
  </si>
  <si>
    <t>Email ID: foyez@volumezeroltd.com</t>
  </si>
  <si>
    <t>Website : www.volumezeroltd.com Contact: +88‐02‐55035669, +88‐02‐55035670, +88‐02‐55035671</t>
  </si>
  <si>
    <t>Ar. Mohammad Foyez Ullah (U‐008) Managing Director</t>
  </si>
  <si>
    <t>IAB Member Architect 23 Architectural Graduate 04 Total 27</t>
  </si>
  <si>
    <t>IAB-RP-V05</t>
  </si>
  <si>
    <t>VUU‐MAATRA CONSULTANTS (Est‐2008)</t>
  </si>
  <si>
    <t>Office Address: House ‐22, Road ‐12, Block‐F, Niketon Socoety, Gulshan‐1, Dhaka 1206.</t>
  </si>
  <si>
    <t>Email ID: info@vuumaatra.com Contact: +88‐02‐58812326,</t>
  </si>
  <si>
    <t>ziaul.sharif@gmail.com</t>
  </si>
  <si>
    <t>Website : www.vuumaatra.com</t>
  </si>
  <si>
    <t>Ar. Mohammed Ziaul Sharif (S‐094) Chief Architect</t>
  </si>
  <si>
    <t>IAB-RP-V06</t>
  </si>
  <si>
    <t>VISTA ARCHITECTURAL CONSULTANT (Est‐1995)</t>
  </si>
  <si>
    <t>Office Address: House‐67/2/KA, Flat‐E/2, Zigatola, Dhaka‐1209</t>
  </si>
  <si>
    <t>Email ID: dsarif14@yahoo.com, dsarifoffice@gmail.com Contact: +88‐01971566019</t>
  </si>
  <si>
    <t>Ar. Dewan Shamsul Arif (A‐079) Proprietor &amp; Principal Architect</t>
  </si>
  <si>
    <t>IAB-RP-V07</t>
  </si>
  <si>
    <t>VITTI STHAPATI BRINDO LTD (Est‐1991)</t>
  </si>
  <si>
    <t>Office Address: 27/A, Level‐6&amp;7, Shangshad Avenue, Dhaka‐1215</t>
  </si>
  <si>
    <t>Email ID: vittibd@gmail.com Contact: +88 01912888015 +88 02‐8143471</t>
  </si>
  <si>
    <t>Website: www.vitti.com.bd</t>
  </si>
  <si>
    <t>Ar. Md. Ishtiaque Zahir (Z‐011) Director</t>
  </si>
  <si>
    <t>Ar. Md. Iqbal Habib (H‐075) Managing Director</t>
  </si>
  <si>
    <t>IAB-RP-W01</t>
  </si>
  <si>
    <t>4 WALLS INSIDE OUTSIDE (Est‐)</t>
  </si>
  <si>
    <t>Office Address: House‐246, Road‐19, New DOHS, Mohakhali, Dhaka‐1206</t>
  </si>
  <si>
    <t>Email ID: wahidasif@gmaii.com Contact: +88 01711433431 +88 02‐9890003</t>
  </si>
  <si>
    <t>Website: www.4wallsbd.com</t>
  </si>
  <si>
    <t>Ar. M. Wahid Asif (A‐117) Principal Architect</t>
  </si>
  <si>
    <t>IAB-RP-A01</t>
  </si>
  <si>
    <t>ABASHAN UPODESHTA LIMITED (Est-1996)</t>
  </si>
  <si>
    <t>Office Address: Bengal Centre, Plot 2, Civil Aviation, New Airport Road, Khilkhet, Dhaka-1229</t>
  </si>
  <si>
    <t>Email ID: mail@abashan.com</t>
  </si>
  <si>
    <t>Website : www.abashan.com Contact: +88-02-8901185, 8901180</t>
  </si>
  <si>
    <t>Ar. Luva Nahid Chowdhury (C-018) Managing Director</t>
  </si>
  <si>
    <t>IAB-RP-A02</t>
  </si>
  <si>
    <t>ADS ARCHITECTS DESIGN STUDIO (Est-2005)</t>
  </si>
  <si>
    <t>Office Address: House#29-31, Road#18, Sector#7, Uttara , Dhaka 1230</t>
  </si>
  <si>
    <t>Email ID: ads.architectstudio@gmail.com Contact: +88-02-8950536</t>
  </si>
  <si>
    <t>Ar. Md. Sayedul Hasan (H-103) Principal Architect</t>
  </si>
  <si>
    <t>IAB Member Architect 4 Architectural Graduate 1 Total 5</t>
  </si>
  <si>
    <t>IAB-RP-A03</t>
  </si>
  <si>
    <t>AKRITY (Est-2008)</t>
  </si>
  <si>
    <t>Office Address: House-10/GA (GF), Road-2, Shyamoli, Dhaka</t>
  </si>
  <si>
    <t>Email ID: akriti.si@gmail.com,</t>
  </si>
  <si>
    <t>Website : www.akritybd.com Contact: +88-02-9111557</t>
  </si>
  <si>
    <t>Ar. Monir Hossain Khan (K-104) Architect</t>
  </si>
  <si>
    <t>IAB-RP-A04</t>
  </si>
  <si>
    <t>ANWAR &amp; ASSOCIATES (Est-25/01/2006)</t>
  </si>
  <si>
    <t>Office Address: House #221(GF), Road -15, New DOHS, Mohakhali, Dhaka 1206.</t>
  </si>
  <si>
    <t>Email ID: ahaq06@yahoo.com Contact: +88-02-8837313</t>
  </si>
  <si>
    <t>Ar. Anwarul Haq Chow (C-021) Principal Architect</t>
  </si>
  <si>
    <t>Architectural Staff 1 Architectural Graduate 3 Total 4</t>
  </si>
  <si>
    <t>IAB-RP-A05</t>
  </si>
  <si>
    <t>ARC ARCHITECTURAL CONSULTANTS (Est-1982)</t>
  </si>
  <si>
    <t>Office Address: 60A, Road 7A, Dhanmondi, Dhaka-1209</t>
  </si>
  <si>
    <t>Email ID: arc.architect@gmail.com, nahaskhalil@yahoo.com</t>
  </si>
  <si>
    <t>Website : Contact: +88-02-8117462</t>
  </si>
  <si>
    <t>Ar. Nahas Ahmed khalil (K-022) Principal Architect</t>
  </si>
  <si>
    <t>IAB Member Architect 5 Architectural Graduate 3 Total 8</t>
  </si>
  <si>
    <t>IAB-RP-A06</t>
  </si>
  <si>
    <t>ARCHDOERS (Est-2012)</t>
  </si>
  <si>
    <t>Office Address: H#252,R#19(old),West Dhanmondi,Dhaka-1209</t>
  </si>
  <si>
    <t>Email ID: archdoers@gmail.com Contact: 01816506988, 01816506989</t>
  </si>
  <si>
    <t>Ar. Quazi Fahima Naz (N-024) Partner Architect</t>
  </si>
  <si>
    <t>Ar. Subrata CH.Sikder (S-112) Partner Architect</t>
  </si>
  <si>
    <t>IAB-RP-A07</t>
  </si>
  <si>
    <t>ARCHEGROUND LTD. (Est-2012)</t>
  </si>
  <si>
    <t>Office Address: “NoorMahal”, 44/1, Lake-Circus, Kalabagan, Dhaka-1205</t>
  </si>
  <si>
    <t>Email ID: studio@archeground.com, arche_ground@yahoo.com</t>
  </si>
  <si>
    <t>Website : www.archeground.com Contact: +88-02-9138516</t>
  </si>
  <si>
    <t>Ar. Nabi Newaz Khan (K-106) Chairman</t>
  </si>
  <si>
    <t>Ar. Lutfullahil Majid (M-076) Managing Director</t>
  </si>
  <si>
    <t>Ar. Md. Jubair Hasan (H-163) Director</t>
  </si>
  <si>
    <t>IAB Member Architect 6 Architectural Graduate 3 Total 9</t>
  </si>
  <si>
    <t>IAB-RP-A08</t>
  </si>
  <si>
    <t>ARCHFIELD (Est-2010)</t>
  </si>
  <si>
    <t>Office Address: 32/D, Road-10, Banani</t>
  </si>
  <si>
    <t>Email ID: archfield2010@gmail.com Contact: 01713338002, 01819117710</t>
  </si>
  <si>
    <t>Ar. Syeda Nitee Mahbub (M-090) Partner</t>
  </si>
  <si>
    <t>Ar. Wares-Ul-Ambia (A-145) Partner</t>
  </si>
  <si>
    <t>IAB Member Architect 4 Architectural Graduate 1 Total 05</t>
  </si>
  <si>
    <t>IAB-RP-A09</t>
  </si>
  <si>
    <t>ARCHITECT HASAN &amp; ASSOCIATES LTD. (Est-02/04/1998)</t>
  </si>
  <si>
    <t>Office Address: House# 1/4,Flat# C4,Block# C, Lalmatia, Dhaka-1207</t>
  </si>
  <si>
    <t>Email ID: cmfoundation@gmail.com Contact: +88-02-8125830</t>
  </si>
  <si>
    <t>Ar. Md. Hasan Shams Uddin (S-014) Managing Director</t>
  </si>
  <si>
    <t>IAB-RP-A10</t>
  </si>
  <si>
    <t>ARCHITECTES CONTEMPORAIN (ARCON) (Est-1996)</t>
  </si>
  <si>
    <t>Office Address: House-2/8, Block-E, Lalmatia, Dhaka</t>
  </si>
  <si>
    <t>Email ID: sazal953@gmail.com Contact: 044-78004350, 044-78004353</t>
  </si>
  <si>
    <t>Ar. S.M. Helaluddin Ahmed (A-101) Proprietor</t>
  </si>
  <si>
    <t>IAB-RP-A11</t>
  </si>
  <si>
    <t>ARCHIWORKS CONSULTANTS (Est-2009)</t>
  </si>
  <si>
    <t>Office Address: House-48, Road-02, Block-B, Niketan, Gulshan 01, Dhaka-1212</t>
  </si>
  <si>
    <t>Email ID: archiworks.bd@hotmail.com</t>
  </si>
  <si>
    <t>Website : www.archiworks.bd.wix.com/Home Contact:</t>
  </si>
  <si>
    <t>Ar. Mohammad Arefeen Ibrahim (I-047) Proprietor</t>
  </si>
  <si>
    <t>IAB-RP-A12</t>
  </si>
  <si>
    <t>ARCHSEL (Est-1997)</t>
  </si>
  <si>
    <t>Office Address: 34/KA, Shyamoli Pisiculture H/S, Dhaka-1207</t>
  </si>
  <si>
    <t>Email ID: mail@archsel.com</t>
  </si>
  <si>
    <t>Website : www.archsel.com Contact: +88-02-8124698, 8116617</t>
  </si>
  <si>
    <t>Ar. Imtiaz Farid Chowdhury(C-036) Chief Architect</t>
  </si>
  <si>
    <t>IAB Member Architect 2 Architectural Graduate 6 Total 8</t>
  </si>
  <si>
    <t>IAB-RP-A13</t>
  </si>
  <si>
    <t>ARESCON CONSULTANT (Est-2004)</t>
  </si>
  <si>
    <t>Office Address: 137-Jahanara Garden, 5th Floor, E-4, Green Road, Dhaka-1205</t>
  </si>
  <si>
    <t>Email ID: arescon@gmail.com Contact: +88-02-8151121</t>
  </si>
  <si>
    <t>Ar. Md. Helal Uddin (U-006) CEO/Proprietor</t>
  </si>
  <si>
    <t>IAB-RP-A14</t>
  </si>
  <si>
    <t>ARTISAN ARCHITECTS ENGINEERS &amp; DEVELOPMENTS LTD. (Est- )</t>
  </si>
  <si>
    <t>Office Address: 56/A, DOHS Road, Old DOHS, Banani, Dhaka-1206</t>
  </si>
  <si>
    <t>Email ID: info@artisanbd.com</t>
  </si>
  <si>
    <t>Website : www.artisanbd.com Contact: +88-02-8813992, 9889360</t>
  </si>
  <si>
    <t>Ar. Sayeed Parvez Reza Latif (L-007) Managing Director</t>
  </si>
  <si>
    <t>IAB-RP-A15</t>
  </si>
  <si>
    <t>ARTYSPACE DESIGN STUDIO (Est-2010)</t>
  </si>
  <si>
    <t>Office Address: Azad Bhaban (7th Floor), 79/A, Jamal Khan Road, Chittagong, Bangladesh</t>
  </si>
  <si>
    <t>Email ID: artyspace.designstudio@gmail.com Contact: +88-031-2867388</t>
  </si>
  <si>
    <t>Ar. Ananya Bikash Barua (B-040) Chief Architect</t>
  </si>
  <si>
    <t>IAB-RP-A16</t>
  </si>
  <si>
    <t>AHMED HOSSAIN ARCHITECTS AND ASSOCIATES (Est-2009)</t>
  </si>
  <si>
    <t>Office Address: House-10, 2nd Floor, Road-03, Sector-05, Uttara, Dhaka 1230.</t>
  </si>
  <si>
    <t>Email ID: ahaaabd17@gmail.com, ashraf303@yahoo.com Contact: +88016179672992, +8801727672992</t>
  </si>
  <si>
    <t>Ar. Ashraful Alam Ahmed (A-182) Principal Architect</t>
  </si>
  <si>
    <t>IAB Member Architect 3 Architectural Graduate 3 Total 5</t>
  </si>
  <si>
    <t>IAB-RP-A17</t>
  </si>
  <si>
    <t>ALIGN ARCHITECTS (Est-2010)</t>
  </si>
  <si>
    <t>Office Address: House-14, Road-14, 1/Kha, Sugandha, Panchlish, Chittagong.</t>
  </si>
  <si>
    <t>Email ID: hossan_0047@yahioo.com</t>
  </si>
  <si>
    <t>Website : http://aligngroupbd.com/webmail Contact: +8801737280617</t>
  </si>
  <si>
    <t>Ar. Hossan Murad (M-084) CEO &amp; Proprietor</t>
  </si>
  <si>
    <t>IAB-RP-A18</t>
  </si>
  <si>
    <t>ARC.IN.D (Est-1996)</t>
  </si>
  <si>
    <t>Office Address: 25, Gulshan Avenue, Taj Casilina (5th Floor), 6/E, Gulshan-1, Dhaka-1212</t>
  </si>
  <si>
    <t>Email ID: arcindexind@gmail.com Contact: +88-02-9890855</t>
  </si>
  <si>
    <t>Ar. Nusrat Jahan (J-016) Managing Director</t>
  </si>
  <si>
    <t>IAB-RP-A19</t>
  </si>
  <si>
    <t>ARCH.PMC (Est-2018)</t>
  </si>
  <si>
    <t>Office Address: Plot-22, Road-12, Block-F, Niketan, Gulshan-1, Dhaka-1212</t>
  </si>
  <si>
    <t>Email ID: masiarchitect@gmail.com, arch.pmc.bd@gmail.com</t>
  </si>
  <si>
    <t>Website : www.archpmc.com Contact: +8801799586501</t>
  </si>
  <si>
    <t>Ar. Mohammad Sajjadul Islam (I-075) Principal Architect &amp; CEO</t>
  </si>
  <si>
    <t>IAB-RP-A20</t>
  </si>
  <si>
    <t>ARCHIAAN ARCHITECTS (Est-2014)</t>
  </si>
  <si>
    <t>Office Address: 14, KA, Ring Road, Khan Plaza, 3rd Floor, Shamoly, Dhaka</t>
  </si>
  <si>
    <t>Email ID: archiaan07@gmail.com Contact: +8801679224304</t>
  </si>
  <si>
    <t>Ar. Shohel Ahamed (A-180) Managing Partner</t>
  </si>
  <si>
    <t>IAB-RP-A21</t>
  </si>
  <si>
    <t>ARCHINET ARCHITECTS &amp; ENGINEERS (Est-2010)</t>
  </si>
  <si>
    <t>Office Address: House-33, Road-04, Dhanmondi, Dhaka-1205</t>
  </si>
  <si>
    <t>Email ID: archinet2008@gmail.com Contact: +8801712228469</t>
  </si>
  <si>
    <t>Ar. Iftekhar Ahmed (A-143) Principal Architect &amp; CEO</t>
  </si>
  <si>
    <t>IAB Member Architect 3 Architectural Graduate 0 Total 3</t>
  </si>
  <si>
    <t>IAB-RP-A22</t>
  </si>
  <si>
    <t>ARCHITEKTON (PVT.) LTD. (Est-1995)</t>
  </si>
  <si>
    <t>Office Address: House-28, Road-28, Block-K, Banani, Dhaka-1213</t>
  </si>
  <si>
    <t>Email ID: architekton_bd@yahoo.com, minhas.rahman@architekton.com.bd , Contact: +88-02-9862930, +8801711520963</t>
  </si>
  <si>
    <t>Ar. Minhasur Rahman (R-044) Managing Director</t>
  </si>
  <si>
    <t>Ar. Fuad Hassan Mallick (M-012) Share Holder</t>
  </si>
  <si>
    <t>IAB-RP-A23</t>
  </si>
  <si>
    <t>ARCHSTUDIO (Est-2018)</t>
  </si>
  <si>
    <t>Office Address: 151, West Dhanmondi, Dhaka-1209</t>
  </si>
  <si>
    <t>Email ID: samabegum@gmail.com Contact: +8801716897632</t>
  </si>
  <si>
    <t>Ar. Salma Begum (B-044) Architect</t>
  </si>
  <si>
    <t>IAB Member Architect 3 Architectural Graduate 0 Total 03</t>
  </si>
  <si>
    <t>IAB-RP-A24</t>
  </si>
  <si>
    <t>ARCHYTAS LIMITED (Est-2014)</t>
  </si>
  <si>
    <t>Office Address: Road-36, House-16, Gulshan-2, Dhaka 1212.</t>
  </si>
  <si>
    <t>Email ID: archytas.s@gmail.com</t>
  </si>
  <si>
    <t>Website : www.archytasltd.com Contact: +8801911386561</t>
  </si>
  <si>
    <t>Ar. Zahidul Hoque Shaikot (S-135) Managing Director</t>
  </si>
  <si>
    <t>IAB Member Architect 1 Architectural Graduate Total 1</t>
  </si>
  <si>
    <t>IAB-RP-A25</t>
  </si>
  <si>
    <t>ARQUITECTURA DESIGN STUDIO(Est- 2015)</t>
  </si>
  <si>
    <t>Office Address: Lake Palisade, House 23, Level 02, Road 27, Dhanmondi, Dhaka 1209</t>
  </si>
  <si>
    <t>Email ID: faiahsa@gmail.com Contact: +880241021810</t>
  </si>
  <si>
    <t>Ar. Fariha Sharmeen Akbar (A-198) Proprietor</t>
  </si>
  <si>
    <t>IAB-RP-A26</t>
  </si>
  <si>
    <t>ARQUITECTURA (PVT.) LTD. (Est-2017)</t>
  </si>
  <si>
    <t>Email ID: mail@arquitecturabd.com</t>
  </si>
  <si>
    <t>Website : www.arquitecturabd.com Contact: +880241021810</t>
  </si>
  <si>
    <t>Ar. Fariha Sharmeen Akbar (A-198) Chairman</t>
  </si>
  <si>
    <t>Ar. Md. Shafiul Azam Shamim (S-127) Managing Director</t>
  </si>
  <si>
    <t>IAB Member Architect 6 Architectural Graduate 2 Total 8</t>
  </si>
  <si>
    <t>IAB-RP-A27</t>
  </si>
  <si>
    <t>AYOTEEK (Est-2016)</t>
  </si>
  <si>
    <t>Office Address: House-B 115, 4th Floor, Lane-7,DOHS, Mohakhali, Dhaka 1206</t>
  </si>
  <si>
    <t>Email ID: kasif@ayoteek.com, ayoteek@gmail.com Contact: +88-02-9882689, +8801712511535</t>
  </si>
  <si>
    <t>Website : www.ayoteek.com</t>
  </si>
  <si>
    <t>Ar. Muhammed Kasif Hasnaen (H-172) Managing Partner</t>
  </si>
  <si>
    <t>IAB-RP-A28</t>
  </si>
  <si>
    <t>ARCHITECTURE TOMORROW (Est-2013)</t>
  </si>
  <si>
    <t>Office Address: House-730 (Ground Floor), Road-10, Avenue-3/4, DOHS, Mirpur, Dhaka</t>
  </si>
  <si>
    <t>Email ID: zaman_arch1122@yahoo.com Contact: +88-02-8080884, +8801716526915</t>
  </si>
  <si>
    <t>Website : www.architecturetomorrow.com</t>
  </si>
  <si>
    <t>Ar. Mohammad Saifuzzaman (S-111) Principal Architect &amp; Managing Director</t>
  </si>
  <si>
    <t>IAB-RP-A29</t>
  </si>
  <si>
    <t>Office Address: 137, Jahanara Garden, Green Road, 5th Floor, Dhaka-1205</t>
  </si>
  <si>
    <t>Email ID: helal201@hotmail.com, arescon1984@gmail.com Contact: +88-02-8151121, +8801713037260</t>
  </si>
  <si>
    <t>Ar. Md. Helal Uddin (U-006) Principal Architect</t>
  </si>
  <si>
    <t>IAB-RP-A30</t>
  </si>
  <si>
    <t>ARCHITECTS’ HORIZON (Est-2017)</t>
  </si>
  <si>
    <t>Office Address: House-05, Road-14, Nikunja2, Khilkhat, Dhaka-1229</t>
  </si>
  <si>
    <t>Email ID: biplob.azone@gmail.com Contact: +88-02-55098138, +8801755599208</t>
  </si>
  <si>
    <t>Website : www.architectshorizon.com</t>
  </si>
  <si>
    <t>Ar. Biplob Kumar Mondal (M-116) Founder &amp; Lead Architect</t>
  </si>
  <si>
    <t>IAB Member Architect 3 Architectural Graduate Total 3</t>
  </si>
  <si>
    <t>IAB-RP-A31</t>
  </si>
  <si>
    <t>ASSOCONSULT LTD. (Est-1985)</t>
  </si>
  <si>
    <t>Office Address: 849/3, Begum Rokeya Sharani, 2nd Floor, Shewrapara, Mirpur, Dhaka-1216</t>
  </si>
  <si>
    <t>Email ID: assoconbangla@yahoo.com Contact: +88-02-9004662, +88-02-9004663</t>
  </si>
  <si>
    <t>Ar. Mubasshar Hussain (H-013) Managing Director</t>
  </si>
  <si>
    <t>IAB Member Architect 2 Architectural Graduate Total 2</t>
  </si>
  <si>
    <t>IAB-RP-A32</t>
  </si>
  <si>
    <t>AURITRO ARCHITECTS (Est-2014)</t>
  </si>
  <si>
    <t>Office Address: House-60/A, Road-7/A, Dhanmondi R/A, Dhaka-1209</t>
  </si>
  <si>
    <t>Email ID: aupee0061@gmail.com Contact: +88 01815258257</t>
  </si>
  <si>
    <t>Ar. Mohammad Mahbub Hossain (H-149) Managing Partner</t>
  </si>
  <si>
    <t>Ar. Nusrat Sumaiya (S-118) Managing Partner</t>
  </si>
  <si>
    <t>IAB Member Architect 4 Architectural Graduate 0 Total 4</t>
  </si>
  <si>
    <t>IAB-RP-A33</t>
  </si>
  <si>
    <t>ARCHITECTS &amp; ASSOCIATES LTD (Est-)</t>
  </si>
  <si>
    <t>Office Address: Plot no-NEO/16, Block-C, Holding no-730, Khilgaon, Dhaka</t>
  </si>
  <si>
    <t>Email ID: arch@aaaltd.com.bd Contact: +88 01758742536, +88 02-47215613</t>
  </si>
  <si>
    <t>Ar. Mahbubul Hasan (H-209) Principal Architect</t>
  </si>
  <si>
    <t>IAB-RP-A34</t>
  </si>
  <si>
    <t>Office Address: House-48, Road-02, Block-B, 1st Floor, Niketan R/A, Gulshan-1, Dhaka-1212</t>
  </si>
  <si>
    <t>Email ID: archiworks.bd@hotmail.com Contact: +88 01715035772</t>
  </si>
  <si>
    <t>Website: archiworksbd.wixsite.com/home</t>
  </si>
  <si>
    <t>Ar. M. Arefeen Ibrahim (I-047) Principal Architect</t>
  </si>
  <si>
    <t>IAB-RP-A35</t>
  </si>
  <si>
    <t>ANGON ARCHITECTS (Est-2017)</t>
  </si>
  <si>
    <t>Office Address: House-60/A, Road-7/A, Dhanmondi, Dhaka-1216</t>
  </si>
  <si>
    <t>Email ID: emun97@gmail.com Contact: +88 01711829295</t>
  </si>
  <si>
    <t>Ar. Md. Momanul Islam Emun (E-008) Principal Architect</t>
  </si>
  <si>
    <t>IAB-RP-A36</t>
  </si>
  <si>
    <t>ARC ANGON CONSORTIUM (Est-2017)</t>
  </si>
  <si>
    <t>Ar. Nahas Ahmed Khalil (K-022) Partner</t>
  </si>
  <si>
    <t>Ar. Md. Momanul Islam Emun (E-008) Partner</t>
  </si>
  <si>
    <t>IAB Member Architect 04 Architectural Graduate Total 04</t>
  </si>
  <si>
    <t>RAW DATA</t>
  </si>
  <si>
    <t>IAB ID</t>
  </si>
  <si>
    <t>COMPANY NAME</t>
  </si>
  <si>
    <t>ADDRESS</t>
  </si>
  <si>
    <t>EMAIL</t>
  </si>
  <si>
    <t>WEBSITE</t>
  </si>
  <si>
    <t xml:space="preserve">NAME OF </t>
  </si>
  <si>
    <t>DESIGNATION</t>
  </si>
  <si>
    <t>FULL T</t>
  </si>
  <si>
    <t>TOTAL</t>
  </si>
  <si>
    <t>Ar. Rahat Mujib Niaz (N‐029) Principal Architect &amp; Ar.Faisal Billah (B‐034) Architect Partner</t>
  </si>
  <si>
    <t>Email ID: babuibasha@gmail.com Contact: +8801711593658, 8801713453239</t>
  </si>
  <si>
    <t>Ar. B.K.S. Inan (I‐015) Managing Director &amp; Ar. Sayeda Sultana (S‐017) Director</t>
  </si>
  <si>
    <t>Ar. Khandaker Ashifuzzaman (A‐194) Managing Director &amp; Ar. Ahmed Firoj Ul Hoque (H‐213) Chairman &amp; Ar. Shakhawat Hossain (H‐216) Director</t>
  </si>
  <si>
    <t>Ar. Munirul Haque (H‐011) Managing Director &amp; Ar. Alfaz Hossain (H‐003) Director</t>
  </si>
  <si>
    <t>Ar. Alamgir Jalil (J‐014) Managing Director &amp; Ar. Shamina Reza Ava (CA‐020) Chairman</t>
  </si>
  <si>
    <t>website:</t>
  </si>
  <si>
    <t>Email ID: fairoze@diagonalarchitects‐bd.com Contact: +88‐02‐9126473, 8801766490119</t>
  </si>
  <si>
    <t>Ar. M Shihabul Wares (AW‐007) Partner Architect &amp; Ar. Eshita Rahman (AR‐143) Partner Architect</t>
  </si>
  <si>
    <t>Website : www.dwg‐office.com Contact: +88‐02‐9125596, 8801819287680</t>
  </si>
  <si>
    <t>Ar. Naheed Farzana (F‐010) Managing Partner &amp; Ar. Tanzim Hasan Salim (S‐063) Partner Architect</t>
  </si>
  <si>
    <t>Ar. Md Rashidur Rahman (R‐134) Principal Architect &amp; Tanzir Choudhury Tuhin Partner</t>
  </si>
  <si>
    <t>Ar. Mamnoon M. Chowdhury (C‐031) Architect &amp; Partner &amp; Ar. Mahmudul Anwar Riyaad (R‐081) Architect &amp; Partner</t>
  </si>
  <si>
    <t>Ar. Mamnoon M. Chowdhury (C‐031) Chairman &amp; Ar. Mahmudul Anwar Riyaad (R‐081) Director</t>
  </si>
  <si>
    <t>Email ID: ashiq.fialka@gmail.com Contact: +88‐031‐618599, +88‐031‐2863269</t>
  </si>
  <si>
    <t>Ar. Md. Nahid Hasan (H‐186) Managing Partner &amp; Ar. S M Ruhul Amin (A‐221) Partner &amp; Ar. Animesh Provaker Debnath (D‐018) Partner</t>
  </si>
  <si>
    <t>Ar. Anwarul Islam Khan (K‐083) Partner &amp; A.K.M. Abu Hasan (H‐116) Partner &amp; Md. Mahfil Ali (A‐076) Partner &amp;  Md. Mushtaque Ahmed Tanvir (A‐096) Partner</t>
  </si>
  <si>
    <t>Ar. Mohammad Mamunur Rasheed (R‐089) Managing Director &amp; Principal Architect</t>
  </si>
  <si>
    <t>Ar. Selim Altaf Biplob (B‐025) Sr. Partner &amp; Ar. Tamanna Sayeed (S‐061) Sr. Partner &amp; Ar. Khalid Bin Kabir (K‐129) Partner</t>
  </si>
  <si>
    <t>Ar. Afroza Ahmed (A‐087) Chairperson &amp; Ar. Jalal Ahmed (A‐036) Managing Director &amp; Ar. Md. Ismail Ibrahim (I‐057) Director &amp; Ar. Md. Atiqul Haq (H‐073) Director</t>
  </si>
  <si>
    <t>Ar. Al Numan Md. Yunus(Y‐008) Managing Partner &amp; Ar. Dhrubajyoti Das (D‐014) Partner &amp; Md. Shumsuddin Ahmed Bhuiyan (B‐041) Partner &amp; Md. Hasan Al Emtiaz Zafree (CZ‐011) Partner</t>
  </si>
  <si>
    <t>Website : https://www.facebook.com/K2AHArchitects Contact: +8801717183918, 8801717068255</t>
  </si>
  <si>
    <t>Ar. Ahsanul Haque Rubel (R‐153) Managing Partner &amp; Ar. Kawsary Perveen (P‐011) Managing Partner</t>
  </si>
  <si>
    <t>Ar. Kazi Touhidul Islam (I‐041) Partner &amp; Ar. Hasina Shams (S‐097) Partner</t>
  </si>
  <si>
    <t>Ar. Shaila Joarder (J‐013) Managing Partner &amp; Ar. Md. Ruhul Amin (A‐196) Partner &amp; Ar. Atiqur Rahman (R‐115) Partner</t>
  </si>
  <si>
    <t>Ar. Shahidul Hasan Azad (H‐045) Managing Director &amp; Ar. Ferdous Ahmed (A‐038) Director &amp; Ar. Yeafesh Osman (O‐001)</t>
  </si>
  <si>
    <t>Ar. Sohail M Shakoor (S‐021) Principal Architect &amp; CEO</t>
  </si>
  <si>
    <t>Ar. Jalal Uddin Md. Akbar (A‐128) Partner &amp; Ar. Md. Mobinul Alam (A‐116) Partner</t>
  </si>
  <si>
    <t>Ar. Sarawat Iqbal (I‐091) Architect Partner &amp; Ar. Monon‐Bin‐Yunus (AY‐013) Architect Partner</t>
  </si>
  <si>
    <t>Ar.Mirza Shahper Jalil (J‐019) Managing Director &amp; Ar. Hasan Mahmud (H‐090) Director &amp; Ar. Umme Farzana Zarif (CZ‐001) Director</t>
  </si>
  <si>
    <t>Ar. Md. Mizanur Rahman (R‐097) Chairman &amp; Ar. Jabid Akram (A‐150) Managing Director</t>
  </si>
  <si>
    <t>Email ID: fawad_hyder@yahoo.com  info@spacearcht.com Contact: +88‐02‐9840245, +8801979873387</t>
  </si>
  <si>
    <t>Ar. Mohammad Asaduzzaman Chowdhury (C‐040) Managing Partner &amp; Ar. Aniket Chowdhury (C‐066) Partner</t>
  </si>
  <si>
    <t>Ar. Shahla Karim Kabir (K‐050) &amp; Ar. Minhaz Bin Gaffar (G‐009)</t>
  </si>
  <si>
    <t>Ar. Nurur Rahman Khan (K‐049) Architect Partner &amp; Ar. Tanya Tazeen Karim (K‐051) Architect Partner</t>
  </si>
  <si>
    <t>Ar. Md. Tareq Abdullah (A‐236) Director &amp; Ar. Khondoker Arif Uzzaman (AU‐019) Managing Director</t>
  </si>
  <si>
    <t>Ar. Amit Kumar Saha (S‐077) Partner &amp; Ar. Faisal Ishtiaq Alam (A‐151) Partner &amp; Ar. Dipozzwal Sen (S‐090) Partner</t>
  </si>
  <si>
    <t>Ar.Asif Mohammed Ahsanul Haq (H‐117) Managing Partner &amp; Ar. Arifa Akhter (A‐120) Partner</t>
  </si>
  <si>
    <t>Ar. Khan Mohammed Mustapha Khalid (K‐037) Managing Director &amp; Ar. Shahzia Islam (I‐023) Director</t>
  </si>
  <si>
    <t>Email ID: info@vuumaatra.com , ziaul.sharif@gmail.com , Contact: +88‐02‐58812326, 8801796585535</t>
  </si>
  <si>
    <t>Ar. Md. Ishtiaque Zahir (Z‐011) Director &amp; Ar. Md. Iqbal Habib (H‐075) Managing Director</t>
  </si>
  <si>
    <t>Ar. Quazi Fahima Naz (N-024) Partner Architect &amp; Ar. Subrata CH.Sikder (S-112) Partner Architect</t>
  </si>
  <si>
    <t>Ar. Nabi Newaz Khan (K-106) Chairman &amp; Ar. Lutfullahil Majid (M-076) Managing Director &amp; Ar. Md. Jubair Hasan (H-163) Director</t>
  </si>
  <si>
    <t>Ar. Syeda Nitee Mahbub (M-090) Partner &amp; Ar. Wares-Ul-Ambia (A-145) Partner</t>
  </si>
  <si>
    <t>Ar. Minhasur Rahman (R-044) Managing Director &amp; Ar. Fuad Hassan Mallick (M-012) Share Holder</t>
  </si>
  <si>
    <t>Ar. Fariha Sharmeen Akbar (A-198) Chairman &amp; Ar. Md. Shafiul Azam Shamim (S-127) Managing Director</t>
  </si>
  <si>
    <t>Ar. Mohammad Mahbub Hossain (H-149) Managing Partner &amp; Ar. Nusrat Sumaiya (S-118) Managing Partner</t>
  </si>
  <si>
    <t>Ar. Nahas Ahmed Khalil (K-022) Partner &amp; Ar. Md. Momanul Islam Emun (E-008) Partner</t>
  </si>
  <si>
    <t>length</t>
  </si>
  <si>
    <t>Find "("</t>
  </si>
  <si>
    <t>Difference</t>
  </si>
  <si>
    <t>Right</t>
  </si>
  <si>
    <t>Left</t>
  </si>
  <si>
    <t>paste special</t>
  </si>
  <si>
    <t>LENGTH</t>
  </si>
  <si>
    <t>FIND "C"</t>
  </si>
  <si>
    <t>DIFFERENCE</t>
  </si>
  <si>
    <t>SPLITED EMAIL DATA</t>
  </si>
  <si>
    <t>1996</t>
  </si>
  <si>
    <t xml:space="preserve">ABASHAN UPODESHTA LIMITED </t>
  </si>
  <si>
    <t xml:space="preserve"> mail@abashan.com</t>
  </si>
  <si>
    <t>-</t>
  </si>
  <si>
    <t>2005</t>
  </si>
  <si>
    <t xml:space="preserve">ADS ARCHITECTS DESIGN STUDIO </t>
  </si>
  <si>
    <t xml:space="preserve"> ads.architectstudio@gmail.com Contact: +88-02-8950536</t>
  </si>
  <si>
    <t>Contact: +88-02-8950536</t>
  </si>
  <si>
    <t xml:space="preserve"> ads.architectstudio@gmail.com </t>
  </si>
  <si>
    <t>2008</t>
  </si>
  <si>
    <t xml:space="preserve">AKRITY </t>
  </si>
  <si>
    <t xml:space="preserve"> akriti.si@gmail.com,</t>
  </si>
  <si>
    <t xml:space="preserve">ANWAR &amp; ASSOCIATES </t>
  </si>
  <si>
    <t xml:space="preserve"> ahaq06@yahoo.com Contact: +88-02-8837313</t>
  </si>
  <si>
    <t>Contact: +88-02-8837313</t>
  </si>
  <si>
    <t xml:space="preserve"> ahaq06@yahoo.com </t>
  </si>
  <si>
    <t>1982</t>
  </si>
  <si>
    <t xml:space="preserve">ARC ARCHITECTURAL CONSULTANTS </t>
  </si>
  <si>
    <t xml:space="preserve"> arc.architect@gmail.com, nahaskhalil@yahoo.com</t>
  </si>
  <si>
    <t>2012</t>
  </si>
  <si>
    <t xml:space="preserve">ARCHDOERS </t>
  </si>
  <si>
    <t xml:space="preserve"> archdoers@gmail.com Contact: 01816506988, 01816506989</t>
  </si>
  <si>
    <t>Contact: 01816506988, 01816506989</t>
  </si>
  <si>
    <t xml:space="preserve"> archdoers@gmail.com </t>
  </si>
  <si>
    <t xml:space="preserve">ARCHEGROUND LTD. </t>
  </si>
  <si>
    <t xml:space="preserve"> studio@archeground.com, arche_ground@yahoo.com</t>
  </si>
  <si>
    <t>2010</t>
  </si>
  <si>
    <t xml:space="preserve">ARCHFIELD </t>
  </si>
  <si>
    <t xml:space="preserve"> archfield2010@gmail.com Contact: 01713338002, 01819117710</t>
  </si>
  <si>
    <t>Contact: 01713338002, 01819117710</t>
  </si>
  <si>
    <t xml:space="preserve"> archfield2010@gmail.com </t>
  </si>
  <si>
    <t xml:space="preserve">ARCHITECT HASAN &amp; ASSOCIATES LTD. </t>
  </si>
  <si>
    <t xml:space="preserve"> cmfoundation@gmail.com Contact: +88-02-8125830</t>
  </si>
  <si>
    <t>Contact: +88-02-8125830</t>
  </si>
  <si>
    <t xml:space="preserve"> cmfoundation@gmail.com </t>
  </si>
  <si>
    <t xml:space="preserve">ARCHITECTES CONTEMPORAIN </t>
  </si>
  <si>
    <t xml:space="preserve"> sazal953@gmail.com Contact: 044-78004350, 044-78004353</t>
  </si>
  <si>
    <t>Contact: 044-78004350, 044-78004353</t>
  </si>
  <si>
    <t xml:space="preserve"> sazal953@gmail.com </t>
  </si>
  <si>
    <t>2009</t>
  </si>
  <si>
    <t xml:space="preserve">ARCHIWORKS CONSULTANTS </t>
  </si>
  <si>
    <t xml:space="preserve"> archiworks.bd@hotmail.com</t>
  </si>
  <si>
    <t>1997</t>
  </si>
  <si>
    <t xml:space="preserve">ARCHSEL </t>
  </si>
  <si>
    <t xml:space="preserve"> mail@archsel.com</t>
  </si>
  <si>
    <t>2004</t>
  </si>
  <si>
    <t xml:space="preserve">ARESCON CONSULTANT </t>
  </si>
  <si>
    <t xml:space="preserve"> arescon@gmail.com Contact: +88-02-8151121</t>
  </si>
  <si>
    <t>Contact: +88-02-8151121</t>
  </si>
  <si>
    <t xml:space="preserve"> arescon@gmail.com </t>
  </si>
  <si>
    <t xml:space="preserve">ARTISAN ARCHITECTS ENGINEERS &amp; DEVELOPMENTS LTD. </t>
  </si>
  <si>
    <t xml:space="preserve"> info@artisanbd.com</t>
  </si>
  <si>
    <t xml:space="preserve">ARTYSPACE DESIGN STUDIO </t>
  </si>
  <si>
    <t xml:space="preserve"> artyspace.designstudio@gmail.com Contact: +88-031-2867388</t>
  </si>
  <si>
    <t>Contact: +88-031-2867388</t>
  </si>
  <si>
    <t xml:space="preserve"> artyspace.designstudio@gmail.com </t>
  </si>
  <si>
    <t xml:space="preserve">AHMED HOSSAIN ARCHITECTS AND ASSOCIATES </t>
  </si>
  <si>
    <t xml:space="preserve"> ahaaabd17@gmail.com, ashraf303@yahoo.com Contact: +88016179672992, +8801727672992</t>
  </si>
  <si>
    <t>Contact: +88016179672992, +8801727672992</t>
  </si>
  <si>
    <t xml:space="preserve"> ahaaabd17@gmail.com, ashraf303@yahoo.com </t>
  </si>
  <si>
    <t xml:space="preserve">ALIGN ARCHITECTS </t>
  </si>
  <si>
    <t xml:space="preserve"> hossan_0047@yahioo.com</t>
  </si>
  <si>
    <t xml:space="preserve">ARC.IN.D </t>
  </si>
  <si>
    <t xml:space="preserve"> arcindexind@gmail.com Contact: +88-02-9890855</t>
  </si>
  <si>
    <t>Contact: +88-02-9890855</t>
  </si>
  <si>
    <t xml:space="preserve"> arcindexind@gmail.com </t>
  </si>
  <si>
    <t>2018</t>
  </si>
  <si>
    <t xml:space="preserve">ARCH.PMC </t>
  </si>
  <si>
    <t xml:space="preserve"> masiarchitect@gmail.com, arch.pmc.bd@gmail.com</t>
  </si>
  <si>
    <t>2014</t>
  </si>
  <si>
    <t xml:space="preserve">ARCHIAAN ARCHITECTS </t>
  </si>
  <si>
    <t xml:space="preserve"> archiaan07@gmail.com Contact: +8801679224304</t>
  </si>
  <si>
    <t>Contact: +8801679224304</t>
  </si>
  <si>
    <t xml:space="preserve"> archiaan07@gmail.com </t>
  </si>
  <si>
    <t xml:space="preserve">ARCHINET ARCHITECTS &amp; ENGINEERS </t>
  </si>
  <si>
    <t xml:space="preserve"> archinet2008@gmail.com Contact: +8801712228469</t>
  </si>
  <si>
    <t>Contact: +8801712228469</t>
  </si>
  <si>
    <t xml:space="preserve"> archinet2008@gmail.com </t>
  </si>
  <si>
    <t>1995</t>
  </si>
  <si>
    <t xml:space="preserve">ARCHITEKTON </t>
  </si>
  <si>
    <t xml:space="preserve"> architekton_bd@yahoo.com, minhas.rahman@architekton.com.bd , Contact: +88-02-9862930, +8801711520963</t>
  </si>
  <si>
    <t>Contact: +88-02-9862930, +8801711520963</t>
  </si>
  <si>
    <t xml:space="preserve"> architekton_bd@yahoo.com, minhas.rahman@architekton.com.bd , </t>
  </si>
  <si>
    <t xml:space="preserve">ARCHSTUDIO </t>
  </si>
  <si>
    <t xml:space="preserve"> samabegum@gmail.com Contact: +8801716897632</t>
  </si>
  <si>
    <t>Contact: +8801716897632</t>
  </si>
  <si>
    <t xml:space="preserve"> samabegum@gmail.com </t>
  </si>
  <si>
    <t xml:space="preserve">ARCHYTAS LIMITED </t>
  </si>
  <si>
    <t xml:space="preserve"> archytas.s@gmail.com</t>
  </si>
  <si>
    <t>ARQUITECTURA DESIGN STUDIO</t>
  </si>
  <si>
    <t xml:space="preserve"> faiahsa@gmail.com Contact: +880241021810</t>
  </si>
  <si>
    <t>Contact: +880241021810</t>
  </si>
  <si>
    <t xml:space="preserve"> faiahsa@gmail.com </t>
  </si>
  <si>
    <t>2017</t>
  </si>
  <si>
    <t xml:space="preserve">ARQUITECTURA </t>
  </si>
  <si>
    <t xml:space="preserve"> mail@arquitecturabd.com</t>
  </si>
  <si>
    <t>2016</t>
  </si>
  <si>
    <t xml:space="preserve">AYOTEEK </t>
  </si>
  <si>
    <t xml:space="preserve"> kasif@ayoteek.com, ayoteek@gmail.com Contact: +88-02-9882689, +8801712511535</t>
  </si>
  <si>
    <t>Contact: +88-02-9882689, +8801712511535</t>
  </si>
  <si>
    <t xml:space="preserve"> kasif@ayoteek.com, ayoteek@gmail.com </t>
  </si>
  <si>
    <t>2013</t>
  </si>
  <si>
    <t xml:space="preserve">ARCHITECTURE TOMORROW </t>
  </si>
  <si>
    <t xml:space="preserve"> zaman_arch1122@yahoo.com Contact: +88-02-8080884, +8801716526915</t>
  </si>
  <si>
    <t>Contact: +88-02-8080884, +8801716526915</t>
  </si>
  <si>
    <t xml:space="preserve"> zaman_arch1122@yahoo.com </t>
  </si>
  <si>
    <t xml:space="preserve"> helal201@hotmail.com, arescon1984@gmail.com Contact: +88-02-8151121, +8801713037260</t>
  </si>
  <si>
    <t>Contact: +88-02-8151121, +8801713037260</t>
  </si>
  <si>
    <t xml:space="preserve"> helal201@hotmail.com, arescon1984@gmail.com </t>
  </si>
  <si>
    <t xml:space="preserve">ARCHITECTS’ HORIZON </t>
  </si>
  <si>
    <t xml:space="preserve"> biplob.azone@gmail.com Contact: +88-02-55098138, +8801755599208</t>
  </si>
  <si>
    <t>Contact: +88-02-55098138, +8801755599208</t>
  </si>
  <si>
    <t xml:space="preserve"> biplob.azone@gmail.com </t>
  </si>
  <si>
    <t>1985</t>
  </si>
  <si>
    <t xml:space="preserve">ASSOCONSULT LTD. </t>
  </si>
  <si>
    <t xml:space="preserve"> assoconbangla@yahoo.com Contact: +88-02-9004662, +88-02-9004663</t>
  </si>
  <si>
    <t>Contact: +88-02-9004662, +88-02-9004663</t>
  </si>
  <si>
    <t xml:space="preserve"> assoconbangla@yahoo.com </t>
  </si>
  <si>
    <t xml:space="preserve">AURITRO ARCHITECTS </t>
  </si>
  <si>
    <t xml:space="preserve"> aupee0061@gmail.com Contact: +88 01815258257</t>
  </si>
  <si>
    <t>Contact: +88 01815258257</t>
  </si>
  <si>
    <t xml:space="preserve"> aupee0061@gmail.com </t>
  </si>
  <si>
    <t xml:space="preserve">ARCHITECTS &amp; ASSOCIATES LTD </t>
  </si>
  <si>
    <t xml:space="preserve"> arch@aaaltd.com.bd Contact: +88 01758742536, +88 02-47215613</t>
  </si>
  <si>
    <t>Contact: +88 01758742536, +88 02-47215613</t>
  </si>
  <si>
    <t xml:space="preserve"> arch@aaaltd.com.bd </t>
  </si>
  <si>
    <t xml:space="preserve"> archiworks.bd@hotmail.com Contact: +88 01715035772</t>
  </si>
  <si>
    <t>Contact: +88 01715035772</t>
  </si>
  <si>
    <t xml:space="preserve"> archiworks.bd@hotmail.com </t>
  </si>
  <si>
    <t xml:space="preserve">ANGON ARCHITECTS </t>
  </si>
  <si>
    <t xml:space="preserve"> emun97@gmail.com Contact: +88 01711829295</t>
  </si>
  <si>
    <t>Contact: +88 01711829295</t>
  </si>
  <si>
    <t xml:space="preserve"> emun97@gmail.com </t>
  </si>
  <si>
    <t xml:space="preserve">ARC ANGON CONSORTIUM </t>
  </si>
  <si>
    <t xml:space="preserve">BASATIKALPA </t>
  </si>
  <si>
    <t xml:space="preserve"> asfar@global‐bd.net,</t>
  </si>
  <si>
    <t xml:space="preserve">BESTEC INFOTECH </t>
  </si>
  <si>
    <t xml:space="preserve"> tariqul@bestecgroup.com Contact: 09611689575‐6</t>
  </si>
  <si>
    <t>Contact: 09611689575‐6</t>
  </si>
  <si>
    <t xml:space="preserve"> tariqul@bestecgroup.com </t>
  </si>
  <si>
    <t xml:space="preserve">BINYASH </t>
  </si>
  <si>
    <t xml:space="preserve"> rahat.niaz@gmail.com</t>
  </si>
  <si>
    <t xml:space="preserve">BKS &amp; ASSOCIATES </t>
  </si>
  <si>
    <t xml:space="preserve"> marathon_architects@yahoo.com</t>
  </si>
  <si>
    <t xml:space="preserve">BABUIBASHA: A SUSTAINABLE ARCHITECTURE. </t>
  </si>
  <si>
    <t xml:space="preserve"> babuibasha@gmail.com Contact: +8801711593658, 8801713453239</t>
  </si>
  <si>
    <t>Contact: +8801711593658, 8801713453239</t>
  </si>
  <si>
    <t xml:space="preserve"> babuibasha@gmail.com </t>
  </si>
  <si>
    <t xml:space="preserve">37 BRIDGE </t>
  </si>
  <si>
    <t xml:space="preserve"> contact@37bridge.net</t>
  </si>
  <si>
    <t xml:space="preserve">BASHA BARI LTD. </t>
  </si>
  <si>
    <t xml:space="preserve"> bashabari.architects@gmail.com Contact: +88‐01711534290</t>
  </si>
  <si>
    <t>Contact: +88‐01711534290</t>
  </si>
  <si>
    <t xml:space="preserve"> bashabari.architects@gmail.com </t>
  </si>
  <si>
    <t>1986</t>
  </si>
  <si>
    <t xml:space="preserve">CAD LTD </t>
  </si>
  <si>
    <t xml:space="preserve"> cadinan@gmail.com, cadsayeda@gmail.com Contact: +8801671119933</t>
  </si>
  <si>
    <t>Contact: +8801671119933</t>
  </si>
  <si>
    <t xml:space="preserve"> cadinan@gmail.com, cadsayeda@gmail.com </t>
  </si>
  <si>
    <t xml:space="preserve">COCREATE STUDIO </t>
  </si>
  <si>
    <t xml:space="preserve"> cocreate@suvastu.com.bd Contact: +8801819272915</t>
  </si>
  <si>
    <t>Contact: +8801819272915</t>
  </si>
  <si>
    <t xml:space="preserve"> cocreate@suvastu.com.bd </t>
  </si>
  <si>
    <t xml:space="preserve">CUBEINSIDE DESIGN LTD. </t>
  </si>
  <si>
    <t xml:space="preserve"> cubeinside@gmail.com</t>
  </si>
  <si>
    <t>1978</t>
  </si>
  <si>
    <t>DESH UPODESH LTD</t>
  </si>
  <si>
    <t xml:space="preserve"> munirullah@gmail.com, alfaz.hossain1@gmail.com</t>
  </si>
  <si>
    <t xml:space="preserve">DESIGN CELL </t>
  </si>
  <si>
    <t xml:space="preserve"> designcell.cell@gmail.com Contact: +88‐02‐ 8150612</t>
  </si>
  <si>
    <t>Contact: +88‐02‐ 8150612</t>
  </si>
  <si>
    <t xml:space="preserve"> designcell.cell@gmail.com </t>
  </si>
  <si>
    <t>1992</t>
  </si>
  <si>
    <t xml:space="preserve">DESIGN ENGINEERS &amp; ARCHITECTS </t>
  </si>
  <si>
    <t xml:space="preserve"> tjl_slm@yahoo.com Contact: +88‐02‐9886055</t>
  </si>
  <si>
    <t>Contact: +88‐02‐9886055</t>
  </si>
  <si>
    <t xml:space="preserve"> tjl_slm@yahoo.com </t>
  </si>
  <si>
    <t>1998</t>
  </si>
  <si>
    <t xml:space="preserve">DESIGN VISION ASSOCIATES LTD </t>
  </si>
  <si>
    <t xml:space="preserve"> info@designvision.com.bd</t>
  </si>
  <si>
    <t xml:space="preserve">DOMUS </t>
  </si>
  <si>
    <t xml:space="preserve"> domus@accesstel.net , domusdesk@gmail.com</t>
  </si>
  <si>
    <t xml:space="preserve">DCON DESIGN STUDIO </t>
  </si>
  <si>
    <t xml:space="preserve"> dcon.design@gmail.com, faisal2395@hotmail.com Contact: : +8801711614551</t>
  </si>
  <si>
    <t>Contact: : +8801711614551</t>
  </si>
  <si>
    <t xml:space="preserve"> dcon.design@gmail.com, faisal2395@hotmail.com </t>
  </si>
  <si>
    <t>2015</t>
  </si>
  <si>
    <t xml:space="preserve">DEHSAR WORKS </t>
  </si>
  <si>
    <t xml:space="preserve"> rashed@dehsarworks.com</t>
  </si>
  <si>
    <t xml:space="preserve">DIAGONAL ARCHITECTS </t>
  </si>
  <si>
    <t xml:space="preserve"> fairoze@diagonalarchitects‐bd.com Contact: +88‐02‐9126473, 8801766490119</t>
  </si>
  <si>
    <t>Contact: +88‐02‐9126473, 8801766490119</t>
  </si>
  <si>
    <t xml:space="preserve"> fairoze@diagonalarchitects‐bd.com </t>
  </si>
  <si>
    <t xml:space="preserve">DOT ARCHITECTS </t>
  </si>
  <si>
    <t xml:space="preserve"> Dot.architects@hotmail.com Contact: +8801612880595, +8801965370464</t>
  </si>
  <si>
    <t>Contact: +8801612880595, +8801965370464</t>
  </si>
  <si>
    <t xml:space="preserve"> Dot.architects@hotmail.com </t>
  </si>
  <si>
    <t xml:space="preserve">DWG </t>
  </si>
  <si>
    <t xml:space="preserve"> info@dwg‐office.com</t>
  </si>
  <si>
    <t xml:space="preserve">DA‐SEIN ARCHITECTS </t>
  </si>
  <si>
    <t xml:space="preserve"> shawon.dasein@gmail.com Contact: +88 01711937254, +88 02‐9125596</t>
  </si>
  <si>
    <t>Contact: +88 01711937254, +88 02‐9125596</t>
  </si>
  <si>
    <t xml:space="preserve"> shawon.dasein@gmail.com </t>
  </si>
  <si>
    <t xml:space="preserve">DWm4 ARCHITECTS </t>
  </si>
  <si>
    <t xml:space="preserve"> Contact: +88 01712921323, +88 02‐9885564</t>
  </si>
  <si>
    <t>Contact: +88 01712921323, +88 02‐9885564</t>
  </si>
  <si>
    <t xml:space="preserve"> </t>
  </si>
  <si>
    <t xml:space="preserve">DWm4 INTRENDS LTD. </t>
  </si>
  <si>
    <t xml:space="preserve"> info@dwm4intrends.com Contact: +88 02‐222280802</t>
  </si>
  <si>
    <t>Contact: +88 02‐222280802</t>
  </si>
  <si>
    <t xml:space="preserve"> info@dwm4intrends.com </t>
  </si>
  <si>
    <t>1989</t>
  </si>
  <si>
    <t xml:space="preserve">ENVIRON STRUCTURE LTD. </t>
  </si>
  <si>
    <t xml:space="preserve"> esl_arch@yahoo.com Contact: +88‐02‐9660876, 9660851</t>
  </si>
  <si>
    <t>Contact: +88‐02‐9660876, 9660851</t>
  </si>
  <si>
    <t xml:space="preserve"> esl_arch@yahoo.com </t>
  </si>
  <si>
    <t xml:space="preserve">ECLIPTIC </t>
  </si>
  <si>
    <t xml:space="preserve"> eclipticbd@gmail.com Contact: +88‐02‐9145364, +8801819244544</t>
  </si>
  <si>
    <t>Contact: +88‐02‐9145364, +8801819244544</t>
  </si>
  <si>
    <t xml:space="preserve"> eclipticbd@gmail.com </t>
  </si>
  <si>
    <t xml:space="preserve">EHSAN KHAN ARCHITECTS LTD. </t>
  </si>
  <si>
    <t xml:space="preserve"> ehsan@ekarchitects.com.bd, admin@ekarchitects.com.bd Contact: +88‐02‐9890855</t>
  </si>
  <si>
    <t>Contact: +88‐02‐9890855</t>
  </si>
  <si>
    <t xml:space="preserve"> ehsan@ekarchitects.com.bd, admin@ekarchitects.com.bd </t>
  </si>
  <si>
    <t>1999</t>
  </si>
  <si>
    <t xml:space="preserve">ENVISION ARCHITECTS </t>
  </si>
  <si>
    <t xml:space="preserve"> qazimarif2012@gmail.com, principal@envision‐arch.org Contact: +88‐02‐58151763</t>
  </si>
  <si>
    <t>Contact: +88‐02‐58151763</t>
  </si>
  <si>
    <t xml:space="preserve"> qazimarif2012@gmail.com, principal@envision‐arch.org </t>
  </si>
  <si>
    <t>2007</t>
  </si>
  <si>
    <t xml:space="preserve">FOURTH DIMENSION </t>
  </si>
  <si>
    <t xml:space="preserve"> turjo_96inte@yahoo.com</t>
  </si>
  <si>
    <t xml:space="preserve">FALGUNI MALLICK &amp; ASSOCIATES </t>
  </si>
  <si>
    <t xml:space="preserve"> fma_architects@yahoo.com, fmallick74@gmail.com Contact: +8801970112299</t>
  </si>
  <si>
    <t>Contact: +8801970112299</t>
  </si>
  <si>
    <t xml:space="preserve"> fma_architects@yahoo.com, fmallick74@gmail.com </t>
  </si>
  <si>
    <t xml:space="preserve">FIALKA </t>
  </si>
  <si>
    <t xml:space="preserve"> ashiq.fialka@gmail.com Contact: +88‐031‐618599, +88‐031‐2863269</t>
  </si>
  <si>
    <t>Contact: +88‐031‐618599, +88‐031‐2863269</t>
  </si>
  <si>
    <t xml:space="preserve"> ashiq.fialka@gmail.com </t>
  </si>
  <si>
    <t xml:space="preserve">GKA &amp; ASSOCIATES </t>
  </si>
  <si>
    <t xml:space="preserve"> gakhan0306@yahoo.com</t>
  </si>
  <si>
    <t xml:space="preserve">GENESIS ARCHITECTS </t>
  </si>
  <si>
    <t xml:space="preserve"> info@genesis.archi Contact: +8801812807687</t>
  </si>
  <si>
    <t>Contact: +8801812807687</t>
  </si>
  <si>
    <t xml:space="preserve"> info@genesis.archi </t>
  </si>
  <si>
    <t xml:space="preserve">GRAVITY ARCHITECTURE STUDIO </t>
  </si>
  <si>
    <t xml:space="preserve"> gravity.asbd@gmail.com Contact: +88 01730096986, +88 01676057570</t>
  </si>
  <si>
    <t>Contact: +88 01730096986, +88 01676057570</t>
  </si>
  <si>
    <t xml:space="preserve"> gravity.asbd@gmail.com </t>
  </si>
  <si>
    <t>2019</t>
  </si>
  <si>
    <t xml:space="preserve">H I ARCHITECTS </t>
  </si>
  <si>
    <t xml:space="preserve"> md.hasan.imam23@gmail.com Contact: +88 01714110471</t>
  </si>
  <si>
    <t>Contact: +88 01714110471</t>
  </si>
  <si>
    <t xml:space="preserve"> md.hasan.imam23@gmail.com </t>
  </si>
  <si>
    <t>2003</t>
  </si>
  <si>
    <t xml:space="preserve">IDEA </t>
  </si>
  <si>
    <t xml:space="preserve"> idea@enstudio.org Contact: +88‐02‐9144347</t>
  </si>
  <si>
    <t>Contact: +88‐02‐9144347</t>
  </si>
  <si>
    <t xml:space="preserve"> idea@enstudio.org </t>
  </si>
  <si>
    <t xml:space="preserve">IMAGE ARCHITECTS </t>
  </si>
  <si>
    <t xml:space="preserve"> image_architects@yahoo.com Contact: +8801712573353, +8801681235750</t>
  </si>
  <si>
    <t>Contact: +8801712573353, +8801681235750</t>
  </si>
  <si>
    <t xml:space="preserve"> image_architects@yahoo.com </t>
  </si>
  <si>
    <t xml:space="preserve">INGRID ARCHITECTS </t>
  </si>
  <si>
    <t xml:space="preserve"> ingrid_dhaka@yahoo.com Contact: +88‐02‐9880507</t>
  </si>
  <si>
    <t>Contact: +88‐02‐9880507</t>
  </si>
  <si>
    <t xml:space="preserve"> ingrid_dhaka@yahoo.com </t>
  </si>
  <si>
    <t xml:space="preserve">ICON DESIGN STUDIO </t>
  </si>
  <si>
    <t xml:space="preserve"> suriti@icon‐bd.com Contact: +8801819211608</t>
  </si>
  <si>
    <t>Contact: +8801819211608</t>
  </si>
  <si>
    <t xml:space="preserve"> suriti@icon‐bd.com </t>
  </si>
  <si>
    <t xml:space="preserve">INARCH STUDIO AND CONSTRUCTION LIMITED </t>
  </si>
  <si>
    <t xml:space="preserve"> studio.inarch@gmail.com</t>
  </si>
  <si>
    <t xml:space="preserve">INSIGHT ARCHITECTS </t>
  </si>
  <si>
    <t xml:space="preserve"> insightarcdhaka@gmail.com Contact: +8801711577032</t>
  </si>
  <si>
    <t>Contact: +8801711577032</t>
  </si>
  <si>
    <t xml:space="preserve"> insightarcdhaka@gmail.com </t>
  </si>
  <si>
    <t xml:space="preserve">IN QUEST DESIGN STUDIO </t>
  </si>
  <si>
    <t xml:space="preserve"> inquestbd@gmail.com Contact: 02 58153033, +88 01713038759, +88 01717602792</t>
  </si>
  <si>
    <t>Contact: 02 58153033, +88 01713038759, +88 01717602792</t>
  </si>
  <si>
    <t xml:space="preserve"> inquestbd@gmail.com </t>
  </si>
  <si>
    <t>2020</t>
  </si>
  <si>
    <t xml:space="preserve">INTEGRATED DESIGNERS, ENGINEERS AND ARCHITECTS LIMITED </t>
  </si>
  <si>
    <t xml:space="preserve"> contact.ideal.consultants@gmail.com Contact: +88 01912085801</t>
  </si>
  <si>
    <t>Contact: +88 01912085801</t>
  </si>
  <si>
    <t xml:space="preserve"> contact.ideal.consultants@gmail.com </t>
  </si>
  <si>
    <t xml:space="preserve">J.A.ARCHITECTS LTD. </t>
  </si>
  <si>
    <t xml:space="preserve"> mail@jaarchitects.com.bd</t>
  </si>
  <si>
    <t xml:space="preserve">J.M. CONSULTANT </t>
  </si>
  <si>
    <t xml:space="preserve"> consultant.jm878@gmail.com, mrinmoyadhakary@yahoo.com Contact: +8801712621792, +8801942909110</t>
  </si>
  <si>
    <t>Contact: +8801712621792, +8801942909110</t>
  </si>
  <si>
    <t xml:space="preserve"> consultant.jm878@gmail.com, mrinmoyadhakary@yahoo.com </t>
  </si>
  <si>
    <t xml:space="preserve">KHETRO </t>
  </si>
  <si>
    <t xml:space="preserve"> info@khetro.com</t>
  </si>
  <si>
    <t xml:space="preserve">KHETTRA ARCHITECTS </t>
  </si>
  <si>
    <t xml:space="preserve"> khettra@gmail.com</t>
  </si>
  <si>
    <t xml:space="preserve">K2AH+ ARCHITECTS </t>
  </si>
  <si>
    <t xml:space="preserve"> k2ah.architects@gmail.com</t>
  </si>
  <si>
    <t>2000</t>
  </si>
  <si>
    <t xml:space="preserve">KHETTRA ARCHITECTS &amp; ENGINEERS LIMITED </t>
  </si>
  <si>
    <t xml:space="preserve"> khettra2000@gmail.com Contact: +88‐02‐8835831</t>
  </si>
  <si>
    <t>Contact: +88‐02‐8835831</t>
  </si>
  <si>
    <t xml:space="preserve"> khettra2000@gmail.com </t>
  </si>
  <si>
    <t xml:space="preserve">KALPAK ARCHITECTS </t>
  </si>
  <si>
    <t xml:space="preserve"> kkalpon@gmail.com Contact: +88 01711899081</t>
  </si>
  <si>
    <t>Contact: +88 01711899081</t>
  </si>
  <si>
    <t xml:space="preserve"> kkalpon@gmail.com </t>
  </si>
  <si>
    <t xml:space="preserve">MATRIX </t>
  </si>
  <si>
    <t xml:space="preserve"> archmiraz@yahoo.com Contact: +8801191557292</t>
  </si>
  <si>
    <t>Contact: +8801191557292</t>
  </si>
  <si>
    <t xml:space="preserve"> archmiraz@yahoo.com </t>
  </si>
  <si>
    <t xml:space="preserve">MAATRIK ARCHITECTS </t>
  </si>
  <si>
    <t xml:space="preserve"> maatrikmail@gmail.com Contact: +8801723563209, +8801673545909</t>
  </si>
  <si>
    <t>Contact: +8801723563209, +8801673545909</t>
  </si>
  <si>
    <t xml:space="preserve"> maatrikmail@gmail.com </t>
  </si>
  <si>
    <t xml:space="preserve">MW3 DESIGN + PARTNERS </t>
  </si>
  <si>
    <t xml:space="preserve"> mahtab@mw3.com.bd, mw3designpartners@gmail.com Contact: +88‐02‐9840957</t>
  </si>
  <si>
    <t>Contact: +88‐02‐9840957</t>
  </si>
  <si>
    <t xml:space="preserve"> mahtab@mw3.com.bd, mw3designpartners@gmail.com </t>
  </si>
  <si>
    <t xml:space="preserve">NAYREET ARCHITECTS </t>
  </si>
  <si>
    <t xml:space="preserve"> nayreet_architects@yahoo.com</t>
  </si>
  <si>
    <t xml:space="preserve">NOUVEAU ARCHITECTS. </t>
  </si>
  <si>
    <t xml:space="preserve"> razaoull@gmail.com Contact: +8801912137212</t>
  </si>
  <si>
    <t>Contact: +8801912137212</t>
  </si>
  <si>
    <t xml:space="preserve"> razaoull@gmail.com </t>
  </si>
  <si>
    <t>2006</t>
  </si>
  <si>
    <t xml:space="preserve">NAKSHABID ARCHITECTS </t>
  </si>
  <si>
    <t xml:space="preserve"> nakshabid@gmail.com Contact: +88 01819221011, +88 02‐9845080</t>
  </si>
  <si>
    <t>Contact: +88 01819221011, +88 02‐9845080</t>
  </si>
  <si>
    <t xml:space="preserve"> nakshabid@gmail.com </t>
  </si>
  <si>
    <t xml:space="preserve">OLI MAHMUD ARCHITECTS </t>
  </si>
  <si>
    <t xml:space="preserve"> olimahmud@gmail.com</t>
  </si>
  <si>
    <t xml:space="preserve">PRACHEE STHAPATI </t>
  </si>
  <si>
    <t xml:space="preserve"> saumenhazra@yahoo.com</t>
  </si>
  <si>
    <t xml:space="preserve">PROFILE LTD </t>
  </si>
  <si>
    <t xml:space="preserve"> profileltd@gmail.com, info@profilelimited.com</t>
  </si>
  <si>
    <t xml:space="preserve">PROKALPA UPODESHTA LTD </t>
  </si>
  <si>
    <t xml:space="preserve"> info@pulbd.com</t>
  </si>
  <si>
    <t>1990</t>
  </si>
  <si>
    <t xml:space="preserve">PRONAYON </t>
  </si>
  <si>
    <t xml:space="preserve"> pronayon@capcobd.com , shakoor_sohail@yahoo.com</t>
  </si>
  <si>
    <t xml:space="preserve">REGIONAL ARCHITECTS </t>
  </si>
  <si>
    <t xml:space="preserve"> regional_architects@yahoo.com Contact:</t>
  </si>
  <si>
    <t>Contact:</t>
  </si>
  <si>
    <t xml:space="preserve"> regional_architects@yahoo.com </t>
  </si>
  <si>
    <t xml:space="preserve">RIDDHI ARCHITECTS </t>
  </si>
  <si>
    <t xml:space="preserve"> riddhi.arch@gmail.com Contact: +88‐02‐8626480</t>
  </si>
  <si>
    <t>Contact: +88‐02‐8626480</t>
  </si>
  <si>
    <t xml:space="preserve"> riddhi.arch@gmail.com </t>
  </si>
  <si>
    <t xml:space="preserve">RIVNAT ARCHITECTS </t>
  </si>
  <si>
    <t xml:space="preserve"> rivnat360@gmail.com Contact: +88‐02‐9127032</t>
  </si>
  <si>
    <t>Contact: +88‐02‐9127032</t>
  </si>
  <si>
    <t xml:space="preserve"> rivnat360@gmail.com </t>
  </si>
  <si>
    <t xml:space="preserve">RACHONA CONSULTANTS </t>
  </si>
  <si>
    <t xml:space="preserve"> rachona@gmail.com Contact: +88‐02‐9820896, +8801713017973</t>
  </si>
  <si>
    <t>Contact: +88‐02‐9820896, +8801713017973</t>
  </si>
  <si>
    <t xml:space="preserve"> rachona@gmail.com </t>
  </si>
  <si>
    <t xml:space="preserve">REINCARNATION </t>
  </si>
  <si>
    <t xml:space="preserve"> reincarnationbd@yahoo.com</t>
  </si>
  <si>
    <t xml:space="preserve">ROOFLINERS_STUDIO OF ARCHITECTURE </t>
  </si>
  <si>
    <t xml:space="preserve"> contact@roofliners.org, roofliners.bd@gmail.com Contact: +8801706602332, +8801815007774</t>
  </si>
  <si>
    <t>Contact: +8801706602332, +8801815007774</t>
  </si>
  <si>
    <t xml:space="preserve"> contact@roofliners.org, roofliners.bd@gmail.com </t>
  </si>
  <si>
    <t xml:space="preserve">ROSEBUD CONSULTANTS LTD </t>
  </si>
  <si>
    <t xml:space="preserve"> rosebudcon@gmail.com Contact: +88‐02‐9334169, +88‐02‐9354491</t>
  </si>
  <si>
    <t>Contact: +88‐02‐9334169, +88‐02‐9354491</t>
  </si>
  <si>
    <t xml:space="preserve"> rosebudcon@gmail.com </t>
  </si>
  <si>
    <t xml:space="preserve">River &amp; Rain Ltd. </t>
  </si>
  <si>
    <t xml:space="preserve"> riverandraininfo@gmail.com Contact: +88 01734017695 +88 01746506316</t>
  </si>
  <si>
    <t>Contact: +88 01734017695 +88 01746506316</t>
  </si>
  <si>
    <t xml:space="preserve"> riverandraininfo@gmail.com </t>
  </si>
  <si>
    <t xml:space="preserve">SAIUJ CONSULTANTS </t>
  </si>
  <si>
    <t xml:space="preserve"> saiuj_con@yahoo.com Contact: +88‐02‐8190746</t>
  </si>
  <si>
    <t>Contact: +88‐02‐8190746</t>
  </si>
  <si>
    <t xml:space="preserve"> saiuj_con@yahoo.com </t>
  </si>
  <si>
    <t xml:space="preserve">SCENIC </t>
  </si>
  <si>
    <t xml:space="preserve"> scenicbd@gmail.com Contact: +88‐02‐9677467</t>
  </si>
  <si>
    <t>Contact: +88‐02‐9677467</t>
  </si>
  <si>
    <t xml:space="preserve"> scenicbd@gmail.com </t>
  </si>
  <si>
    <t xml:space="preserve">SHANGBIT </t>
  </si>
  <si>
    <t xml:space="preserve"> shangbit.architects@gmail.com Contact:</t>
  </si>
  <si>
    <t xml:space="preserve"> shangbit.architects@gmail.com </t>
  </si>
  <si>
    <t xml:space="preserve">SHELTER ARCHITECTS AND ENGINEERS LIMITED </t>
  </si>
  <si>
    <t xml:space="preserve"> shelterarchitect32@yahoo.com Contact: +88‐02‐9358428, 8333384</t>
  </si>
  <si>
    <t>Contact: +88‐02‐9358428, 8333384</t>
  </si>
  <si>
    <t xml:space="preserve"> shelterarchitect32@yahoo.com </t>
  </si>
  <si>
    <t>2011</t>
  </si>
  <si>
    <t xml:space="preserve">SILT </t>
  </si>
  <si>
    <t xml:space="preserve"> silt.bd@gmail.com, silt@silt.com.bd</t>
  </si>
  <si>
    <t xml:space="preserve">SPACE SCAPE </t>
  </si>
  <si>
    <t xml:space="preserve"> arch_pintoo@yahoo.com Contact: +88‐02‐8918765</t>
  </si>
  <si>
    <t>Contact: +88‐02‐8918765</t>
  </si>
  <si>
    <t xml:space="preserve"> arch_pintoo@yahoo.com </t>
  </si>
  <si>
    <t xml:space="preserve">SRISHTI SHAILEE </t>
  </si>
  <si>
    <t xml:space="preserve"> srishtishailee@yahoo.com Contact: +88‐02‐8711883, 8711884</t>
  </si>
  <si>
    <t>Contact: +88‐02‐8711883, 8711884</t>
  </si>
  <si>
    <t xml:space="preserve"> srishtishailee@yahoo.com </t>
  </si>
  <si>
    <t xml:space="preserve">SRISTI UPADESHTA </t>
  </si>
  <si>
    <t xml:space="preserve"> saiful.hafiz@gmail.com Contact:</t>
  </si>
  <si>
    <t xml:space="preserve"> saiful.hafiz@gmail.com </t>
  </si>
  <si>
    <t xml:space="preserve">STUDIO XI ARCHITECTS </t>
  </si>
  <si>
    <t xml:space="preserve"> studio_xi_architects@yahoo.com Contact: +88‐02‐8813992, 9889360</t>
  </si>
  <si>
    <t>Contact: +88‐02‐8813992, 9889360</t>
  </si>
  <si>
    <t xml:space="preserve"> studio_xi_architects@yahoo.com </t>
  </si>
  <si>
    <t xml:space="preserve">STUDIO ECOTECTURE LIMITED </t>
  </si>
  <si>
    <t xml:space="preserve"> info@studioecotecture.com</t>
  </si>
  <si>
    <t xml:space="preserve">STUDIO HDA </t>
  </si>
  <si>
    <t xml:space="preserve"> studiohda@gmail.com Contact: +88‐02‐9888123</t>
  </si>
  <si>
    <t>Contact: +88‐02‐9888123</t>
  </si>
  <si>
    <t xml:space="preserve"> studiohda@gmail.com </t>
  </si>
  <si>
    <t xml:space="preserve">STYLE LIVING ARCHITECTS LTD </t>
  </si>
  <si>
    <t xml:space="preserve"> chairman@stylelivingbd.com</t>
  </si>
  <si>
    <t xml:space="preserve">SYMBIOTIC ARCHITECTS &amp; ASSOCIATES </t>
  </si>
  <si>
    <t xml:space="preserve"> Symbiotic.aa@live.com Contact: +88‐02‐8991817</t>
  </si>
  <si>
    <t>Contact: +88‐02‐8991817</t>
  </si>
  <si>
    <t xml:space="preserve"> Symbiotic.aa@live.com </t>
  </si>
  <si>
    <t xml:space="preserve">SYNTHESIS ARCHITECTS </t>
  </si>
  <si>
    <t xml:space="preserve"> synthesisarchitectsbd@gmail.com, synthesis_arch@yahoo.com</t>
  </si>
  <si>
    <t xml:space="preserve">S &amp; ASSOCIATES </t>
  </si>
  <si>
    <t xml:space="preserve"> sabd5200@gmail.com Contact: +8801730303421</t>
  </si>
  <si>
    <t>Contact: +8801730303421</t>
  </si>
  <si>
    <t xml:space="preserve"> sabd5200@gmail.com </t>
  </si>
  <si>
    <t xml:space="preserve">SHATOTTO ARCHITECTURE FOR GREEN LIVING </t>
  </si>
  <si>
    <t xml:space="preserve"> shatotto@gmail.com</t>
  </si>
  <si>
    <t xml:space="preserve">SPACE ARCHITECTS, ENGINEERS, PLANNERS </t>
  </si>
  <si>
    <t xml:space="preserve"> fawad_hyder@yahoo.com  info@spacearcht.com Contact: +88‐02‐9840245, +8801979873387</t>
  </si>
  <si>
    <t>Contact: +88‐02‐9840245, +8801979873387</t>
  </si>
  <si>
    <t xml:space="preserve"> fawad_hyder@yahoo.com  info@spacearcht.com </t>
  </si>
  <si>
    <t xml:space="preserve">STHAPOTIK </t>
  </si>
  <si>
    <t xml:space="preserve"> sthapotik_arch@yahoo.com</t>
  </si>
  <si>
    <t xml:space="preserve">STUDIO DHAKA ARCHITECTS </t>
  </si>
  <si>
    <t xml:space="preserve"> studio.dhaka.architects@gmail.com</t>
  </si>
  <si>
    <t xml:space="preserve">STUDIO DHAKA LIMITED. </t>
  </si>
  <si>
    <t xml:space="preserve"> studiodhakaltd@gmail.com</t>
  </si>
  <si>
    <t>2001</t>
  </si>
  <si>
    <t xml:space="preserve">SYSTEM ARCHITECTS </t>
  </si>
  <si>
    <t xml:space="preserve"> nirjhar@systemarchitectsbd.com</t>
  </si>
  <si>
    <t xml:space="preserve">SILVERBRICKS </t>
  </si>
  <si>
    <t xml:space="preserve"> info@silverbricksbd.com Contact: +88‐01714084433</t>
  </si>
  <si>
    <t>Contact: +88‐01714084433</t>
  </si>
  <si>
    <t xml:space="preserve"> info@silverbricksbd.com </t>
  </si>
  <si>
    <t xml:space="preserve">STUDIO MORPHOGENESIS LTD. </t>
  </si>
  <si>
    <t xml:space="preserve"> design@studiomorphogenesis.com Contact: +88 01723819678 +88 02 9858862</t>
  </si>
  <si>
    <t>Contact: +88 01723819678 +88 02 9858862</t>
  </si>
  <si>
    <t xml:space="preserve"> design@studiomorphogenesis.com </t>
  </si>
  <si>
    <t xml:space="preserve">THE DESIGNERS </t>
  </si>
  <si>
    <t xml:space="preserve"> malikshaheen@yahoo.com Contact: +88‐02‐9850798</t>
  </si>
  <si>
    <t>Contact: +88‐02‐9850798</t>
  </si>
  <si>
    <t xml:space="preserve"> malikshaheen@yahoo.com </t>
  </si>
  <si>
    <t>1993</t>
  </si>
  <si>
    <t xml:space="preserve">TRIANGLE CONSULTANTS </t>
  </si>
  <si>
    <t xml:space="preserve"> shakoormajid@yahoo.com Contact: +88‐02‐8812109‐10</t>
  </si>
  <si>
    <t>Contact: +88‐02‐8812109‐10</t>
  </si>
  <si>
    <t xml:space="preserve"> shakoormajid@yahoo.com </t>
  </si>
  <si>
    <t xml:space="preserve">TANYA KARIM N.R. KHAN &amp; ASSOCIATES </t>
  </si>
  <si>
    <t xml:space="preserve"> mail@tknrk.com</t>
  </si>
  <si>
    <t xml:space="preserve">TARIQUE HASAN &amp; ASSOCIATES LTD. </t>
  </si>
  <si>
    <t xml:space="preserve"> tarique.37@gmail.com</t>
  </si>
  <si>
    <t xml:space="preserve">TRIOTECT &amp; ASSOCIATES LTD. </t>
  </si>
  <si>
    <t xml:space="preserve"> info@triotect.com.bd Contact: +8801777768366, +8801777768367</t>
  </si>
  <si>
    <t>Contact: +8801777768366, +8801777768367</t>
  </si>
  <si>
    <t xml:space="preserve"> info@triotect.com.bd </t>
  </si>
  <si>
    <t xml:space="preserve">UNITED CONSULTANT </t>
  </si>
  <si>
    <t xml:space="preserve"> mail.awpl@yahoo.com Contact: +88‐02‐9849303, +88‐02‐9849317</t>
  </si>
  <si>
    <t>Contact: +88‐02‐9849303, +88‐02‐9849317</t>
  </si>
  <si>
    <t xml:space="preserve"> mail.awpl@yahoo.com </t>
  </si>
  <si>
    <t xml:space="preserve">URBANA </t>
  </si>
  <si>
    <t xml:space="preserve"> urbana.communications@gmail.com Contact: +88‐02‐9671500, +88‐02‐9671515</t>
  </si>
  <si>
    <t>Contact: +88‐02‐9671500, +88‐02‐9671515</t>
  </si>
  <si>
    <t xml:space="preserve"> urbana.communications@gmail.com </t>
  </si>
  <si>
    <t xml:space="preserve">VASTUVITA ARCHITECTS </t>
  </si>
  <si>
    <t xml:space="preserve"> vita_arc@yahoo.com Contact: +88‐01678016706</t>
  </si>
  <si>
    <t>Contact: +88‐01678016706</t>
  </si>
  <si>
    <t xml:space="preserve"> vita_arc@yahoo.com </t>
  </si>
  <si>
    <t>2002</t>
  </si>
  <si>
    <t xml:space="preserve">VENNA ARCHITECTS </t>
  </si>
  <si>
    <t xml:space="preserve"> architects.venna@gmail.com, architect.asif@gmail.com Contact: +88‐02‐ 8625835</t>
  </si>
  <si>
    <t>Contact: +88‐02‐ 8625835</t>
  </si>
  <si>
    <t xml:space="preserve"> architects.venna@gmail.com, architect.asif@gmail.com </t>
  </si>
  <si>
    <t xml:space="preserve">VISTAARA ARCHITECTS </t>
  </si>
  <si>
    <t xml:space="preserve"> info@delvistaa.com Contact: +88‐02‐55044873, +88‐02‐55044874, +88‐02‐55044875</t>
  </si>
  <si>
    <t>Contact: +88‐02‐55044873, +88‐02‐55044874, +88‐02‐55044875</t>
  </si>
  <si>
    <t xml:space="preserve"> info@delvistaa.com </t>
  </si>
  <si>
    <t xml:space="preserve">VOLUMEZERO LIMITED </t>
  </si>
  <si>
    <t xml:space="preserve"> foyez@volumezeroltd.com</t>
  </si>
  <si>
    <t xml:space="preserve">VUU‐MAATRA CONSULTANTS </t>
  </si>
  <si>
    <t xml:space="preserve"> info@vuumaatra.com , ziaul.sharif@gmail.com , Contact: +88‐02‐58812326, 8801796585535</t>
  </si>
  <si>
    <t>Contact: +88‐02‐58812326, 8801796585535</t>
  </si>
  <si>
    <t xml:space="preserve"> info@vuumaatra.com , ziaul.sharif@gmail.com , </t>
  </si>
  <si>
    <t xml:space="preserve">VISTA ARCHITECTURAL CONSULTANT </t>
  </si>
  <si>
    <t xml:space="preserve"> dsarif14@yahoo.com, dsarifoffice@gmail.com Contact: +88‐01971566019</t>
  </si>
  <si>
    <t>Contact: +88‐01971566019</t>
  </si>
  <si>
    <t xml:space="preserve"> dsarif14@yahoo.com, dsarifoffice@gmail.com </t>
  </si>
  <si>
    <t>1991</t>
  </si>
  <si>
    <t xml:space="preserve">VITTI STHAPATI BRINDO LTD </t>
  </si>
  <si>
    <t xml:space="preserve"> vittibd@gmail.com Contact: +88 01912888015 +88 02‐8143471</t>
  </si>
  <si>
    <t>Contact: +88 01912888015 +88 02‐8143471</t>
  </si>
  <si>
    <t xml:space="preserve"> vittibd@gmail.com </t>
  </si>
  <si>
    <t xml:space="preserve">4 WALLS INSIDE OUTSIDE </t>
  </si>
  <si>
    <t xml:space="preserve"> wahidasif@gmaii.com Contact: +88 01711433431 +88 02‐9890003</t>
  </si>
  <si>
    <t>Contact: +88 01711433431 +88 02‐9890003</t>
  </si>
  <si>
    <t xml:space="preserve"> wahidasif@gmaii.com </t>
  </si>
  <si>
    <t>SPLIT BY "C"</t>
  </si>
  <si>
    <t>SPLITTED DATA</t>
  </si>
  <si>
    <t>COPIED FROM GOOD DATA</t>
  </si>
  <si>
    <t>JOINED ARRAY = JOIN()</t>
  </si>
  <si>
    <t xml:space="preserve">COPIED SPECIAL </t>
  </si>
  <si>
    <t>C-018) Managing Director</t>
  </si>
  <si>
    <t xml:space="preserve"> Managing Director</t>
  </si>
  <si>
    <t>N/A</t>
  </si>
  <si>
    <t>88-02-8901185, 8901180</t>
  </si>
  <si>
    <t>H-103) Principal Architect</t>
  </si>
  <si>
    <t xml:space="preserve"> Principal Architect</t>
  </si>
  <si>
    <t xml:space="preserve"> +88-02-8950536</t>
  </si>
  <si>
    <t>K-104) Architect</t>
  </si>
  <si>
    <t xml:space="preserve"> Architect</t>
  </si>
  <si>
    <t>88-02-9111557</t>
  </si>
  <si>
    <t>C-021) Principal Architect</t>
  </si>
  <si>
    <t xml:space="preserve"> +88-02-8837313</t>
  </si>
  <si>
    <t>K-022) Principal Architect</t>
  </si>
  <si>
    <t>88-02-8117462</t>
  </si>
  <si>
    <t xml:space="preserve">N-024) Partner Architect &amp; Ar. Subrata CH.Sikder </t>
  </si>
  <si>
    <t xml:space="preserve"> Partner Architect &amp; Ar. Subrata CH.Sikder </t>
  </si>
  <si>
    <t xml:space="preserve"> 01816506988, 01816506989</t>
  </si>
  <si>
    <t xml:space="preserve">K-106) Chairman &amp; Ar. Lutfullahil Majid </t>
  </si>
  <si>
    <t xml:space="preserve"> Chairman &amp; Ar. Lutfullahil Majid </t>
  </si>
  <si>
    <t>88-02-9138516</t>
  </si>
  <si>
    <t xml:space="preserve">M-090) Partner &amp; Ar. Wares-Ul-Ambia </t>
  </si>
  <si>
    <t xml:space="preserve"> Partner &amp; Ar. Wares-Ul-Ambia </t>
  </si>
  <si>
    <t xml:space="preserve"> 01713338002, 01819117710</t>
  </si>
  <si>
    <t>S-014) Managing Director</t>
  </si>
  <si>
    <t xml:space="preserve"> +88-02-8125830</t>
  </si>
  <si>
    <t>A-101) Proprietor</t>
  </si>
  <si>
    <t xml:space="preserve"> Proprietor</t>
  </si>
  <si>
    <t xml:space="preserve"> 044-78004350, 044-78004353</t>
  </si>
  <si>
    <t>I-047) Proprietor</t>
  </si>
  <si>
    <t>C-036) Chief Architect</t>
  </si>
  <si>
    <t xml:space="preserve"> Chief Architect</t>
  </si>
  <si>
    <t>88-02-8124698, 8116617</t>
  </si>
  <si>
    <t>U-006) CEO/Proprietor</t>
  </si>
  <si>
    <t xml:space="preserve"> CEO/Proprietor</t>
  </si>
  <si>
    <t xml:space="preserve"> +88-02-8151121</t>
  </si>
  <si>
    <t>L-007) Managing Director</t>
  </si>
  <si>
    <t>88-02-8813992, 9889360</t>
  </si>
  <si>
    <t>B-040) Chief Architect</t>
  </si>
  <si>
    <t xml:space="preserve"> +88-031-2867388</t>
  </si>
  <si>
    <t>A-182) Principal Architect</t>
  </si>
  <si>
    <t xml:space="preserve"> +88016179672992, +8801727672992</t>
  </si>
  <si>
    <t>M-084) CEO &amp; Proprietor</t>
  </si>
  <si>
    <t xml:space="preserve"> CEO &amp; Proprietor</t>
  </si>
  <si>
    <t>J-016) Managing Director</t>
  </si>
  <si>
    <t xml:space="preserve"> +88-02-9890855</t>
  </si>
  <si>
    <t>I-075) Principal Architect &amp; CEO</t>
  </si>
  <si>
    <t xml:space="preserve"> Principal Architect &amp; CEO</t>
  </si>
  <si>
    <t>A-180) Managing Partner</t>
  </si>
  <si>
    <t xml:space="preserve"> Managing Partner</t>
  </si>
  <si>
    <t>A-143) Principal Architect &amp; CEO</t>
  </si>
  <si>
    <t xml:space="preserve">R-044) Managing Director &amp; Ar. Fuad Hassan Mallick </t>
  </si>
  <si>
    <t xml:space="preserve"> Managing Director &amp; Ar. Fuad Hassan Mallick </t>
  </si>
  <si>
    <t xml:space="preserve"> +88-02-9862930, +8801711520963</t>
  </si>
  <si>
    <t>B-044) Architect</t>
  </si>
  <si>
    <t>S-135) Managing Director</t>
  </si>
  <si>
    <t>A-198) Proprietor</t>
  </si>
  <si>
    <t xml:space="preserve">A-198) Chairman &amp; Ar. Md. Shafiul Azam Shamim </t>
  </si>
  <si>
    <t xml:space="preserve"> Chairman &amp; Ar. Md. Shafiul Azam Shamim </t>
  </si>
  <si>
    <t>H-172) Managing Partner</t>
  </si>
  <si>
    <t xml:space="preserve"> +88-02-9882689, +8801712511535</t>
  </si>
  <si>
    <t>S-111) Principal Architect &amp; Managing Director</t>
  </si>
  <si>
    <t xml:space="preserve"> Principal Architect &amp; Managing Director</t>
  </si>
  <si>
    <t xml:space="preserve"> +88-02-8080884, +8801716526915</t>
  </si>
  <si>
    <t>U-006) Principal Architect</t>
  </si>
  <si>
    <t xml:space="preserve"> +88-02-8151121, +8801713037260</t>
  </si>
  <si>
    <t>M-116) Founder &amp; Lead Architect</t>
  </si>
  <si>
    <t xml:space="preserve"> Founder &amp; Lead Architect</t>
  </si>
  <si>
    <t xml:space="preserve"> +88-02-55098138, +8801755599208</t>
  </si>
  <si>
    <t>H-013) Managing Director</t>
  </si>
  <si>
    <t xml:space="preserve"> +88-02-9004662, +88-02-9004663</t>
  </si>
  <si>
    <t xml:space="preserve">H-149) Managing Partner &amp; Ar. Nusrat Sumaiya </t>
  </si>
  <si>
    <t xml:space="preserve"> Managing Partner &amp; Ar. Nusrat Sumaiya </t>
  </si>
  <si>
    <t xml:space="preserve"> +88 01815258257</t>
  </si>
  <si>
    <t>H-209) Principal Architect</t>
  </si>
  <si>
    <t xml:space="preserve"> +88 01758742536, +88 02-47215613</t>
  </si>
  <si>
    <t>I-047) Principal Architect</t>
  </si>
  <si>
    <t xml:space="preserve"> +88 01715035772</t>
  </si>
  <si>
    <t>E-008) Principal Architect</t>
  </si>
  <si>
    <t xml:space="preserve"> +88 01711829295</t>
  </si>
  <si>
    <t xml:space="preserve">K-022) Partner &amp; Ar. Md. Momanul Islam Emun </t>
  </si>
  <si>
    <t xml:space="preserve"> Partner &amp; Ar. Md. Momanul Islam Emun </t>
  </si>
  <si>
    <t>I‐020) Proprietor</t>
  </si>
  <si>
    <t>88‐02‐7252314</t>
  </si>
  <si>
    <t>I‐028) Proprietor</t>
  </si>
  <si>
    <t xml:space="preserve"> 09611689575‐6</t>
  </si>
  <si>
    <t xml:space="preserve">N‐029) Principal Architect &amp; Ar.Faisal Billah </t>
  </si>
  <si>
    <t xml:space="preserve"> Principal Architect &amp; Ar.Faisal Billah </t>
  </si>
  <si>
    <t>88‐02‐8715368</t>
  </si>
  <si>
    <t>S‐062) Proprietor</t>
  </si>
  <si>
    <t>88‐02‐9677467</t>
  </si>
  <si>
    <t>S‐155) Principal</t>
  </si>
  <si>
    <t xml:space="preserve"> Principal</t>
  </si>
  <si>
    <t xml:space="preserve"> +8801711593658, 8801713453239</t>
  </si>
  <si>
    <t>K‐108) Principal Architect</t>
  </si>
  <si>
    <t>88‐02‐8051994</t>
  </si>
  <si>
    <t>A‐040) Managing Director</t>
  </si>
  <si>
    <t xml:space="preserve"> +88‐01711534290</t>
  </si>
  <si>
    <t xml:space="preserve">I‐015) Managing Director &amp; Ar. Sayeda Sultana </t>
  </si>
  <si>
    <t xml:space="preserve"> Managing Director &amp; Ar. Sayeda Sultana </t>
  </si>
  <si>
    <t>K‐056) Managing Partner</t>
  </si>
  <si>
    <t xml:space="preserve">A‐194) Managing Director &amp; Ar. Ahmed Firoj Ul Hoque </t>
  </si>
  <si>
    <t xml:space="preserve"> Managing Director &amp; Ar. Ahmed Firoj Ul Hoque </t>
  </si>
  <si>
    <t>88‐02‐9870193</t>
  </si>
  <si>
    <t xml:space="preserve">H‐011) Managing Director &amp; Ar. Alfaz Hossain </t>
  </si>
  <si>
    <t xml:space="preserve"> Managing Director &amp; Ar. Alfaz Hossain </t>
  </si>
  <si>
    <t>88‐02‐8117694, 9137154</t>
  </si>
  <si>
    <t>H‐136) CEO</t>
  </si>
  <si>
    <t xml:space="preserve"> CEO</t>
  </si>
  <si>
    <t xml:space="preserve"> +88‐02‐ 8150612</t>
  </si>
  <si>
    <t>I‐019) Managing Director</t>
  </si>
  <si>
    <t xml:space="preserve"> +88‐02‐9886055</t>
  </si>
  <si>
    <t xml:space="preserve">J‐014) Managing Director &amp; Ar. Shamina Reza Ava </t>
  </si>
  <si>
    <t xml:space="preserve"> Managing Director &amp; Ar. Shamina Reza Ava </t>
  </si>
  <si>
    <t>88‐02‐9895183, 8834353</t>
  </si>
  <si>
    <t>A‐010) Proprietor</t>
  </si>
  <si>
    <t>88‐02‐8822629,9820968,9820969,9889418</t>
  </si>
  <si>
    <t>F‐012) Partner</t>
  </si>
  <si>
    <t xml:space="preserve"> Partner</t>
  </si>
  <si>
    <t xml:space="preserve"> : +8801711614551</t>
  </si>
  <si>
    <t>C‐069) Principal Architect</t>
  </si>
  <si>
    <t>S‐067) CEO &amp; Principal Architect</t>
  </si>
  <si>
    <t xml:space="preserve"> CEO &amp; Principal Architect</t>
  </si>
  <si>
    <t xml:space="preserve"> +88‐02‐9126473, 8801766490119</t>
  </si>
  <si>
    <t xml:space="preserve">AW‐007) Partner Architect &amp; Ar. Eshita Rahman </t>
  </si>
  <si>
    <t xml:space="preserve"> Partner Architect &amp; Ar. Eshita Rahman </t>
  </si>
  <si>
    <t xml:space="preserve"> +8801612880595, +8801965370464</t>
  </si>
  <si>
    <t xml:space="preserve">F‐010) Managing Partner &amp; Ar. Tanzim Hasan Salim </t>
  </si>
  <si>
    <t xml:space="preserve"> Managing Partner &amp; Ar. Tanzim Hasan Salim </t>
  </si>
  <si>
    <t>88‐02‐9125596, 8801819287680</t>
  </si>
  <si>
    <t>R‐134) Principal Architect &amp; Tanzir Choudhury Tuhin Partner</t>
  </si>
  <si>
    <t xml:space="preserve"> Principal Architect &amp; Tanzir Choudhury Tuhin Partner</t>
  </si>
  <si>
    <t xml:space="preserve"> +88 01711937254, +88 02‐9125596</t>
  </si>
  <si>
    <t xml:space="preserve">C‐031) Architect &amp; Partner &amp; Ar. Mahmudul Anwar Riyaad </t>
  </si>
  <si>
    <t xml:space="preserve"> Architect &amp; Partner &amp; Ar. Mahmudul Anwar Riyaad </t>
  </si>
  <si>
    <t xml:space="preserve"> +88 01712921323, +88 02‐9885564</t>
  </si>
  <si>
    <t xml:space="preserve">C‐031) Chairman &amp; Ar. Mahmudul Anwar Riyaad </t>
  </si>
  <si>
    <t xml:space="preserve"> Chairman &amp; Ar. Mahmudul Anwar Riyaad </t>
  </si>
  <si>
    <t xml:space="preserve"> +88 02‐222280802</t>
  </si>
  <si>
    <t>A‐028) Managing Director</t>
  </si>
  <si>
    <t xml:space="preserve"> +88‐02‐9660876, 9660851</t>
  </si>
  <si>
    <t>S‐075) Chairman &amp; Principal Architect</t>
  </si>
  <si>
    <t xml:space="preserve"> Chairman &amp; Principal Architect</t>
  </si>
  <si>
    <t xml:space="preserve"> +88‐02‐9145364, +8801819244544</t>
  </si>
  <si>
    <t>K‐047) Managing Director</t>
  </si>
  <si>
    <t xml:space="preserve"> +88‐02‐9890855</t>
  </si>
  <si>
    <t>A‐059) Principal Architect</t>
  </si>
  <si>
    <t xml:space="preserve"> +88‐02‐58151763</t>
  </si>
  <si>
    <t>I‐061) Proprietor &amp; Principal Architect</t>
  </si>
  <si>
    <t xml:space="preserve"> Proprietor &amp; Principal Architect</t>
  </si>
  <si>
    <t>88‐02‐7913394, 8957701</t>
  </si>
  <si>
    <t>M‐046) Principal Architect</t>
  </si>
  <si>
    <t>I‐044) Principal Architect</t>
  </si>
  <si>
    <t xml:space="preserve"> +88‐031‐618599, +88‐031‐2863269</t>
  </si>
  <si>
    <t>K‐027) CEO/Proprietor</t>
  </si>
  <si>
    <t>88‐02‐8191082</t>
  </si>
  <si>
    <t>N‐040) CEO</t>
  </si>
  <si>
    <t xml:space="preserve">H‐186) Managing Partner &amp; Ar. S M Ruhul Amin </t>
  </si>
  <si>
    <t xml:space="preserve"> Managing Partner &amp; Ar. S M Ruhul Amin </t>
  </si>
  <si>
    <t xml:space="preserve"> +88 01730096986, +88 01676057570</t>
  </si>
  <si>
    <t>I‐037) Principal Architect</t>
  </si>
  <si>
    <t xml:space="preserve"> +88 01714110471</t>
  </si>
  <si>
    <t>A‐159) Managing Director</t>
  </si>
  <si>
    <t xml:space="preserve"> +88‐02‐9144347</t>
  </si>
  <si>
    <t>H‐155) Principal Architect</t>
  </si>
  <si>
    <t xml:space="preserve"> +8801712573353, +8801681235750</t>
  </si>
  <si>
    <t xml:space="preserve">K‐083) Partner &amp; A.K.M. Abu Hasan </t>
  </si>
  <si>
    <t xml:space="preserve"> Partner &amp; A.K.M. Abu Hasan </t>
  </si>
  <si>
    <t xml:space="preserve"> +88‐02‐9880507</t>
  </si>
  <si>
    <t>T‐022) Principal Architect</t>
  </si>
  <si>
    <t>R‐089) Managing Director &amp; Principal Architect</t>
  </si>
  <si>
    <t xml:space="preserve"> Managing Director &amp; Principal Architect</t>
  </si>
  <si>
    <t>R‐104) Principal Architect</t>
  </si>
  <si>
    <t xml:space="preserve">B‐025) Sr. Partner &amp; Ar. Tamanna Sayeed </t>
  </si>
  <si>
    <t xml:space="preserve"> Sr. Partner &amp; Ar. Tamanna Sayeed </t>
  </si>
  <si>
    <t xml:space="preserve"> 02 58153033, +88 01713038759, +88 01717602792</t>
  </si>
  <si>
    <t>H‐233) Managing Director</t>
  </si>
  <si>
    <t xml:space="preserve"> +88 01912085801</t>
  </si>
  <si>
    <t xml:space="preserve">A‐087) Chairperson &amp; Ar. Jalal Ahmed </t>
  </si>
  <si>
    <t xml:space="preserve"> Chairperson &amp; Ar. Jalal Ahmed </t>
  </si>
  <si>
    <t>88‐02‐9889196, 9887311</t>
  </si>
  <si>
    <t>A‐121) Sr. Architect</t>
  </si>
  <si>
    <t xml:space="preserve"> Sr. Architect</t>
  </si>
  <si>
    <t xml:space="preserve"> +8801712621792, +8801942909110</t>
  </si>
  <si>
    <t xml:space="preserve">Y‐008) Managing Partner &amp; Ar. Dhrubajyoti Das </t>
  </si>
  <si>
    <t xml:space="preserve"> Managing Partner &amp; Ar. Dhrubajyoti Das </t>
  </si>
  <si>
    <t>88‐02‐8872212</t>
  </si>
  <si>
    <t>T‐006) CEO</t>
  </si>
  <si>
    <t>88‐02‐ 8142871</t>
  </si>
  <si>
    <t xml:space="preserve">R‐153) Managing Partner &amp; Ar. Kawsary Perveen </t>
  </si>
  <si>
    <t xml:space="preserve"> Managing Partner &amp; Ar. Kawsary Perveen </t>
  </si>
  <si>
    <t>8801717183918, 8801717068255</t>
  </si>
  <si>
    <t>K‐065) Managing Director</t>
  </si>
  <si>
    <t xml:space="preserve"> +88‐02‐8835831</t>
  </si>
  <si>
    <t xml:space="preserve">I‐041) Partner &amp; Ar. Hasina Shams </t>
  </si>
  <si>
    <t xml:space="preserve"> Partner &amp; Ar. Hasina Shams </t>
  </si>
  <si>
    <t xml:space="preserve"> +88 01711899081</t>
  </si>
  <si>
    <t>R‐087) Principal Architect</t>
  </si>
  <si>
    <t>I‐051) CEO</t>
  </si>
  <si>
    <t xml:space="preserve"> +8801723563209, +8801673545909</t>
  </si>
  <si>
    <t>S‐101) President &amp; Principal Architect</t>
  </si>
  <si>
    <t xml:space="preserve"> President &amp; Principal Architect</t>
  </si>
  <si>
    <t xml:space="preserve"> +88‐02‐9840957</t>
  </si>
  <si>
    <t xml:space="preserve">J‐013) Managing Partner &amp; Ar. Md. Ruhul Amin </t>
  </si>
  <si>
    <t xml:space="preserve"> Managing Partner &amp; Ar. Md. Ruhul Amin </t>
  </si>
  <si>
    <t>K‐132) Proprietor</t>
  </si>
  <si>
    <t>K‐077) Principal Architect</t>
  </si>
  <si>
    <t xml:space="preserve"> +88 01819221011, +88 02‐9845080</t>
  </si>
  <si>
    <t>M‐059) Managing Director</t>
  </si>
  <si>
    <t>88‐02‐9668945</t>
  </si>
  <si>
    <t>H‐109) Principal Architect</t>
  </si>
  <si>
    <t>S‐047) Managing Director</t>
  </si>
  <si>
    <t>88‐02‐9854672‐5,8812145,8815034,8816538 Fax: 9855153‐4</t>
  </si>
  <si>
    <t xml:space="preserve">H‐045) Managing Director &amp; Ar. Ferdous Ahmed </t>
  </si>
  <si>
    <t xml:space="preserve"> Managing Director &amp; Ar. Ferdous Ahmed </t>
  </si>
  <si>
    <t>88‐02‐9117689, 9126909</t>
  </si>
  <si>
    <t>S‐021) Principal Architect &amp; CEO</t>
  </si>
  <si>
    <t xml:space="preserve">A‐128) Partner &amp; Ar. Md. Mobinul Alam </t>
  </si>
  <si>
    <t xml:space="preserve"> Partner &amp; Ar. Md. Mobinul Alam </t>
  </si>
  <si>
    <t>U‐005) Proprietor &amp; Managing Partner</t>
  </si>
  <si>
    <t xml:space="preserve"> Proprietor &amp; Managing Partner</t>
  </si>
  <si>
    <t xml:space="preserve"> +88‐02‐8626480</t>
  </si>
  <si>
    <t>H‐107) Principal Architect</t>
  </si>
  <si>
    <t xml:space="preserve"> +88‐02‐9127032</t>
  </si>
  <si>
    <t>R‐061) Principal Architect</t>
  </si>
  <si>
    <t xml:space="preserve"> +88‐02‐9820896, +8801713017973</t>
  </si>
  <si>
    <t>H‐133) Principal Architect &amp; Partner</t>
  </si>
  <si>
    <t xml:space="preserve"> Principal Architect &amp; Partner</t>
  </si>
  <si>
    <t>88‐02‐9854352</t>
  </si>
  <si>
    <t xml:space="preserve">I‐091) Architect Partner &amp; Ar. Monon‐Bin‐Yunus </t>
  </si>
  <si>
    <t xml:space="preserve"> Architect Partner &amp; Ar. Monon‐Bin‐Yunus </t>
  </si>
  <si>
    <t xml:space="preserve"> +8801706602332, +8801815007774</t>
  </si>
  <si>
    <t>H‐071) Managing Director</t>
  </si>
  <si>
    <t xml:space="preserve"> +88‐02‐9334169, +88‐02‐9354491</t>
  </si>
  <si>
    <t>I‐060) Principal Architect</t>
  </si>
  <si>
    <t xml:space="preserve"> +88 01734017695 +88 01746506316</t>
  </si>
  <si>
    <t xml:space="preserve"> +88 01734017695, +88 01746506316</t>
  </si>
  <si>
    <t xml:space="preserve">J‐019) Managing Director &amp; Ar. Hasan Mahmud </t>
  </si>
  <si>
    <t xml:space="preserve"> Managing Director &amp; Ar. Hasan Mahmud </t>
  </si>
  <si>
    <t xml:space="preserve"> +88‐02‐8190746</t>
  </si>
  <si>
    <t>Q‐004) CEO</t>
  </si>
  <si>
    <t xml:space="preserve"> +88‐02‐9677467</t>
  </si>
  <si>
    <t>R‐105) Partner</t>
  </si>
  <si>
    <t>A‐023) Managing Director</t>
  </si>
  <si>
    <t xml:space="preserve"> +88‐02‐9358428, 8333384</t>
  </si>
  <si>
    <t>C‐0048) Principal Architect</t>
  </si>
  <si>
    <t>88‐02‐9892062</t>
  </si>
  <si>
    <t>A‐047) Chief Executive</t>
  </si>
  <si>
    <t xml:space="preserve"> Chief Executive</t>
  </si>
  <si>
    <t xml:space="preserve"> +88‐02‐8918765</t>
  </si>
  <si>
    <t>H‐134) Partner Architect</t>
  </si>
  <si>
    <t xml:space="preserve"> Partner Architect</t>
  </si>
  <si>
    <t xml:space="preserve"> +88‐02‐8711883, 8711884</t>
  </si>
  <si>
    <t>H‐055) Principal Architect</t>
  </si>
  <si>
    <t>M‐070) Managing Partner</t>
  </si>
  <si>
    <t xml:space="preserve"> +88‐02‐8813992, 9889360</t>
  </si>
  <si>
    <t>K‐030) Managing Director</t>
  </si>
  <si>
    <t>88‐02‐8191422</t>
  </si>
  <si>
    <t>H‐150) Chief Architect</t>
  </si>
  <si>
    <t xml:space="preserve"> +88‐02‐9888123</t>
  </si>
  <si>
    <t xml:space="preserve">R‐097) Chairman &amp; Ar. Jabid Akram </t>
  </si>
  <si>
    <t xml:space="preserve"> Chairman &amp; Ar. Jabid Akram </t>
  </si>
  <si>
    <t>S‐027) Managing Partner</t>
  </si>
  <si>
    <t xml:space="preserve"> +88‐02‐8991817</t>
  </si>
  <si>
    <t>R‐135) Partner</t>
  </si>
  <si>
    <t>88‐02‐9124105,9124638,8141642</t>
  </si>
  <si>
    <t>S‐089) CEO &amp; Sr. Architect</t>
  </si>
  <si>
    <t xml:space="preserve"> CEO &amp; Sr. Architect</t>
  </si>
  <si>
    <t>A‐055) Principal Architect</t>
  </si>
  <si>
    <t>H‐056) Proprietor</t>
  </si>
  <si>
    <t xml:space="preserve"> +88‐02‐9840245, +8801979873387</t>
  </si>
  <si>
    <t>A‐137) Proprietor</t>
  </si>
  <si>
    <t>I‐081) Principal Architect</t>
  </si>
  <si>
    <t>M‐086) Managing Director</t>
  </si>
  <si>
    <t>K‐058) Principal Architect &amp; CEO</t>
  </si>
  <si>
    <t xml:space="preserve">C‐040) Managing Partner &amp; Ar. Aniket Chowdhury </t>
  </si>
  <si>
    <t xml:space="preserve"> Managing Partner &amp; Ar. Aniket Chowdhury </t>
  </si>
  <si>
    <t xml:space="preserve"> +88‐01714084433</t>
  </si>
  <si>
    <t xml:space="preserve">K‐050) &amp; Ar. Minhaz Bin Gaffar </t>
  </si>
  <si>
    <t xml:space="preserve"> &amp; Ar. Minhaz Bin Gaffar </t>
  </si>
  <si>
    <t xml:space="preserve"> +88 01723819678 +88 02 9858862</t>
  </si>
  <si>
    <t xml:space="preserve"> +88 01723819678, +88 02 9858862</t>
  </si>
  <si>
    <t>M‐009) CEO</t>
  </si>
  <si>
    <t xml:space="preserve"> +88‐02‐9850798</t>
  </si>
  <si>
    <t>M‐031) CEO</t>
  </si>
  <si>
    <t xml:space="preserve"> +88‐02‐8812109‐10</t>
  </si>
  <si>
    <t xml:space="preserve">K‐049) Architect Partner &amp; Ar. Tanya Tazeen Karim </t>
  </si>
  <si>
    <t xml:space="preserve"> Architect Partner &amp; Ar. Tanya Tazeen Karim </t>
  </si>
  <si>
    <t>H‐097) Managing Director</t>
  </si>
  <si>
    <t xml:space="preserve">A‐236) Director &amp; Ar. Khondoker Arif Uzzaman </t>
  </si>
  <si>
    <t xml:space="preserve"> Director &amp; Ar. Khondoker Arif Uzzaman </t>
  </si>
  <si>
    <t xml:space="preserve"> +8801777768366, +8801777768367</t>
  </si>
  <si>
    <t>K‐073) Principal Architect</t>
  </si>
  <si>
    <t xml:space="preserve"> +88‐02‐9849303, +88‐02‐9849317</t>
  </si>
  <si>
    <t>C‐025) Principal Architect</t>
  </si>
  <si>
    <t xml:space="preserve"> +88‐02‐9671500, +88‐02‐9671515</t>
  </si>
  <si>
    <t xml:space="preserve">S‐077) Partner &amp; Ar. Faisal Ishtiaq Alam </t>
  </si>
  <si>
    <t xml:space="preserve"> Partner &amp; Ar. Faisal Ishtiaq Alam </t>
  </si>
  <si>
    <t xml:space="preserve"> +88‐01678016706</t>
  </si>
  <si>
    <t xml:space="preserve">H‐117) Managing Partner &amp; Ar. Arifa Akhter </t>
  </si>
  <si>
    <t xml:space="preserve"> Managing Partner &amp; Ar. Arifa Akhter </t>
  </si>
  <si>
    <t xml:space="preserve"> +88‐02‐ 8625835</t>
  </si>
  <si>
    <t xml:space="preserve">K‐037) Managing Director &amp; Ar. Shahzia Islam </t>
  </si>
  <si>
    <t xml:space="preserve"> Managing Director &amp; Ar. Shahzia Islam </t>
  </si>
  <si>
    <t xml:space="preserve"> +88‐02‐55044873, +88‐02‐55044874, +88‐02‐55044875</t>
  </si>
  <si>
    <t>U‐008) Managing Director</t>
  </si>
  <si>
    <t>S‐094) Chief Architect</t>
  </si>
  <si>
    <t xml:space="preserve"> +88‐02‐58812326, 8801796585535</t>
  </si>
  <si>
    <t>A‐079) Proprietor &amp; Principal Architect</t>
  </si>
  <si>
    <t xml:space="preserve"> +88‐01971566019</t>
  </si>
  <si>
    <t xml:space="preserve">Z‐011) Director &amp; Ar. Md. Iqbal Habib </t>
  </si>
  <si>
    <t xml:space="preserve"> Director &amp; Ar. Md. Iqbal Habib </t>
  </si>
  <si>
    <t xml:space="preserve"> +88 01912888015 +88 02‐8143471</t>
  </si>
  <si>
    <t xml:space="preserve"> +88 01912888015, +88 02‐8143471</t>
  </si>
  <si>
    <t>A‐117) Principal Architect</t>
  </si>
  <si>
    <t xml:space="preserve"> +88 01711433431 +88 02‐9890003</t>
  </si>
  <si>
    <t xml:space="preserve"> +88 01711433431, +88 02‐9890003</t>
  </si>
  <si>
    <t>SPLITING WEBSITE NAME BY "C"</t>
  </si>
  <si>
    <t>CLEAN WEBSITE</t>
  </si>
  <si>
    <t>MEMBER</t>
  </si>
  <si>
    <t>ARCHITECTURAL GRAD</t>
  </si>
  <si>
    <t>OFFICE ADDRESS</t>
  </si>
  <si>
    <t>right crop= RIGHT(CELL,25)</t>
  </si>
  <si>
    <t>split =SPLIT(CELL,",")</t>
  </si>
  <si>
    <t>THANA</t>
  </si>
  <si>
    <t>POSTCODE</t>
  </si>
  <si>
    <t xml:space="preserve"> www.abashan.com </t>
  </si>
  <si>
    <t>3 2 Total 5</t>
  </si>
  <si>
    <t xml:space="preserve"> Bengal Centre, Plot 2, Civil Aviation, New Airport Road, Khilkhet, Dhaka-1229</t>
  </si>
  <si>
    <t>1975 - 1979</t>
  </si>
  <si>
    <t>4 1 Total 5</t>
  </si>
  <si>
    <t xml:space="preserve"> House#29-31, Road#18, Sector#7, Uttara , Dhaka 1230</t>
  </si>
  <si>
    <t>1977 Total</t>
  </si>
  <si>
    <t xml:space="preserve"> www.akritybd.com </t>
  </si>
  <si>
    <t>1 7 Total 8</t>
  </si>
  <si>
    <t xml:space="preserve"> House-10/GA (GF), Road-2, Shyamoli, Dhaka</t>
  </si>
  <si>
    <t>1 3 Total 4</t>
  </si>
  <si>
    <t xml:space="preserve"> House #221(GF), Road -15, New DOHS, Mohakhali, Dhaka 1206.</t>
  </si>
  <si>
    <t>1978 Total</t>
  </si>
  <si>
    <t>5 3 Total 8</t>
  </si>
  <si>
    <t xml:space="preserve"> 60A, Road 7A, Dhanmondi, Dhaka-1209</t>
  </si>
  <si>
    <t>1980 - 1984</t>
  </si>
  <si>
    <t xml:space="preserve"> H#252,R#19(old),West Dhanmondi,Dhaka-1209</t>
  </si>
  <si>
    <t>1982 Total</t>
  </si>
  <si>
    <t xml:space="preserve"> www.archeground.com </t>
  </si>
  <si>
    <t>6 3 Total 9</t>
  </si>
  <si>
    <t xml:space="preserve"> “NoorMahal”, 44/1, Lake-Circus, Kalabagan, Dhaka-1205</t>
  </si>
  <si>
    <t>4 1 Total 05</t>
  </si>
  <si>
    <t xml:space="preserve"> 32/D, Road-10, Banani</t>
  </si>
  <si>
    <t>1984 Total</t>
  </si>
  <si>
    <t>1 5 Total 6</t>
  </si>
  <si>
    <t xml:space="preserve"> House# 1/4,Flat# C4,Block# C, Lalmatia, Dhaka-1207</t>
  </si>
  <si>
    <t>1985 - 1989</t>
  </si>
  <si>
    <t>3 1 Total 4</t>
  </si>
  <si>
    <t xml:space="preserve"> House-2/8, Block-E, Lalmatia, Dhaka</t>
  </si>
  <si>
    <t>1985 Total</t>
  </si>
  <si>
    <t xml:space="preserve"> www.archiworks.bd.wix.com/Home </t>
  </si>
  <si>
    <t>4 2 Total 6</t>
  </si>
  <si>
    <t xml:space="preserve"> House-48, Road-02, Block-B, Niketan, Gulshan 01, Dhaka-1212</t>
  </si>
  <si>
    <t xml:space="preserve"> www.archsel.com </t>
  </si>
  <si>
    <t>2 6 Total 8</t>
  </si>
  <si>
    <t xml:space="preserve"> 34/KA, Shyamoli Pisiculture H/S, Dhaka-1207</t>
  </si>
  <si>
    <t>1986 Total</t>
  </si>
  <si>
    <t>1 4 Total 5</t>
  </si>
  <si>
    <t xml:space="preserve"> 137-Jahanara Garden, 5th Floor, E-4, Green Road, Dhaka-1205</t>
  </si>
  <si>
    <t xml:space="preserve"> www.artisanbd.com </t>
  </si>
  <si>
    <t xml:space="preserve"> 56/A, DOHS Road, Old DOHS, Banani, Dhaka-1206</t>
  </si>
  <si>
    <t>1988 Total</t>
  </si>
  <si>
    <t xml:space="preserve"> Azad Bhaban (7th Floor), 79/A, Jamal Khan Road, Chittagong, Bangladesh</t>
  </si>
  <si>
    <t>3 3 Total 5</t>
  </si>
  <si>
    <t xml:space="preserve"> House-10, 2nd Floor, Road-03, Sector-05, Uttara, Dhaka 1230.</t>
  </si>
  <si>
    <t>1989 Total</t>
  </si>
  <si>
    <t xml:space="preserve"> http://aligngroupbd.com/webmail </t>
  </si>
  <si>
    <t>2 2 Total 4</t>
  </si>
  <si>
    <t xml:space="preserve"> House-14, Road-14, 1/Kha, Sugandha, Panchlish, Chittagong.</t>
  </si>
  <si>
    <t>1990 - 1994</t>
  </si>
  <si>
    <t>1 0 Total 1</t>
  </si>
  <si>
    <t xml:space="preserve"> 25, Gulshan Avenue, Taj Casilina (5th Floor), 6/E, Gulshan-1, Dhaka-1212</t>
  </si>
  <si>
    <t>1990 Total</t>
  </si>
  <si>
    <t xml:space="preserve"> www.archpmc.com </t>
  </si>
  <si>
    <t xml:space="preserve"> Plot-22, Road-12, Block-F, Niketan, Gulshan-1, Dhaka-1212</t>
  </si>
  <si>
    <t xml:space="preserve"> 14, KA, Ring Road, Khan Plaza, 3rd Floor, Shamoly, Dhaka</t>
  </si>
  <si>
    <t>1991 Total</t>
  </si>
  <si>
    <t>3 0 Total 3</t>
  </si>
  <si>
    <t xml:space="preserve"> House-33, Road-04, Dhanmondi, Dhaka-1205</t>
  </si>
  <si>
    <t>2 5 Total 7</t>
  </si>
  <si>
    <t xml:space="preserve"> House-28, Road-28, Block-K, Banani, Dhaka-1213</t>
  </si>
  <si>
    <t>1992 Total</t>
  </si>
  <si>
    <t>3 0 Total 03</t>
  </si>
  <si>
    <t xml:space="preserve"> 151, West Dhanmondi, Dhaka-1209</t>
  </si>
  <si>
    <t xml:space="preserve"> www.archytasltd.com </t>
  </si>
  <si>
    <t>1 Total 1</t>
  </si>
  <si>
    <t xml:space="preserve"> Road-36, House-16, Gulshan-2, Dhaka 1212.</t>
  </si>
  <si>
    <t>1993 Total</t>
  </si>
  <si>
    <t xml:space="preserve"> Lake Palisade, House 23, Level 02, Road 27, Dhanmondi, Dhaka 1209</t>
  </si>
  <si>
    <t>1995 - 1999</t>
  </si>
  <si>
    <t xml:space="preserve"> www.arquitecturabd.com </t>
  </si>
  <si>
    <t>6 2 Total 8</t>
  </si>
  <si>
    <t>1995 Total</t>
  </si>
  <si>
    <t xml:space="preserve"> www.ayoteek.com</t>
  </si>
  <si>
    <t>2 3 Total 5</t>
  </si>
  <si>
    <t xml:space="preserve"> House-B 115, 4th Floor, Lane-7,DOHS, Mohakhali, Dhaka 1206</t>
  </si>
  <si>
    <t xml:space="preserve"> www.architecturetomorrow.com</t>
  </si>
  <si>
    <t xml:space="preserve"> House-730 (Ground Floor), Road-10, Avenue-3/4, DOHS, Mirpur, Dhaka</t>
  </si>
  <si>
    <t>1996 Total</t>
  </si>
  <si>
    <t>2 1 Total 3</t>
  </si>
  <si>
    <t xml:space="preserve"> 137, Jahanara Garden, Green Road, 5th Floor, Dhaka-1205</t>
  </si>
  <si>
    <t xml:space="preserve"> www.architectshorizon.com</t>
  </si>
  <si>
    <t>3 Total 3</t>
  </si>
  <si>
    <t xml:space="preserve"> House-05, Road-14, Nikunja2, Khilkhat, Dhaka-1229</t>
  </si>
  <si>
    <t>1997 Total</t>
  </si>
  <si>
    <t>2 Total 2</t>
  </si>
  <si>
    <t xml:space="preserve"> 849/3, Begum Rokeya Sharani, 2nd Floor, Shewrapara, Mirpur, Dhaka-1216</t>
  </si>
  <si>
    <t>4 0 Total 4</t>
  </si>
  <si>
    <t xml:space="preserve"> House-60/A, Road-7/A, Dhanmondi R/A, Dhaka-1209</t>
  </si>
  <si>
    <t>1998 Total</t>
  </si>
  <si>
    <t>Total</t>
  </si>
  <si>
    <t xml:space="preserve"> Plot no-NEO/16, Block-C, Holding no-730, Khilgaon, Dhaka</t>
  </si>
  <si>
    <t xml:space="preserve"> archiworksbd.wixsite.com/home</t>
  </si>
  <si>
    <t xml:space="preserve"> House-48, Road-02, Block-B, 1st Floor, Niketan R/A, Gulshan-1, Dhaka-1212</t>
  </si>
  <si>
    <t>1999 Total</t>
  </si>
  <si>
    <t>03 Total 03</t>
  </si>
  <si>
    <t xml:space="preserve"> House-60/A, Road-7/A, Dhanmondi, Dhaka-1216</t>
  </si>
  <si>
    <t>2000 - 2004</t>
  </si>
  <si>
    <t>04 Total 04</t>
  </si>
  <si>
    <t>2000 Total</t>
  </si>
  <si>
    <t xml:space="preserve"> www.basatikalpa.com </t>
  </si>
  <si>
    <t>1 6 Total 7</t>
  </si>
  <si>
    <t xml:space="preserve"> 70/1 Naya Paltan, VIP Road, Dhaka‐1000</t>
  </si>
  <si>
    <t>5 15 Total 20</t>
  </si>
  <si>
    <t xml:space="preserve"> House‐02, Road‐14/A, Sector‐4, Uttara Model Town, Dhaka‐1230</t>
  </si>
  <si>
    <t>2001 Total</t>
  </si>
  <si>
    <t xml:space="preserve"> www.binyashltd.com </t>
  </si>
  <si>
    <t>7 9 Total 16</t>
  </si>
  <si>
    <t xml:space="preserve"> House‐480, Road‐32, New DOHS, Mohakhali, Dhaka‐1206</t>
  </si>
  <si>
    <t xml:space="preserve"> www.bksandassociates.com </t>
  </si>
  <si>
    <t xml:space="preserve"> House‐07, Road‐05, Apt‐5B, Block‐I, Banani, Dkaka‐1213</t>
  </si>
  <si>
    <t>2002 Total</t>
  </si>
  <si>
    <t xml:space="preserve"> The Emporium, D‐05, 14/1, Mirpur Road, Shyamoli, Dhaka‐1207</t>
  </si>
  <si>
    <t xml:space="preserve"> www.37bridge.net </t>
  </si>
  <si>
    <t xml:space="preserve"> 138, Darus Salam, Mirpur, Dhaka</t>
  </si>
  <si>
    <t>2003 Total</t>
  </si>
  <si>
    <t xml:space="preserve"> 3 rd Floor, 332, Elephant Road, Dhaka‐1205</t>
  </si>
  <si>
    <t>7 0 Total 7</t>
  </si>
  <si>
    <t xml:space="preserve"> CWN (B), 18/B, Road‐44, Gulshan‐2, Dhaka‐1212</t>
  </si>
  <si>
    <t>2004 Total</t>
  </si>
  <si>
    <t xml:space="preserve"> 65, Suvastu Imam Square, 5th Floor, Gulshan Avenue, Gulshan‐1, Dhaka‐1212</t>
  </si>
  <si>
    <t>2005 - 2009</t>
  </si>
  <si>
    <t xml:space="preserve"> www.cubeinsidebd.com </t>
  </si>
  <si>
    <t>7 3 Total 10</t>
  </si>
  <si>
    <t xml:space="preserve"> House‐5B, Road‐05, Block‐I, Banani, Dhaka‐1213</t>
  </si>
  <si>
    <t>2005 Total</t>
  </si>
  <si>
    <t xml:space="preserve"> www.deshupodesh.com </t>
  </si>
  <si>
    <t>2 17 Total 19</t>
  </si>
  <si>
    <t xml:space="preserve"> House 80/C (4th floor), Block‐D, Asad Avenue, Mohammadpur, Dhaka‐1207</t>
  </si>
  <si>
    <t xml:space="preserve"> 75 Indera Road, Metro Garden, Ground Floor, Flat‐GC, Dhaka‐1215</t>
  </si>
  <si>
    <t>2006 Total</t>
  </si>
  <si>
    <t>2 7 Total 9</t>
  </si>
  <si>
    <t xml:space="preserve"> House‐14, Road‐9, Sector‐4, Uttara</t>
  </si>
  <si>
    <t xml:space="preserve"> www.designvision.com.bd </t>
  </si>
  <si>
    <t>7 5 Total 12</t>
  </si>
  <si>
    <t xml:space="preserve"> AAA Tower, Plot‐80, Block‐J, baridhara pragati Sharani, Dhaka‐1212</t>
  </si>
  <si>
    <t>2007 Total</t>
  </si>
  <si>
    <t xml:space="preserve"> www.domusbdarchitects.com </t>
  </si>
  <si>
    <t>6 12 Total 18</t>
  </si>
  <si>
    <t xml:space="preserve"> Safura Tower(level 14), 20 Kamal Atartuk Avenue,Banani C/A, Banani ,Dhaka 1213</t>
  </si>
  <si>
    <t>3 3 Total 6</t>
  </si>
  <si>
    <t xml:space="preserve"> 6/10, 1st Floor, Lalmatia, Block‐A, Dhaka</t>
  </si>
  <si>
    <t>2008 Total</t>
  </si>
  <si>
    <t xml:space="preserve"> www.dehsarworks.com </t>
  </si>
  <si>
    <t>4 5 Total 9</t>
  </si>
  <si>
    <t xml:space="preserve"> Apt‐LV8, House‐10, Road‐6/A, Dhanmondi R/A, Dhaka‐1209</t>
  </si>
  <si>
    <t xml:space="preserve"> www.diagonalarchitects‐bd.com</t>
  </si>
  <si>
    <t>1 2 Total 3</t>
  </si>
  <si>
    <t xml:space="preserve"> Flat‐A‐14, (14 th Floor), Building‐12, Bashati Provati, Ring Road, Shyamoli, Dhaka‐1207.</t>
  </si>
  <si>
    <t>2009 Total</t>
  </si>
  <si>
    <t xml:space="preserve"> House‐40, Road‐12, Block‐Kha, PC Culture Housing Society, Mohammadpur, Dhaka‐1207</t>
  </si>
  <si>
    <t>2010 - 2014</t>
  </si>
  <si>
    <t xml:space="preserve"> www.dwg‐office.com </t>
  </si>
  <si>
    <t xml:space="preserve"> House‐56,Road‐27,Apt‐1 C1, Dhanmond R/A, Dhaka‐1209</t>
  </si>
  <si>
    <t>2010 Total</t>
  </si>
  <si>
    <t xml:space="preserve"> www.dasein‐bd.com</t>
  </si>
  <si>
    <t xml:space="preserve"> Unit: 1/C/1, House: 56, Road: 27(old), 16 (new), Dhanmondi, Dhaka‐1209.</t>
  </si>
  <si>
    <t xml:space="preserve"> www.dwm4.com</t>
  </si>
  <si>
    <t xml:space="preserve"> 236, Lake Road , New DOHS , Mohkhali , Dhaka ‐1206</t>
  </si>
  <si>
    <t>2011 Total</t>
  </si>
  <si>
    <t xml:space="preserve"> www.dwm4intrends.com</t>
  </si>
  <si>
    <t xml:space="preserve"> 236, Lake Road, New DOHS, Mohakhali, Dhaka‐1206</t>
  </si>
  <si>
    <t>6 9 Total 15</t>
  </si>
  <si>
    <t xml:space="preserve"> 86 Laboratory Road, Dhanmondi R/A, Dhaka‐1205</t>
  </si>
  <si>
    <t>2012 Total</t>
  </si>
  <si>
    <t xml:space="preserve"> 27/D, Monipuripara, Tejgaon, Dhaka‐1215</t>
  </si>
  <si>
    <t>10 3 Total 13</t>
  </si>
  <si>
    <t xml:space="preserve"> 25, Gulshan Avenue, Taj Casilina (5th Floor), 6/E, Gulshan‐1, Dhaka‐1212</t>
  </si>
  <si>
    <t>2013 Total</t>
  </si>
  <si>
    <t xml:space="preserve"> www.envision‐arch.org</t>
  </si>
  <si>
    <t xml:space="preserve"> 6/2, Block‐B, 1st Floor, Lalmatia, Dhaka‐1207</t>
  </si>
  <si>
    <t xml:space="preserve"> www.fourthdimensionbd.com </t>
  </si>
  <si>
    <t>2 12 Total 14</t>
  </si>
  <si>
    <t xml:space="preserve"> House‐25/A, Road‐18, Sector‐3, Uttara Model Town, Dhaka‐1230</t>
  </si>
  <si>
    <t>2014 Total</t>
  </si>
  <si>
    <t>2 4 Total 6</t>
  </si>
  <si>
    <t xml:space="preserve"> Flat‐B2, House‐29&amp;31, Road‐18, Sector‐7, Uttara, Dhaka‐1230</t>
  </si>
  <si>
    <t>2015 - 2019</t>
  </si>
  <si>
    <t xml:space="preserve"> Press Club Building, (2 nd Floor), Jamal Khan Road, Chittagong.</t>
  </si>
  <si>
    <t>2015 Total</t>
  </si>
  <si>
    <t xml:space="preserve"> www.gka‐bd.com </t>
  </si>
  <si>
    <t xml:space="preserve"> 5A, 5 th Floor, House‐99, Road‐11/A, Dhanmondi R/A, Dhaka‐1209</t>
  </si>
  <si>
    <t xml:space="preserve"> www.genesis.archi</t>
  </si>
  <si>
    <t xml:space="preserve"> House‐F‐214/3, Uttar Chaya Bithy, Gazipur Sadar, Gazipur‐1700</t>
  </si>
  <si>
    <t>2016 Total</t>
  </si>
  <si>
    <t xml:space="preserve"> www.gravityarchitecturestudio.com</t>
  </si>
  <si>
    <t>5 1 Total 6</t>
  </si>
  <si>
    <t xml:space="preserve"> House 268 (4th Floor‐Right), Road 19, New DOHS Mohakhali, Dhaka‐1206.</t>
  </si>
  <si>
    <t xml:space="preserve"> 101, R M Centre (Level‐3), CWN (C) 5, Gulshan Avenue, Gulshan, Dhaka‐121</t>
  </si>
  <si>
    <t>2017 Total</t>
  </si>
  <si>
    <t xml:space="preserve"> JMC Plaza, Flat‐A‐6, House‐8/A/9, Road‐13(New), Dhanmondi, Dhaka‐1209</t>
  </si>
  <si>
    <t xml:space="preserve"> House‐10/GA, Road‐2, Shyamoli, Dhaka‐1207</t>
  </si>
  <si>
    <t>2018 Total</t>
  </si>
  <si>
    <t>3 7 Total 10</t>
  </si>
  <si>
    <t xml:space="preserve"> House#394(3rd floor), Road#29, DOHS Mohakhali , Dhaka 1206</t>
  </si>
  <si>
    <t>2 0 Total 2</t>
  </si>
  <si>
    <t xml:space="preserve"> Icon Elan, House‐29, Road‐7, 1 st Floor, Dhanmondi, Dhaka‐1205</t>
  </si>
  <si>
    <t>2019 Total</t>
  </si>
  <si>
    <t xml:space="preserve"> www.studioinarch.com.bd </t>
  </si>
  <si>
    <t xml:space="preserve"> House‐140, 3rd Floor, Road‐04, New DOHS, Mohakhali, Dhaka‐1206</t>
  </si>
  <si>
    <t>2020 - 2024</t>
  </si>
  <si>
    <t xml:space="preserve"> www.facebook.com/insightarch</t>
  </si>
  <si>
    <t>6 1 Total 7</t>
  </si>
  <si>
    <t xml:space="preserve"> House‐122, Road‐01, Mohammadi Housing Society, Mohammadpur, Dhaka‐1207</t>
  </si>
  <si>
    <t xml:space="preserve"> www.inquestbd.com</t>
  </si>
  <si>
    <t>7 1 Total 8</t>
  </si>
  <si>
    <t xml:space="preserve"> House‐5/12, Ground Floor, Block‐D, Lalmatia, Dhaka‐1209</t>
  </si>
  <si>
    <t xml:space="preserve"> Flat‐C5, Mother’s Dream Apartments, 1/2, 1/3 Darussalam, Dhaka‐1216</t>
  </si>
  <si>
    <t xml:space="preserve"> www.jaarchitects.com.bd </t>
  </si>
  <si>
    <t>13 3 Total 16</t>
  </si>
  <si>
    <t xml:space="preserve"> Apt: C1, 1st Floor, Rabbee House, CEN(B)11, Road 99,Gulshan 2, Dhaka‐1212</t>
  </si>
  <si>
    <t xml:space="preserve"> 937, Flat‐G5, Eidgha Road, Ibrahimpur, Kafrul, Cantonment, Dhaka</t>
  </si>
  <si>
    <t xml:space="preserve"> www.khetro.com </t>
  </si>
  <si>
    <t xml:space="preserve"> Flat ‐1, House‐431,Road‐30,New DOHS,Mohakhali, Dhaka‐1206</t>
  </si>
  <si>
    <t xml:space="preserve"> www.khettraarchitects.com </t>
  </si>
  <si>
    <t xml:space="preserve"> H#72,Ground Floor,R#8/A, Dhanmondi,Dhaka‐1209</t>
  </si>
  <si>
    <t xml:space="preserve"> https://www.facebook.com/K2AHArchitects </t>
  </si>
  <si>
    <t xml:space="preserve"> House‐91, 1 st Floor, Road‐9/A, Dhanmondi, Dhaka‐1209</t>
  </si>
  <si>
    <t xml:space="preserve"> House‐337, Ground Floor, Road‐23, New DOHS, Mohakhali, Dhaka‐1206</t>
  </si>
  <si>
    <t xml:space="preserve"> 13‐B, Rupsha Tower, 07, Kemal Ataturk Avenue, Banani, Dhaka</t>
  </si>
  <si>
    <t xml:space="preserve"> House‐B‐181, (3rd Floor), Road‐23, New DOHS, Mohakhali, Dhaka‐1206</t>
  </si>
  <si>
    <t xml:space="preserve"> www.maatrik.net</t>
  </si>
  <si>
    <t xml:space="preserve"> 137/A/1, Jahanara Garden, Green Road, Dhaka‐1205</t>
  </si>
  <si>
    <t xml:space="preserve"> www.mw3.com.bd</t>
  </si>
  <si>
    <t>10 0 Total 10</t>
  </si>
  <si>
    <t xml:space="preserve"> House‐24 (7th Floor), Road‐14, Block‐G, Niketon, Gulshan‐1, Dhaka‐1212</t>
  </si>
  <si>
    <t xml:space="preserve"> www.nayreetarchitects.com </t>
  </si>
  <si>
    <t>5 18 Total 23</t>
  </si>
  <si>
    <t xml:space="preserve"> House‐14, Road‐13/C, Block‐E, Banani, Dhaka‐1213</t>
  </si>
  <si>
    <t>5 Total 5</t>
  </si>
  <si>
    <t xml:space="preserve"> House‐F5, Ground Floor, Block‐E, Jakir Hossain Road, Mohammadpur, Dhaka‐1207</t>
  </si>
  <si>
    <t xml:space="preserve"> www.nakshabid.com</t>
  </si>
  <si>
    <t xml:space="preserve"> 8, Kemal Ataturk Avenue, ABC House (5th Floor), Banani C/A, Dhaka‐1213.</t>
  </si>
  <si>
    <t xml:space="preserve"> www.olimahmud.com </t>
  </si>
  <si>
    <t>4 3 Total 7</t>
  </si>
  <si>
    <t xml:space="preserve"> 170‐171,Elephant Road (B‐1),Hatirpool ,Dhaka 1205</t>
  </si>
  <si>
    <t xml:space="preserve"> www.pracheesthapati.com </t>
  </si>
  <si>
    <t xml:space="preserve"> Room‐F‐5 (3 rd Floor), 113 Lake Circus, Kalabagan, Dhaka‐1205</t>
  </si>
  <si>
    <t xml:space="preserve"> www.profilelimited.com </t>
  </si>
  <si>
    <t>21 46 Total 67</t>
  </si>
  <si>
    <t xml:space="preserve"> House 18, Road 6,Gulshan‐1 , Dhaka 1213.</t>
  </si>
  <si>
    <t xml:space="preserve"> www.pulbd.com </t>
  </si>
  <si>
    <t>3 57 Total 60</t>
  </si>
  <si>
    <t xml:space="preserve"> House 2/16 (5th &amp; 6 th Fl), Block B, Lalmatia, Dhaka‐1207.</t>
  </si>
  <si>
    <t xml:space="preserve"> www.pronayon.com Contact: 031‐716066</t>
  </si>
  <si>
    <t xml:space="preserve"> www.pronayon.com </t>
  </si>
  <si>
    <t>7 23 Total 30</t>
  </si>
  <si>
    <t xml:space="preserve"> Comm.Court(3 rd Floor), 95 Agrabad C/A, Chittagong</t>
  </si>
  <si>
    <t xml:space="preserve"> House 112, Road‐06, Mohakhali, New DOHS, Dhaka‐1206</t>
  </si>
  <si>
    <t>6 4 Total 10</t>
  </si>
  <si>
    <t xml:space="preserve"> 8/44 Eastern Plaza (7th Floor), Sonargaon Road, Dhaka‐1205</t>
  </si>
  <si>
    <t xml:space="preserve"> 56, Lake Circus, Kalabagan (2 nd floor), West Panthapath, Dhaka‐1205</t>
  </si>
  <si>
    <t xml:space="preserve"> House‐44 (2 nd Floor), Road‐15, Block‐D, Banani, Dhaka‐1213</t>
  </si>
  <si>
    <t xml:space="preserve"> www.reincarnation‐bd.com </t>
  </si>
  <si>
    <t>6 5 Total 11</t>
  </si>
  <si>
    <t xml:space="preserve"> Apt‐5, House‐3, Road‐7, Block‐C, Niketon, Gulshan‐1, Dhaka‐1212</t>
  </si>
  <si>
    <t xml:space="preserve"> www.roofliners.org</t>
  </si>
  <si>
    <t>5 6 Total 11</t>
  </si>
  <si>
    <t xml:space="preserve"> Flat‐C1, House‐277, Road‐01, Baitul Aman Housing Society, Adabor, Mohammadpur, Dhaka‐1207</t>
  </si>
  <si>
    <t xml:space="preserve"> 14, Bijoy Nagar, 3rd Floor, Dhaka‐1000</t>
  </si>
  <si>
    <t xml:space="preserve"> www.riverandrain.net</t>
  </si>
  <si>
    <t xml:space="preserve"> H‐100B, Road‐6A, Banani DOHS, Banani, Dhaka‐1206</t>
  </si>
  <si>
    <t>4 6 Total 10</t>
  </si>
  <si>
    <t xml:space="preserve"> 539, Baitul Aman Housing Society, Road‐12, P.S. Adabor, P.O.‐Mohammedpur, Dhaka‐1207</t>
  </si>
  <si>
    <t xml:space="preserve"> Fattah Plaza (8 th Floor), 70 Green road, Dhaka‐1205</t>
  </si>
  <si>
    <t xml:space="preserve"> House‐60/A, Road‐7/A, Dhanmondi, Dhaka</t>
  </si>
  <si>
    <t xml:space="preserve"> 5, Outer Circular Road, Z.R. Tower (2 nd floor), Rajarbag, Dhaka‐1217</t>
  </si>
  <si>
    <t xml:space="preserve"> www.silt.com.bd </t>
  </si>
  <si>
    <t xml:space="preserve"> House‐204/A, Road‐09, New DOHS, Mohakhali, Dhaka‐1206</t>
  </si>
  <si>
    <t xml:space="preserve"> H‐78,Road 11, Sector 13,Uttara ,Dhaka 1230</t>
  </si>
  <si>
    <t>2 8 Total 10</t>
  </si>
  <si>
    <t xml:space="preserve"> House‐297B, Road‐19B, New DOHS, Mohakhali, Dhaka‐1206</t>
  </si>
  <si>
    <t xml:space="preserve"> 3/3, North Road, (4 th Floor), Dhanmondi‐1205</t>
  </si>
  <si>
    <t xml:space="preserve"> 211/1,Elephant Road, Dhaka‐1205</t>
  </si>
  <si>
    <t xml:space="preserve"> www.studioecotecture.com </t>
  </si>
  <si>
    <t xml:space="preserve"> 1 st Floor, H‐57/D, Road‐15A (New), 26 (old), Dhanmondi Res. Area, Dhaka‐1205.</t>
  </si>
  <si>
    <t xml:space="preserve"> 14/C,(Gr Floor), Road ‐02,Block‐ L, Banani , Dhaka.</t>
  </si>
  <si>
    <t xml:space="preserve"> www.stylelivingbd.com </t>
  </si>
  <si>
    <t>3 9 Total 12</t>
  </si>
  <si>
    <t xml:space="preserve"> Ramna Trade Center (8th Floor), 36/7 CDA Avenue, Muradpur, Chittagong</t>
  </si>
  <si>
    <t xml:space="preserve"> Ground Floor, House‐78, Road‐18, Sector‐11, Uttara, Dhaka‐1230</t>
  </si>
  <si>
    <t>12 14 Total 26</t>
  </si>
  <si>
    <t xml:space="preserve"> House‐30, Block‐KA, Pisci Culture H/S, Shamoly, Dhaka‐1207</t>
  </si>
  <si>
    <t xml:space="preserve"> 44/7‐A,B, 1 st Floor, Suite‐03, West Panthapoth, Dhaka</t>
  </si>
  <si>
    <t xml:space="preserve"> www.shatottogreen.com </t>
  </si>
  <si>
    <t>9 5 Total 14</t>
  </si>
  <si>
    <t xml:space="preserve"> House‐1/11, 2nd Floor, Iqbal Road, Mohammadpur, Dhaka‐1209</t>
  </si>
  <si>
    <t xml:space="preserve"> www.spacearcht.com</t>
  </si>
  <si>
    <t xml:space="preserve"> House#407 (5‐A), Road#29, New DOHS, Mohakhali, Dhaka 1206</t>
  </si>
  <si>
    <t xml:space="preserve"> www.sthapotik.com </t>
  </si>
  <si>
    <t>5 2 Total 7</t>
  </si>
  <si>
    <t xml:space="preserve"> House‐8/2, 1 st Floor, Block‐D, Lalmatia, Dhaka</t>
  </si>
  <si>
    <t xml:space="preserve"> www.studiodhakaarchitects.com </t>
  </si>
  <si>
    <t xml:space="preserve"> 44, Rabindra Sharani Road, Sector‐7, Uttara Model Town, Dhaka‐1230</t>
  </si>
  <si>
    <t xml:space="preserve"> www.studiodhaka.com </t>
  </si>
  <si>
    <t>4 7 Total 11</t>
  </si>
  <si>
    <t xml:space="preserve"> House‐91/1, Road‐11/A, Dhanmondi R/A, Dhaka‐1205</t>
  </si>
  <si>
    <t xml:space="preserve"> www.systemarchitectsbd.com </t>
  </si>
  <si>
    <t>4 9 Total 13</t>
  </si>
  <si>
    <t xml:space="preserve"> House‐31, [Celeste], Unit‐A2, Road‐20, Block‐K, Banani, Dhaka‐1213</t>
  </si>
  <si>
    <t>3 4 Total 7</t>
  </si>
  <si>
    <t xml:space="preserve"> 3 rd Floor, IEB Bhaban, S.S Khaled Road, Chattogram</t>
  </si>
  <si>
    <t xml:space="preserve"> www.studiomorphogenesis.com</t>
  </si>
  <si>
    <t xml:space="preserve"> Suite‐2D, House‐11, Road‐14, Gulshan‐1, Dhaka‐1212</t>
  </si>
  <si>
    <t xml:space="preserve"> House‐431, Road‐30, DOHS, Mohakhali, Dhaka‐1206</t>
  </si>
  <si>
    <t xml:space="preserve"> House 120(B),Road#1,Block#F, Banani , Dhaka‐1213</t>
  </si>
  <si>
    <t xml:space="preserve"> www.tknrk.com </t>
  </si>
  <si>
    <t>14 12 Total 26</t>
  </si>
  <si>
    <t xml:space="preserve"> Laboni‐2, Flat‐B1 &amp; C1, House‐24, Road‐9/A, Dhanmond R/A, Dhaka‐1209</t>
  </si>
  <si>
    <t xml:space="preserve"> www.thalbd.com </t>
  </si>
  <si>
    <t>5 0 Total 5</t>
  </si>
  <si>
    <t xml:space="preserve"> House‐31, Road‐06, Block‐C, Banani, Dhaka‐1213</t>
  </si>
  <si>
    <t xml:space="preserve"> www.triotect.com.bd</t>
  </si>
  <si>
    <t xml:space="preserve"> 25/2, Rani Garh (2nd Floor), Lake Circus, Kalabagan, Dhaka‐1205</t>
  </si>
  <si>
    <t xml:space="preserve"> House‐211, (2 nd &amp; 3rd), Lane‐13, Lake Road, New DOHS, Mohakhali, Dhaka‐1206</t>
  </si>
  <si>
    <t xml:space="preserve"> House‐56, Road‐5/A, Dhanmondi, Dhaka‐1209</t>
  </si>
  <si>
    <t xml:space="preserve"> Amelia, Suite:A6, House‐71, Road‐17, Sector‐11, Uttara, Dhaka‐1230</t>
  </si>
  <si>
    <t>3 6 Total 9</t>
  </si>
  <si>
    <t xml:space="preserve"> Level‐05, A K Complex, 19‐Green Road, Dhaka‐1205</t>
  </si>
  <si>
    <t>15 4 Total 19</t>
  </si>
  <si>
    <t xml:space="preserve"> Delvistaa Ruparup, Apt‐D1 &amp; B1, SE(H)6, Road‐143, Gulshan Model Town, Gulshan, Dhaka‐1212.</t>
  </si>
  <si>
    <t xml:space="preserve"> www.volumezeroltd.com </t>
  </si>
  <si>
    <t>23 04 Total 27</t>
  </si>
  <si>
    <t xml:space="preserve"> House‐135, Road‐04, Block‐A, Banani , Dhaka 1213.</t>
  </si>
  <si>
    <t xml:space="preserve"> www.vuumaatra.com</t>
  </si>
  <si>
    <t xml:space="preserve"> House ‐22, Road ‐12, Block‐F, Niketon Socoety, Gulshan‐1, Dhaka 1206.</t>
  </si>
  <si>
    <t xml:space="preserve"> House‐67/2/KA, Flat‐E/2, Zigatola, Dhaka‐1209</t>
  </si>
  <si>
    <t xml:space="preserve"> www.vitti.com.bd</t>
  </si>
  <si>
    <t xml:space="preserve"> 27/A, Level‐6&amp;7, Shangshad Avenue, Dhaka‐1215</t>
  </si>
  <si>
    <t xml:space="preserve"> www.4wallsbd.com</t>
  </si>
  <si>
    <t xml:space="preserve"> House‐246, Road‐19, New DOHS, Mohakhali, Dhaka‐1206</t>
  </si>
  <si>
    <t>Trimmed Thana</t>
  </si>
  <si>
    <t>Post code</t>
  </si>
  <si>
    <t>oad</t>
  </si>
  <si>
    <t xml:space="preserve"> Khilkhet</t>
  </si>
  <si>
    <t xml:space="preserve"> Dhaka-1229</t>
  </si>
  <si>
    <t>Khilkhet</t>
  </si>
  <si>
    <t>or#7</t>
  </si>
  <si>
    <t xml:space="preserve"> Uttara </t>
  </si>
  <si>
    <t xml:space="preserve"> Dhaka 1230</t>
  </si>
  <si>
    <t>Uttara</t>
  </si>
  <si>
    <t xml:space="preserve"> Road-2</t>
  </si>
  <si>
    <t xml:space="preserve"> Shyamoli</t>
  </si>
  <si>
    <t xml:space="preserve"> Dhaka</t>
  </si>
  <si>
    <t>Shyamoli</t>
  </si>
  <si>
    <t>S</t>
  </si>
  <si>
    <t xml:space="preserve"> Mohakhali</t>
  </si>
  <si>
    <t xml:space="preserve"> Dhaka 1206.</t>
  </si>
  <si>
    <t>Mohakhali</t>
  </si>
  <si>
    <t>7A</t>
  </si>
  <si>
    <t xml:space="preserve"> Dhanmondi</t>
  </si>
  <si>
    <t xml:space="preserve"> Dhaka-1209</t>
  </si>
  <si>
    <t>Dhanmondi</t>
  </si>
  <si>
    <t>West Dhanmondi</t>
  </si>
  <si>
    <t>Dhaka-1209</t>
  </si>
  <si>
    <t>us</t>
  </si>
  <si>
    <t xml:space="preserve"> Kalabagan</t>
  </si>
  <si>
    <t xml:space="preserve"> Dhaka-1205</t>
  </si>
  <si>
    <t>Kalabagan</t>
  </si>
  <si>
    <t xml:space="preserve"> 32/D</t>
  </si>
  <si>
    <t xml:space="preserve"> Road-10</t>
  </si>
  <si>
    <t xml:space="preserve"> Banani</t>
  </si>
  <si>
    <t>Road-10</t>
  </si>
  <si>
    <t># C</t>
  </si>
  <si>
    <t xml:space="preserve"> Lalmatia</t>
  </si>
  <si>
    <t xml:space="preserve"> Dhaka-1207</t>
  </si>
  <si>
    <t>Lalmatia</t>
  </si>
  <si>
    <t xml:space="preserve"> Block-E</t>
  </si>
  <si>
    <t>n</t>
  </si>
  <si>
    <t xml:space="preserve"> Gulshan 01</t>
  </si>
  <si>
    <t xml:space="preserve"> Dhaka-1212</t>
  </si>
  <si>
    <t>Gulshan 01</t>
  </si>
  <si>
    <t>siculture H/S</t>
  </si>
  <si>
    <t xml:space="preserve"> Shamoly</t>
  </si>
  <si>
    <t>Shamoly</t>
  </si>
  <si>
    <t xml:space="preserve"> Green Road</t>
  </si>
  <si>
    <t>Green Road</t>
  </si>
  <si>
    <t xml:space="preserve"> DOHS</t>
  </si>
  <si>
    <t xml:space="preserve"> Dhaka-1206</t>
  </si>
  <si>
    <t>Banani</t>
  </si>
  <si>
    <t>d</t>
  </si>
  <si>
    <t/>
  </si>
  <si>
    <t>r-05</t>
  </si>
  <si>
    <t xml:space="preserve"> Uttara</t>
  </si>
  <si>
    <t xml:space="preserve"> Dhaka 1230.</t>
  </si>
  <si>
    <t>a</t>
  </si>
  <si>
    <t>Sugandha</t>
  </si>
  <si>
    <t>/E</t>
  </si>
  <si>
    <t xml:space="preserve"> Gulshan-1</t>
  </si>
  <si>
    <t>Gulshan-1</t>
  </si>
  <si>
    <t>an</t>
  </si>
  <si>
    <t>3rd Floor</t>
  </si>
  <si>
    <t>ock-K</t>
  </si>
  <si>
    <t xml:space="preserve"> Dhaka-1213</t>
  </si>
  <si>
    <t>est Dhanmondi</t>
  </si>
  <si>
    <t xml:space="preserve"> Gulshan-2</t>
  </si>
  <si>
    <t xml:space="preserve"> Dhaka 1212.</t>
  </si>
  <si>
    <t>Gulshan-2</t>
  </si>
  <si>
    <t xml:space="preserve"> Dhaka 1209</t>
  </si>
  <si>
    <t>HS</t>
  </si>
  <si>
    <t xml:space="preserve"> Dhaka 1206</t>
  </si>
  <si>
    <t>-3/4</t>
  </si>
  <si>
    <t>DOHS Mirpur</t>
  </si>
  <si>
    <t>ad</t>
  </si>
  <si>
    <t>Green road</t>
  </si>
  <si>
    <t>ja2</t>
  </si>
  <si>
    <t xml:space="preserve"> Khilkhat</t>
  </si>
  <si>
    <t>Khilkhat</t>
  </si>
  <si>
    <t>apara</t>
  </si>
  <si>
    <t xml:space="preserve"> Mirpur</t>
  </si>
  <si>
    <t xml:space="preserve"> Dhaka-1216</t>
  </si>
  <si>
    <t>Mirpur</t>
  </si>
  <si>
    <t>Dhanmondi R/A</t>
  </si>
  <si>
    <t>g no-730</t>
  </si>
  <si>
    <t xml:space="preserve"> Khilgaon</t>
  </si>
  <si>
    <t>Khilgaon</t>
  </si>
  <si>
    <t>/A</t>
  </si>
  <si>
    <t>tan</t>
  </si>
  <si>
    <t>Naya paltan</t>
  </si>
  <si>
    <t xml:space="preserve"> Dhaka‐1000</t>
  </si>
  <si>
    <t>ra Model Town</t>
  </si>
  <si>
    <t xml:space="preserve">Uttara </t>
  </si>
  <si>
    <t xml:space="preserve"> Dhaka‐1230</t>
  </si>
  <si>
    <t xml:space="preserve"> Dhaka‐1206</t>
  </si>
  <si>
    <t>ock‐I</t>
  </si>
  <si>
    <t xml:space="preserve"> Dkaka‐1213</t>
  </si>
  <si>
    <t xml:space="preserve"> Dhaka‐1207</t>
  </si>
  <si>
    <t>arus Salam</t>
  </si>
  <si>
    <t>Elephant Road</t>
  </si>
  <si>
    <t xml:space="preserve"> Dhaka‐1205</t>
  </si>
  <si>
    <t xml:space="preserve"> Gulshan‐2</t>
  </si>
  <si>
    <t xml:space="preserve"> Dhaka‐1212</t>
  </si>
  <si>
    <t>Gulshan‐2</t>
  </si>
  <si>
    <t>ue</t>
  </si>
  <si>
    <t xml:space="preserve"> Gulshan‐1</t>
  </si>
  <si>
    <t>Gulshan‐1</t>
  </si>
  <si>
    <t xml:space="preserve"> Dhaka‐1213</t>
  </si>
  <si>
    <t xml:space="preserve"> Mohammadpur</t>
  </si>
  <si>
    <t>Mohammadpur</t>
  </si>
  <si>
    <t>loor</t>
  </si>
  <si>
    <t xml:space="preserve"> Dhaka‐1215</t>
  </si>
  <si>
    <t xml:space="preserve"> Road‐9</t>
  </si>
  <si>
    <t>agati Sharani</t>
  </si>
  <si>
    <t>Baridhara Pragati Sharani</t>
  </si>
  <si>
    <t>i C/A</t>
  </si>
  <si>
    <t xml:space="preserve"> Banani </t>
  </si>
  <si>
    <t>Dhaka 1213</t>
  </si>
  <si>
    <t xml:space="preserve"> Dhaka‐1209</t>
  </si>
  <si>
    <t xml:space="preserve"> Dhaka‐1207.</t>
  </si>
  <si>
    <t xml:space="preserve"> Dhanmond R/A</t>
  </si>
  <si>
    <t>Dhanmond R/A</t>
  </si>
  <si>
    <t>)</t>
  </si>
  <si>
    <t xml:space="preserve"> Dhaka‐1209.</t>
  </si>
  <si>
    <t xml:space="preserve"> Mohkhali </t>
  </si>
  <si>
    <t xml:space="preserve"> Dhaka ‐1206</t>
  </si>
  <si>
    <t>Mohkhali</t>
  </si>
  <si>
    <t>para</t>
  </si>
  <si>
    <t xml:space="preserve"> Tejgaon</t>
  </si>
  <si>
    <t>Tejgaon</t>
  </si>
  <si>
    <t>oor</t>
  </si>
  <si>
    <t>tor‐7</t>
  </si>
  <si>
    <t>al Khan Road</t>
  </si>
  <si>
    <t>zipur Sadar</t>
  </si>
  <si>
    <t>Gazipur Sadar</t>
  </si>
  <si>
    <t xml:space="preserve"> Gazipur‐1700</t>
  </si>
  <si>
    <t>HS Mohakhali</t>
  </si>
  <si>
    <t>DOHS Mohakhali</t>
  </si>
  <si>
    <t>venue</t>
  </si>
  <si>
    <t xml:space="preserve"> Gulshan</t>
  </si>
  <si>
    <t xml:space="preserve"> Dhaka‐121</t>
  </si>
  <si>
    <t>Gulshan</t>
  </si>
  <si>
    <t>w)</t>
  </si>
  <si>
    <t>d‐2</t>
  </si>
  <si>
    <t xml:space="preserve">HS Mohakhali </t>
  </si>
  <si>
    <t>or</t>
  </si>
  <si>
    <t>k‐D</t>
  </si>
  <si>
    <t>/3 Darussalam</t>
  </si>
  <si>
    <t>Darussalam</t>
  </si>
  <si>
    <t xml:space="preserve"> Dhaka‐1216</t>
  </si>
  <si>
    <t>Gulshan 2</t>
  </si>
  <si>
    <t>Kafrul</t>
  </si>
  <si>
    <t xml:space="preserve"> Cantonment</t>
  </si>
  <si>
    <t>Cantonment</t>
  </si>
  <si>
    <t>OHS</t>
  </si>
  <si>
    <t>8/A</t>
  </si>
  <si>
    <t>Dhaka‐1209</t>
  </si>
  <si>
    <t>urk Avenue</t>
  </si>
  <si>
    <t>on</t>
  </si>
  <si>
    <t>ock‐E</t>
  </si>
  <si>
    <t xml:space="preserve"> Banani C/A</t>
  </si>
  <si>
    <t xml:space="preserve"> Dhaka‐1213.</t>
  </si>
  <si>
    <t>Banani C/A</t>
  </si>
  <si>
    <t>‐1)</t>
  </si>
  <si>
    <t xml:space="preserve">Hatirpool </t>
  </si>
  <si>
    <t>Dhaka 1205</t>
  </si>
  <si>
    <t>Hatirpool</t>
  </si>
  <si>
    <t xml:space="preserve">Gulshan‐1 </t>
  </si>
  <si>
    <t xml:space="preserve"> Dhaka 1213.</t>
  </si>
  <si>
    <t xml:space="preserve"> B</t>
  </si>
  <si>
    <t>5 Agrabad C/A</t>
  </si>
  <si>
    <t xml:space="preserve"> Agrabad C/A</t>
  </si>
  <si>
    <t>Agrabad C/A</t>
  </si>
  <si>
    <t>ali</t>
  </si>
  <si>
    <t>NEW DOHS Mohakhali</t>
  </si>
  <si>
    <t>onargaon Road</t>
  </si>
  <si>
    <t>Sonargaon Road</t>
  </si>
  <si>
    <t>st Panthapath</t>
  </si>
  <si>
    <t>Panthapath</t>
  </si>
  <si>
    <t>ock‐D</t>
  </si>
  <si>
    <t>ar</t>
  </si>
  <si>
    <t>Bijay Nagar</t>
  </si>
  <si>
    <t>DOHS Banani</t>
  </si>
  <si>
    <t>.‐Mohammedpur</t>
  </si>
  <si>
    <t>70 Green road</t>
  </si>
  <si>
    <t>oad‐7/A</t>
  </si>
  <si>
    <t>or)</t>
  </si>
  <si>
    <t xml:space="preserve"> Rajarbag</t>
  </si>
  <si>
    <t xml:space="preserve"> Dhaka‐1217</t>
  </si>
  <si>
    <t>Rajarbag</t>
  </si>
  <si>
    <t>tor 13</t>
  </si>
  <si>
    <t>Dhaka 1230</t>
  </si>
  <si>
    <t>th Floor)</t>
  </si>
  <si>
    <t xml:space="preserve"> Dhanmondi‐1205</t>
  </si>
  <si>
    <t>Dhaka-1205</t>
  </si>
  <si>
    <t>Dhanmondi‐1205</t>
  </si>
  <si>
    <t>di Res. Area</t>
  </si>
  <si>
    <t xml:space="preserve"> Dhaka‐1205.</t>
  </si>
  <si>
    <t>Block‐ L</t>
  </si>
  <si>
    <t>nue</t>
  </si>
  <si>
    <t xml:space="preserve"> Muradpur</t>
  </si>
  <si>
    <t>Muradpur</t>
  </si>
  <si>
    <t>or‐11</t>
  </si>
  <si>
    <t xml:space="preserve"> H/S</t>
  </si>
  <si>
    <t xml:space="preserve"> West Panthapoth</t>
  </si>
  <si>
    <t>West Panthapoth</t>
  </si>
  <si>
    <t xml:space="preserve"> Block‐D</t>
  </si>
  <si>
    <t>ock‐K</t>
  </si>
  <si>
    <t>S Khaled Road</t>
  </si>
  <si>
    <t>ck#F</t>
  </si>
  <si>
    <t>ock‐C</t>
  </si>
  <si>
    <t>19‐Green Road</t>
  </si>
  <si>
    <t>own</t>
  </si>
  <si>
    <t xml:space="preserve"> Dhaka‐1212.</t>
  </si>
  <si>
    <t>k‐A</t>
  </si>
  <si>
    <t>y</t>
  </si>
  <si>
    <t>E/2</t>
  </si>
  <si>
    <t xml:space="preserve"> Zigatola</t>
  </si>
  <si>
    <t>Zigatola</t>
  </si>
  <si>
    <t>ngshad Avenue</t>
  </si>
  <si>
    <t>Sangshad Avenue</t>
  </si>
  <si>
    <t>S/L NO</t>
  </si>
  <si>
    <t>RATING</t>
  </si>
  <si>
    <t>RATING BY USERS</t>
  </si>
  <si>
    <t>RATING STATUS</t>
  </si>
  <si>
    <t>ESTABLISH YEAR</t>
  </si>
  <si>
    <t>5 YEARS PERIOD</t>
  </si>
  <si>
    <t>Division</t>
  </si>
  <si>
    <t>GOOGLE MAP NUMBER</t>
  </si>
  <si>
    <t>EMAIL ID</t>
  </si>
  <si>
    <t>CONTACT</t>
  </si>
  <si>
    <t>WEBSITE STATUS</t>
  </si>
  <si>
    <t>NAME OF PROPRIETOR/ PARTNER/ DIRECTOR</t>
  </si>
  <si>
    <t>LAB ID</t>
  </si>
  <si>
    <t>IAB MEMBER ARCHITECT</t>
  </si>
  <si>
    <t>ARCHITECTUAL GRADUATE</t>
  </si>
  <si>
    <t>Dhaka</t>
  </si>
  <si>
    <t>Dhaka-1212</t>
  </si>
  <si>
    <t>23.78471817192659, 90.39355162353645</t>
  </si>
  <si>
    <t xml:space="preserve">Ar. M. Wahid Asif </t>
  </si>
  <si>
    <t>A‐117</t>
  </si>
  <si>
    <t>Dhaka‐1215</t>
  </si>
  <si>
    <t>23.76083995046738, 90.38378993702942</t>
  </si>
  <si>
    <t xml:space="preserve">Ar. Md. Ishtiaque Zahir </t>
  </si>
  <si>
    <t>Z‐011</t>
  </si>
  <si>
    <t xml:space="preserve"> Director </t>
  </si>
  <si>
    <t>23.752268058903653, 90.36811958120683</t>
  </si>
  <si>
    <t xml:space="preserve">Ar. Dewan Shamsul Arif </t>
  </si>
  <si>
    <t>A‐079</t>
  </si>
  <si>
    <t>Dhaka-1206</t>
  </si>
  <si>
    <t>23.763841889719178, 90.44620089654917</t>
  </si>
  <si>
    <t xml:space="preserve">Ar. Mohammed Ziaul Sharif </t>
  </si>
  <si>
    <t>S‐094</t>
  </si>
  <si>
    <t>Dhaka-1213</t>
  </si>
  <si>
    <t>23.798513026660995, 90.4023375812078</t>
  </si>
  <si>
    <t xml:space="preserve">Ar. Mohammad Foyez Ullah </t>
  </si>
  <si>
    <t>U‐008</t>
  </si>
  <si>
    <t>Dhaka‐1212</t>
  </si>
  <si>
    <t>23.77485395401322, 90.41712606956251</t>
  </si>
  <si>
    <t>http://www.delvistaa.com/</t>
  </si>
  <si>
    <t xml:space="preserve">Ar. Khan Mohammed Mustapha Khalid </t>
  </si>
  <si>
    <t>K‐037</t>
  </si>
  <si>
    <t>Dhaka‐1205</t>
  </si>
  <si>
    <t>23.743731330676688, 90.3845571100422</t>
  </si>
  <si>
    <t xml:space="preserve">Ar.Asif Mohammed Ahsanul Haq </t>
  </si>
  <si>
    <t>H‐117</t>
  </si>
  <si>
    <t>Dhaka‐1230</t>
  </si>
  <si>
    <t>23.87610354976879, 90.38614498120941</t>
  </si>
  <si>
    <t xml:space="preserve">Ar. Amit Kumar Saha </t>
  </si>
  <si>
    <t>S‐077</t>
  </si>
  <si>
    <t xml:space="preserve"> Partner </t>
  </si>
  <si>
    <t>23.74257241938639, 90.37683461189079</t>
  </si>
  <si>
    <t xml:space="preserve">Ar. Mahboob‐E‐Sobhan Chowdhury </t>
  </si>
  <si>
    <t>C‐025</t>
  </si>
  <si>
    <t>Dhaka‐1206</t>
  </si>
  <si>
    <t>23.785097972054352, 90.39678587723381</t>
  </si>
  <si>
    <t xml:space="preserve">Ar. Md. Maruf Hossain Khan </t>
  </si>
  <si>
    <t>K‐073</t>
  </si>
  <si>
    <t>23.751963440677898, 90.38298863887788</t>
  </si>
  <si>
    <t xml:space="preserve">Ar. Md. Tareq Abdullah </t>
  </si>
  <si>
    <t>A‐236</t>
  </si>
  <si>
    <t>Dhaka‐1213</t>
  </si>
  <si>
    <t>23.792905701555522, 90.40277338305636</t>
  </si>
  <si>
    <t xml:space="preserve">Ar. Tarique Hasan </t>
  </si>
  <si>
    <t>H‐097</t>
  </si>
  <si>
    <t>23.74704118782205, 90.37515525421983</t>
  </si>
  <si>
    <t xml:space="preserve">Ar. Nurur Rahman Khan </t>
  </si>
  <si>
    <t>K‐049</t>
  </si>
  <si>
    <t xml:space="preserve"> Architect Partner </t>
  </si>
  <si>
    <t>23.758474200616877, 90.39009300183585</t>
  </si>
  <si>
    <t xml:space="preserve">Ar. Shakoor Majid </t>
  </si>
  <si>
    <t>M‐031</t>
  </si>
  <si>
    <t xml:space="preserve"> CEO </t>
  </si>
  <si>
    <t>23.779409638952664, 90.39287146771399</t>
  </si>
  <si>
    <t xml:space="preserve">Ar. Shaheen Malik </t>
  </si>
  <si>
    <t>M‐009</t>
  </si>
  <si>
    <t>23.755610094709596, 90.36684668305553</t>
  </si>
  <si>
    <t xml:space="preserve">Ar. Shahla Karim Kabir </t>
  </si>
  <si>
    <t>K‐050</t>
  </si>
  <si>
    <t>Chittagong</t>
  </si>
  <si>
    <t>S.S Khaled Road</t>
  </si>
  <si>
    <t>Chittagong-4000</t>
  </si>
  <si>
    <t>22.34683691096051, 91.82067011001391</t>
  </si>
  <si>
    <t xml:space="preserve">Ar. Mohammad Asaduzzaman Chowdhury </t>
  </si>
  <si>
    <t>C‐040</t>
  </si>
  <si>
    <t>23.797016945729325, 90.4077936100433</t>
  </si>
  <si>
    <t xml:space="preserve">Ar. Enamul Karim </t>
  </si>
  <si>
    <t>K‐058</t>
  </si>
  <si>
    <t>23.757777032666787, 90.37573953939142</t>
  </si>
  <si>
    <t xml:space="preserve">Ar. Muhammad Moniruzzaman </t>
  </si>
  <si>
    <t>M‐086</t>
  </si>
  <si>
    <t>23.872105885089315, 90.3953089353884</t>
  </si>
  <si>
    <t xml:space="preserve">Ar. Tarek Md. Saidul Islam </t>
  </si>
  <si>
    <t>I‐081</t>
  </si>
  <si>
    <t>23.755600639842648, 90.36904796068028</t>
  </si>
  <si>
    <t xml:space="preserve">Ar. Sharif Uddin Ahammed </t>
  </si>
  <si>
    <t>A‐137</t>
  </si>
  <si>
    <t>23.78343519518282, 90.39324136779985</t>
  </si>
  <si>
    <t xml:space="preserve">Ar. D.S. Fawad Hyder </t>
  </si>
  <si>
    <t>H‐056</t>
  </si>
  <si>
    <t>23.80416250153886, 90.42185511004345</t>
  </si>
  <si>
    <t xml:space="preserve">Ar. Md. Rafiq Azam </t>
  </si>
  <si>
    <t>A‐055</t>
  </si>
  <si>
    <t>23.783390082514114, 90.42555217131392</t>
  </si>
  <si>
    <t xml:space="preserve">Ar. Md. Raisul Rafi Shaon </t>
  </si>
  <si>
    <t>S‐089</t>
  </si>
  <si>
    <t>Dhaka‐1207</t>
  </si>
  <si>
    <t>23.78606749897671, 90.4023842388786</t>
  </si>
  <si>
    <t>http://synthesisarchitectsltd.com/</t>
  </si>
  <si>
    <t xml:space="preserve">Ar. Patrick D’Rozario </t>
  </si>
  <si>
    <t>R‐135</t>
  </si>
  <si>
    <t>23.875889114367144, 90.38717831004497</t>
  </si>
  <si>
    <t xml:space="preserve">Ar.Abul Bashar Md. Shamsuzzaman </t>
  </si>
  <si>
    <t>S‐027</t>
  </si>
  <si>
    <t>23.92599471543584, 90.3954021019114</t>
  </si>
  <si>
    <t xml:space="preserve">Ar. Md. Mizanur Rahman </t>
  </si>
  <si>
    <t>R‐097</t>
  </si>
  <si>
    <t xml:space="preserve"> Chairman </t>
  </si>
  <si>
    <t>23.821829682643305, 90.4486592720324</t>
  </si>
  <si>
    <t xml:space="preserve">Ar. Mohammad Maksumul Hoque </t>
  </si>
  <si>
    <t>H‐150</t>
  </si>
  <si>
    <t>23.75081578212644, 90.3876686812068</t>
  </si>
  <si>
    <t xml:space="preserve">Ar. S. M. Hasan Kabir </t>
  </si>
  <si>
    <t>K‐030</t>
  </si>
  <si>
    <t>23.739927903566798, 90.38976589839734</t>
  </si>
  <si>
    <t xml:space="preserve">Ar. Ashik Vaskor Mannan </t>
  </si>
  <si>
    <t>M‐070</t>
  </si>
  <si>
    <t>23.74402607167943, 90.38519972538428</t>
  </si>
  <si>
    <t xml:space="preserve">Ar. Saiful Hafiz </t>
  </si>
  <si>
    <t>H‐055</t>
  </si>
  <si>
    <t>23.78305230418637, 90.39543005024689</t>
  </si>
  <si>
    <t xml:space="preserve">Ar. Mobin Uddin Mohammed Helaly </t>
  </si>
  <si>
    <t>H‐134</t>
  </si>
  <si>
    <t xml:space="preserve"> Partner Architect </t>
  </si>
  <si>
    <t>Dhaka-1230</t>
  </si>
  <si>
    <t>23.872742019616545, 90.38574253905573</t>
  </si>
  <si>
    <t xml:space="preserve">Ar. Rafiul Alam </t>
  </si>
  <si>
    <t>A‐047</t>
  </si>
  <si>
    <t>23.796377046793463, 90.39954972353671</t>
  </si>
  <si>
    <t xml:space="preserve">Ar.Razib Hassan Chowdhury </t>
  </si>
  <si>
    <t>C‐0048</t>
  </si>
  <si>
    <t>IAB-RP-S03 B</t>
  </si>
  <si>
    <t>23.74655352723095, 90.37525431958963</t>
  </si>
  <si>
    <t xml:space="preserve">Ar. Tahmina Rumi </t>
  </si>
  <si>
    <t>R‐105</t>
  </si>
  <si>
    <t>IAB-RP-S03 A</t>
  </si>
  <si>
    <t>Dhaka‐1217</t>
  </si>
  <si>
    <t>23.76996713472815, 90.35767047580771</t>
  </si>
  <si>
    <t xml:space="preserve">Ar. Mukhtar Ahmed </t>
  </si>
  <si>
    <t>A‐023</t>
  </si>
  <si>
    <t>23.750777461100828, 90.38720366771337</t>
  </si>
  <si>
    <t xml:space="preserve">Ar. Mohammad Fazlul Quader </t>
  </si>
  <si>
    <t>Q‐004</t>
  </si>
  <si>
    <t>24.027397932067192, 90.34037618441523</t>
  </si>
  <si>
    <t xml:space="preserve">Ar.Mirza Shahper Jalil </t>
  </si>
  <si>
    <t>J‐019</t>
  </si>
  <si>
    <t>23.797377608984778, 90.39771446841131</t>
  </si>
  <si>
    <t xml:space="preserve">Ar. Kazi Fida Islam </t>
  </si>
  <si>
    <t>I‐060</t>
  </si>
  <si>
    <t>Dhaka‐1000</t>
  </si>
  <si>
    <t>23.73612214687025, 90.41144452353548</t>
  </si>
  <si>
    <t xml:space="preserve">Ar. A.K.M. Quamrul Hasan </t>
  </si>
  <si>
    <t>H‐071</t>
  </si>
  <si>
    <t>23.761483046650962, 90.37129236956228</t>
  </si>
  <si>
    <t xml:space="preserve">Ar. Sarawat Iqbal </t>
  </si>
  <si>
    <t>I‐091</t>
  </si>
  <si>
    <t>23.773371229806212, 90.41346692091675</t>
  </si>
  <si>
    <t xml:space="preserve">Ar. Khandoker Abdal Hossain </t>
  </si>
  <si>
    <t>H‐133</t>
  </si>
  <si>
    <t>23.795833933280854, 90.40076397965554</t>
  </si>
  <si>
    <t xml:space="preserve">Ar. Riad Rouf </t>
  </si>
  <si>
    <t>R‐061</t>
  </si>
  <si>
    <t>23.752323219345566, 90.38068534072652</t>
  </si>
  <si>
    <t xml:space="preserve">Ar. Shakhawat Tanvir Hossain </t>
  </si>
  <si>
    <t>H‐107</t>
  </si>
  <si>
    <t>23.75000452383437, 90.37460136956199</t>
  </si>
  <si>
    <t xml:space="preserve">Ar. Abu Hena Md. Zia Uddin </t>
  </si>
  <si>
    <t>U‐005</t>
  </si>
  <si>
    <t>23.782738072340365, 90.39424986824271</t>
  </si>
  <si>
    <t xml:space="preserve">Ar. Jalal Uddin Md. Akbar </t>
  </si>
  <si>
    <t>A‐128</t>
  </si>
  <si>
    <t>Chittagong-4100</t>
  </si>
  <si>
    <t>22.326384146203026, 91.8147852100135</t>
  </si>
  <si>
    <t xml:space="preserve">Ar. Sohail M Shakoor </t>
  </si>
  <si>
    <t>S‐021</t>
  </si>
  <si>
    <t>23.757583307999198, 90.37081401189111</t>
  </si>
  <si>
    <t xml:space="preserve">Ar. Shahidul Hasan Azad </t>
  </si>
  <si>
    <t>H‐045</t>
  </si>
  <si>
    <t>23.777633150587725, 90.41320298305601</t>
  </si>
  <si>
    <t>88‐02‐9854672‐5,8812145,8815034,8816538, 9855153‐4</t>
  </si>
  <si>
    <t>Ar. Md. Abdus Salam</t>
  </si>
  <si>
    <t>S‐047</t>
  </si>
  <si>
    <t>23.747804647894526, 90.38167832538436</t>
  </si>
  <si>
    <t xml:space="preserve">Ar. Saumen Hazra </t>
  </si>
  <si>
    <t>H‐109</t>
  </si>
  <si>
    <t>23.742123874405724, 90.38500342353557</t>
  </si>
  <si>
    <t xml:space="preserve">Ar. Oli Mahmud </t>
  </si>
  <si>
    <t>M‐059</t>
  </si>
  <si>
    <t>23.794125567449782, 90.4030534505235</t>
  </si>
  <si>
    <t xml:space="preserve">Ar. Bayejid Mahbub Khondker </t>
  </si>
  <si>
    <t>K‐077</t>
  </si>
  <si>
    <t>23.758281212012054, 90.36690488305562</t>
  </si>
  <si>
    <t xml:space="preserve">Ar. Mohammed Razaoull Karim </t>
  </si>
  <si>
    <t>K‐132</t>
  </si>
  <si>
    <t>23.79200352236157, 90.40734479654974</t>
  </si>
  <si>
    <t xml:space="preserve">Ar. Shaila Joarder </t>
  </si>
  <si>
    <t>J‐013</t>
  </si>
  <si>
    <t>23.772819125058263, 90.40811908435187</t>
  </si>
  <si>
    <t xml:space="preserve">Ar. Mahtab Hussain Siddique </t>
  </si>
  <si>
    <t>S‐101</t>
  </si>
  <si>
    <t xml:space="preserve"> President </t>
  </si>
  <si>
    <t>23.93705688495512, 90.36234883956975</t>
  </si>
  <si>
    <t xml:space="preserve">Ar. Md. Aminul Islam </t>
  </si>
  <si>
    <t>I‐051</t>
  </si>
  <si>
    <t>23.784935315887367, 90.39578724887842</t>
  </si>
  <si>
    <t xml:space="preserve">Ar. Muhammed Miraz Ur Rahman </t>
  </si>
  <si>
    <t>R‐087</t>
  </si>
  <si>
    <t>24.299291164528118, 90.42141580893812</t>
  </si>
  <si>
    <t>http://kalpakarchitects.com/</t>
  </si>
  <si>
    <t xml:space="preserve">Ar. Kazi Touhidul Islam </t>
  </si>
  <si>
    <t>I‐041</t>
  </si>
  <si>
    <t>23.76710979259237, 90.36233872389313</t>
  </si>
  <si>
    <t xml:space="preserve">Ar. A.K.M Lutful Kabir </t>
  </si>
  <si>
    <t>K‐065</t>
  </si>
  <si>
    <t>23.74791105350297, 90.36914738222643</t>
  </si>
  <si>
    <t xml:space="preserve">Ar. Ahsanul Haque Rubel </t>
  </si>
  <si>
    <t>R‐153</t>
  </si>
  <si>
    <t>23.76810976457134, 90.36244053273631</t>
  </si>
  <si>
    <t xml:space="preserve">Ar. Mainul Quader Tito </t>
  </si>
  <si>
    <t>T‐006</t>
  </si>
  <si>
    <t>23.77377076312006, 90.40801664351966</t>
  </si>
  <si>
    <t>Ar. Al Numan Md. Yunus</t>
  </si>
  <si>
    <t>Y‐008</t>
  </si>
  <si>
    <t>23.794178418088265, 90.38412338305636</t>
  </si>
  <si>
    <t xml:space="preserve">Ar. Mrinmoy Adhikary </t>
  </si>
  <si>
    <t>A‐121</t>
  </si>
  <si>
    <t>23.79449639992054, 90.41921088305641</t>
  </si>
  <si>
    <t xml:space="preserve">Ar. Afroza Ahmed </t>
  </si>
  <si>
    <t>A‐087</t>
  </si>
  <si>
    <t>Dhaka‐1216</t>
  </si>
  <si>
    <t>23.76098510268529, 90.38394908305571</t>
  </si>
  <si>
    <t xml:space="preserve">Ar. Syed Abdul Halim </t>
  </si>
  <si>
    <t>H‐233</t>
  </si>
  <si>
    <t>23.756289721867663, 90.36740161256083</t>
  </si>
  <si>
    <t xml:space="preserve">Ar. Selim Altaf Biplob </t>
  </si>
  <si>
    <t>B‐025</t>
  </si>
  <si>
    <t xml:space="preserve"> Sr. Partner </t>
  </si>
  <si>
    <t>23.7632603202664, 90.35753911835289</t>
  </si>
  <si>
    <t xml:space="preserve">Ar. Masud Ur Rashid </t>
  </si>
  <si>
    <t>R‐104</t>
  </si>
  <si>
    <t>23.783246579961467, 90.39810268305614</t>
  </si>
  <si>
    <t xml:space="preserve">Ar. Mohammad Mamunur Rasheed </t>
  </si>
  <si>
    <t>R‐089</t>
  </si>
  <si>
    <t>23.739840858349716, 90.38869363140311</t>
  </si>
  <si>
    <t xml:space="preserve">Ar. Suriti Tassannum </t>
  </si>
  <si>
    <t>T‐022</t>
  </si>
  <si>
    <t>23.78024240107489, 90.39398382790301</t>
  </si>
  <si>
    <t xml:space="preserve">Ar. Anwarul Islam Khan </t>
  </si>
  <si>
    <t>K‐083</t>
  </si>
  <si>
    <t>23.77237013103287, 90.35834859654935</t>
  </si>
  <si>
    <t xml:space="preserve">Ar. Md. Emdadul Habib </t>
  </si>
  <si>
    <t>H‐155</t>
  </si>
  <si>
    <t>23.753526847736953, 90.37432922991088</t>
  </si>
  <si>
    <t xml:space="preserve">Ar. Moushumi Ahmed </t>
  </si>
  <si>
    <t>A‐159</t>
  </si>
  <si>
    <t>23.7888760176817, 90.41605729160521</t>
  </si>
  <si>
    <t xml:space="preserve">Ar. Mohammad Hasan Imam </t>
  </si>
  <si>
    <t>I‐037</t>
  </si>
  <si>
    <t>23.784062461245224, 90.39365213887855</t>
  </si>
  <si>
    <t xml:space="preserve">Ar. Md. Nahid Hasan </t>
  </si>
  <si>
    <t>H‐186</t>
  </si>
  <si>
    <t>Gazipur‐1700</t>
  </si>
  <si>
    <t>24.00047061108824, 90.4271550388831</t>
  </si>
  <si>
    <t xml:space="preserve">Ar. Noymul Haque Nohon </t>
  </si>
  <si>
    <t>N‐040</t>
  </si>
  <si>
    <t>23.75150266033471, 90.37446328305549</t>
  </si>
  <si>
    <t xml:space="preserve">Ar. Ghausul Alam Khan </t>
  </si>
  <si>
    <t>K‐027</t>
  </si>
  <si>
    <t>Jamal Khan Road</t>
  </si>
  <si>
    <t>22.34788528937057, 91.83437849180812</t>
  </si>
  <si>
    <t xml:space="preserve">Ar. Ashiq Imran </t>
  </si>
  <si>
    <t>I‐044</t>
  </si>
  <si>
    <t>23.86935401404672, 90.39430726771586</t>
  </si>
  <si>
    <t xml:space="preserve">Ar. Falguni Mallick </t>
  </si>
  <si>
    <t>M‐046</t>
  </si>
  <si>
    <t>23.86355417986278, 90.40049162430385</t>
  </si>
  <si>
    <t xml:space="preserve">Ar. A. F. M. Ashek Imran </t>
  </si>
  <si>
    <t>I‐061</t>
  </si>
  <si>
    <t>23.75630375407839, 90.36744888305554</t>
  </si>
  <si>
    <t xml:space="preserve">Ar. Qazi Muhammad Arif </t>
  </si>
  <si>
    <t>A‐059</t>
  </si>
  <si>
    <t>23.777735905185544, 90.4163284388784</t>
  </si>
  <si>
    <t xml:space="preserve">Ar. Md. Ehsan Khan </t>
  </si>
  <si>
    <t>K‐047</t>
  </si>
  <si>
    <t>23.760511789703887, 90.38431521189119</t>
  </si>
  <si>
    <t xml:space="preserve">Ar. Tanwir Serajuddowla </t>
  </si>
  <si>
    <t>S‐075</t>
  </si>
  <si>
    <t>23.805179307027867, 90.41178540514979</t>
  </si>
  <si>
    <t xml:space="preserve">Ar. Moid Ul Ahsan </t>
  </si>
  <si>
    <t>A‐028</t>
  </si>
  <si>
    <t>23.782849969281088, 90.393235467714</t>
  </si>
  <si>
    <t xml:space="preserve">Ar. Mamnoon M. Chowdhury </t>
  </si>
  <si>
    <t>C‐031</t>
  </si>
  <si>
    <t>Dhaka-‐1206</t>
  </si>
  <si>
    <t>23.784030343703414, 90.39510103407575</t>
  </si>
  <si>
    <t>23.746008295710574, 90.3765915049313</t>
  </si>
  <si>
    <t xml:space="preserve">Ar. Md Rashidur Rahman </t>
  </si>
  <si>
    <t>R‐134</t>
  </si>
  <si>
    <t>23.746401798508423, 90.37414533261601</t>
  </si>
  <si>
    <t xml:space="preserve">Ar. Naheed Farzana </t>
  </si>
  <si>
    <t>F‐010</t>
  </si>
  <si>
    <t>23.75991416981437, 90.35939198888444</t>
  </si>
  <si>
    <t xml:space="preserve">Ar. M Shihabul Wares </t>
  </si>
  <si>
    <t>AW‐007</t>
  </si>
  <si>
    <t>23.980865433390747, 90.2799527388827</t>
  </si>
  <si>
    <t xml:space="preserve">Ar. Fairoze Shamim </t>
  </si>
  <si>
    <t>S‐067</t>
  </si>
  <si>
    <t>23.74718743597505, 90.37448865535282</t>
  </si>
  <si>
    <t xml:space="preserve">Ar. Rashed Hassan Chowdhury </t>
  </si>
  <si>
    <t>C‐069</t>
  </si>
  <si>
    <t>23.76276794480795, 90.37109503702945</t>
  </si>
  <si>
    <t xml:space="preserve">Ar. Abu Anas Faisal </t>
  </si>
  <si>
    <t>F‐012</t>
  </si>
  <si>
    <t>23.794038218363852, 90.4040851830564</t>
  </si>
  <si>
    <t xml:space="preserve">Ar. Mustafa Ameen </t>
  </si>
  <si>
    <t>A‐010</t>
  </si>
  <si>
    <t>23.803501523304874, 90.42323728647759</t>
  </si>
  <si>
    <t xml:space="preserve">Ar. Alamgir Jalil </t>
  </si>
  <si>
    <t>J‐014</t>
  </si>
  <si>
    <t>23.757882003000173, 90.3774568830879</t>
  </si>
  <si>
    <t xml:space="preserve">Ar. Tajul Islam </t>
  </si>
  <si>
    <t>I‐019</t>
  </si>
  <si>
    <t>Shahabag</t>
  </si>
  <si>
    <t>23.75643438224403, 90.38442022975161</t>
  </si>
  <si>
    <t>https://designcellbd.com/</t>
  </si>
  <si>
    <t xml:space="preserve">Ar. Arif Hasan </t>
  </si>
  <si>
    <t>H‐136</t>
  </si>
  <si>
    <t>23.756204140288, 90.37290843031468</t>
  </si>
  <si>
    <t xml:space="preserve">Ar. Munirul Haque </t>
  </si>
  <si>
    <t>H‐011</t>
  </si>
  <si>
    <t>23.79331870726732, 90.4039620334907</t>
  </si>
  <si>
    <t xml:space="preserve">Ar. Khandaker Ashifuzzaman </t>
  </si>
  <si>
    <t>A‐194</t>
  </si>
  <si>
    <t>23.783796956178556, 90.41662211189168</t>
  </si>
  <si>
    <t xml:space="preserve">Ar. Nazmul Haque Khan </t>
  </si>
  <si>
    <t>K‐056</t>
  </si>
  <si>
    <t>23.791904985915078, 90.41358996771423</t>
  </si>
  <si>
    <t xml:space="preserve">Ar. B.K.S. Inan </t>
  </si>
  <si>
    <t>I‐015</t>
  </si>
  <si>
    <t>IAB-RP-B07</t>
  </si>
  <si>
    <t>23.739245562742653, 90.38799622538419</t>
  </si>
  <si>
    <t xml:space="preserve">Ar. Dr. Prof. Nizamuddin Ahmed </t>
  </si>
  <si>
    <t>A‐040</t>
  </si>
  <si>
    <t>IAB-RP-B06</t>
  </si>
  <si>
    <t>Dhaka-1216</t>
  </si>
  <si>
    <t>23.786185976185763, 90.35394842723385</t>
  </si>
  <si>
    <t xml:space="preserve">Ar. Faysal Kabir </t>
  </si>
  <si>
    <t>K‐108</t>
  </si>
  <si>
    <t>23.775376708393136, 90.36475081004284</t>
  </si>
  <si>
    <t xml:space="preserve">Ar. Ruksana Sultana </t>
  </si>
  <si>
    <t>S‐155</t>
  </si>
  <si>
    <t>23.780803021026323, 90.39507374178237</t>
  </si>
  <si>
    <t xml:space="preserve">Ar. Bidhan Kumar Saha </t>
  </si>
  <si>
    <t>S‐062</t>
  </si>
  <si>
    <t>23.786360880944912, 90.4160486677141</t>
  </si>
  <si>
    <t xml:space="preserve">Ar. Rahat Mujib Niaz </t>
  </si>
  <si>
    <t>N‐029</t>
  </si>
  <si>
    <t>23.86540503185206, 90.4013119965513</t>
  </si>
  <si>
    <t xml:space="preserve">Ar. Tariqul Islam </t>
  </si>
  <si>
    <t>I‐028</t>
  </si>
  <si>
    <t>23.736313752935533, 90.41428379654857</t>
  </si>
  <si>
    <t xml:space="preserve">Ar. Asfarul Islam </t>
  </si>
  <si>
    <t>I‐020</t>
  </si>
  <si>
    <t>23.742131774394462, 90.37230038305526</t>
  </si>
  <si>
    <t xml:space="preserve">Ar. Nahas Ahmed Khalil </t>
  </si>
  <si>
    <t>K-022</t>
  </si>
  <si>
    <t xml:space="preserve">Ar. Md. Momanul Islam Emun </t>
  </si>
  <si>
    <t>E-008</t>
  </si>
  <si>
    <t>ARCHIWORKS CONSULTANTS -2</t>
  </si>
  <si>
    <t>23.774576291096004, 90.41249086771388</t>
  </si>
  <si>
    <t xml:space="preserve">Ar. M. Arefeen Ibrahim </t>
  </si>
  <si>
    <t>I-047</t>
  </si>
  <si>
    <t>Dhaka-1219</t>
  </si>
  <si>
    <t>23.80645259646846, 90.45023946018779</t>
  </si>
  <si>
    <t xml:space="preserve">Ar. Mahbubul Hasan </t>
  </si>
  <si>
    <t>H-209</t>
  </si>
  <si>
    <t>23.742131774394462, 90.37224673887765</t>
  </si>
  <si>
    <t xml:space="preserve">Ar. Mohammad Mahbub Hossain </t>
  </si>
  <si>
    <t>H-149</t>
  </si>
  <si>
    <t>23.813537318682126, 90.36750893992345</t>
  </si>
  <si>
    <t xml:space="preserve">Ar. Mubasshar Hussain </t>
  </si>
  <si>
    <t>H-013</t>
  </si>
  <si>
    <t>Dhaka-1229</t>
  </si>
  <si>
    <t>23.834552918025118, 90.41822307380619</t>
  </si>
  <si>
    <t xml:space="preserve">Ar. Biplob Kumar Mondal </t>
  </si>
  <si>
    <t>M-116</t>
  </si>
  <si>
    <t xml:space="preserve"> Founder </t>
  </si>
  <si>
    <t>ARESCON CONSULTANT -2</t>
  </si>
  <si>
    <t>23.75576731426813, 90.38824054072664</t>
  </si>
  <si>
    <t xml:space="preserve">Ar. Md. Helal Uddin </t>
  </si>
  <si>
    <t>U-006</t>
  </si>
  <si>
    <t>23.838250463530194, 90.36853879655074</t>
  </si>
  <si>
    <t xml:space="preserve">Ar. Mohammad Saifuzzaman </t>
  </si>
  <si>
    <t>S-111</t>
  </si>
  <si>
    <t>23.7820325311006, 90.39633471189167</t>
  </si>
  <si>
    <t xml:space="preserve">Ar. Muhammed Kasif Hasnaen </t>
  </si>
  <si>
    <t>H-172</t>
  </si>
  <si>
    <t>23.755319426044153, 90.37236789912704</t>
  </si>
  <si>
    <t xml:space="preserve">Ar. Fariha Sharmeen Akbar </t>
  </si>
  <si>
    <t>A-198</t>
  </si>
  <si>
    <t>Email ID: faiahsa@gmail.com</t>
  </si>
  <si>
    <t>Ar. Fariha Sharmeen Akbar</t>
  </si>
  <si>
    <t>Propritor</t>
  </si>
  <si>
    <t>23.78891523688558, 90.41539385067773</t>
  </si>
  <si>
    <t xml:space="preserve">Ar. Zahidul Hoque Shaikot </t>
  </si>
  <si>
    <t>S-135</t>
  </si>
  <si>
    <t>23.75281077236481, 90.37300976928572</t>
  </si>
  <si>
    <t xml:space="preserve">Ar. Salma Begum </t>
  </si>
  <si>
    <t>B-044</t>
  </si>
  <si>
    <t>23.79560593127569, 90.40901948305643</t>
  </si>
  <si>
    <t xml:space="preserve"> architekton_bd@yahoo.com, minhas.rahman@architekton.com.bd </t>
  </si>
  <si>
    <t xml:space="preserve">Ar. Minhasur Rahman </t>
  </si>
  <si>
    <t>R-044</t>
  </si>
  <si>
    <t>23.747548265178757, 90.38355943473688</t>
  </si>
  <si>
    <t xml:space="preserve">Ar. Iftekhar Ahmed </t>
  </si>
  <si>
    <t>A-143</t>
  </si>
  <si>
    <t>Dhaka-1207</t>
  </si>
  <si>
    <t>23.77592976019377, 90.36467989853934</t>
  </si>
  <si>
    <t xml:space="preserve">Ar. Shohel Ahamed </t>
  </si>
  <si>
    <t>A-180</t>
  </si>
  <si>
    <t>23.792542599912544, 90.40821772353662</t>
  </si>
  <si>
    <t xml:space="preserve">Ar. Mohammad Sajjadul Islam </t>
  </si>
  <si>
    <t>I-075</t>
  </si>
  <si>
    <t>23.777804478117027, 90.41636294867448</t>
  </si>
  <si>
    <t xml:space="preserve">Ar. Nusrat Jahan </t>
  </si>
  <si>
    <t>J-016</t>
  </si>
  <si>
    <t>Chittagong-4203</t>
  </si>
  <si>
    <t>22.362923368925667, 91.83429184707065</t>
  </si>
  <si>
    <t xml:space="preserve">Ar. Hossan Murad </t>
  </si>
  <si>
    <t>M-084</t>
  </si>
  <si>
    <t>23.881385290058123, 90.38711396655361</t>
  </si>
  <si>
    <t xml:space="preserve">Ar. Ashraful Alam Ahmed </t>
  </si>
  <si>
    <t>A-182</t>
  </si>
  <si>
    <t>22.34478852130572, 91.83410122720463</t>
  </si>
  <si>
    <t xml:space="preserve">Ar. Ananya Bikash Barua </t>
  </si>
  <si>
    <t>B-040</t>
  </si>
  <si>
    <t>23.793470945660633, 90.39900133093133</t>
  </si>
  <si>
    <t xml:space="preserve">Ar. Sayeed Parvez Reza Latif </t>
  </si>
  <si>
    <t>L-007</t>
  </si>
  <si>
    <t>ARESCON CONSULTANT -1</t>
  </si>
  <si>
    <t>23.755228616080434, 90.38774258148324</t>
  </si>
  <si>
    <t>https://3pointsconsultant.com/</t>
  </si>
  <si>
    <t>23.77138957311296, 90.36609550767619</t>
  </si>
  <si>
    <t>Ar. Imtiaz Farid Chowdhury</t>
  </si>
  <si>
    <t>C-036</t>
  </si>
  <si>
    <t>ARCHIWORKS CONSULTANTS -1</t>
  </si>
  <si>
    <t>23.776453315561728, 90.4127293930276</t>
  </si>
  <si>
    <t>http://archiworksbd.wixsite.com/home</t>
  </si>
  <si>
    <t xml:space="preserve">Ar. Mohammad Arefeen Ibrahim </t>
  </si>
  <si>
    <t>23.755078657788033, 90.36659561076014</t>
  </si>
  <si>
    <t xml:space="preserve">Ar. S.M. Helaluddin Ahmed </t>
  </si>
  <si>
    <t>A-101</t>
  </si>
  <si>
    <t>23.75566703334071, 90.3719344677135</t>
  </si>
  <si>
    <t xml:space="preserve">Ar. Md. Hasan Shams Uddin </t>
  </si>
  <si>
    <t>S-014</t>
  </si>
  <si>
    <t>23.791623369200227, 90.40622563887874</t>
  </si>
  <si>
    <t xml:space="preserve">Ar. Syeda Nitee Mahbub </t>
  </si>
  <si>
    <t>M-090</t>
  </si>
  <si>
    <t>23.751965720578994, 90.38298722723316</t>
  </si>
  <si>
    <t xml:space="preserve">Ar. Nabi Newaz Khan </t>
  </si>
  <si>
    <t>K-106</t>
  </si>
  <si>
    <t>23.75278131231761, 90.3729990404502</t>
  </si>
  <si>
    <t>https://archdoers.com</t>
  </si>
  <si>
    <t xml:space="preserve">Ar. Quazi Fahima Naz </t>
  </si>
  <si>
    <t>N-024</t>
  </si>
  <si>
    <t>23.74349615536943, 90.37342225421983</t>
  </si>
  <si>
    <t xml:space="preserve">Ar. Nahas Ahmed khalil </t>
  </si>
  <si>
    <t>23.785013856584555, 90.39561558751002</t>
  </si>
  <si>
    <t xml:space="preserve">Ar. Anwarul Haq Chow </t>
  </si>
  <si>
    <t>C-021</t>
  </si>
  <si>
    <t>23.766912039442122, 90.3597963790403</t>
  </si>
  <si>
    <t xml:space="preserve">Ar. Monir Hossain Khan </t>
  </si>
  <si>
    <t>K-104</t>
  </si>
  <si>
    <t>23.868092533147532, 90.38670478753275</t>
  </si>
  <si>
    <t xml:space="preserve">Ar. Md. Sayedul Hasan </t>
  </si>
  <si>
    <t>H-103</t>
  </si>
  <si>
    <t>23.748834146108216, 90.37274101004228</t>
  </si>
  <si>
    <t xml:space="preserve">Ar. Luva Nahid Chowdhury </t>
  </si>
  <si>
    <t>C-018</t>
  </si>
  <si>
    <t>Dhaka 1206.</t>
  </si>
  <si>
    <t>Grand Total</t>
  </si>
  <si>
    <t>Dhaka 1230.</t>
  </si>
  <si>
    <t>N\A</t>
  </si>
  <si>
    <t>Dhaka 1212.</t>
  </si>
  <si>
    <t>Dhaka 1209</t>
  </si>
  <si>
    <t>Dhaka 1206</t>
  </si>
  <si>
    <t>Dkaka‐1213</t>
  </si>
  <si>
    <t>Dhaka‐1207.</t>
  </si>
  <si>
    <t>Dhaka‐1209.</t>
  </si>
  <si>
    <t>Dhaka ‐1206</t>
  </si>
  <si>
    <t>Dhaka‐1213.</t>
  </si>
  <si>
    <t>Dhaka 1213.</t>
  </si>
  <si>
    <t>Dhaka‐1205.</t>
  </si>
  <si>
    <t>Dhaka‐1212.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</si>
</sst>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0.0"/>
      <color rgb="FF000000"/>
      <name val="Arial"/>
      <scheme val="minor"/>
    </font>
    <font>
      <sz val="10.0"/>
      <color theme="1"/>
      <name val="Arial"/>
    </font>
    <font>
      <b/>
      <sz val="12.0"/>
      <color theme="1"/>
      <name val="Arial"/>
    </font>
    <font>
      <b/>
      <sz val="10.0"/>
      <color rgb="FFFFFFFF"/>
      <name val="Arial"/>
    </font>
    <font>
      <sz val="9.0"/>
      <color rgb="FF795548"/>
      <name val="Arial"/>
    </font>
    <font>
      <sz val="10.0"/>
      <color rgb="FF000000"/>
      <name val="Arial"/>
    </font>
    <font>
      <sz val="10.0"/>
      <color rgb="FFFFFFFF"/>
      <name val="Arial"/>
    </font>
    <font>
      <b/>
      <i/>
      <sz val="11.0"/>
      <color theme="1"/>
      <name val="Arial"/>
    </font>
    <font>
      <b/>
      <sz val="11.0"/>
      <color theme="1"/>
      <name val="Arial"/>
    </font>
    <font>
      <color theme="1"/>
      <name val="Arial"/>
      <scheme val="minor"/>
    </font>
    <font>
      <u/>
      <sz val="10.0"/>
      <color rgb="FF0000FF"/>
      <name val="Arial"/>
    </font>
    <font>
      <u/>
      <sz val="10.0"/>
      <color rgb="FF0000FF"/>
      <name val="Arial"/>
    </font>
    <font>
      <b/>
      <sz val="11.0"/>
      <color rgb="FFFFFFFF"/>
      <name val="Arial"/>
    </font>
    <font>
      <u/>
      <sz val="10.0"/>
      <color theme="1"/>
      <name val="Arial"/>
    </font>
    <font>
      <color rgb="FF000000"/>
      <name val="Arial"/>
    </font>
  </fonts>
  <fills count="11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0000FF"/>
        <bgColor rgb="FF0000FF"/>
      </patternFill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00FFFF"/>
        <bgColor rgb="FF00FFFF"/>
      </patternFill>
    </fill>
    <fill>
      <patternFill patternType="solid">
        <fgColor theme="6"/>
        <bgColor theme="6"/>
      </patternFill>
    </fill>
    <fill>
      <patternFill patternType="solid">
        <fgColor rgb="FFFFE599"/>
        <bgColor rgb="FFFFE599"/>
      </patternFill>
    </fill>
    <fill>
      <patternFill patternType="solid">
        <fgColor rgb="FFCFE2F3"/>
        <bgColor rgb="FFCFE2F3"/>
      </patternFill>
    </fill>
    <fill>
      <patternFill patternType="solid">
        <fgColor rgb="FF351C75"/>
        <bgColor rgb="FF351C75"/>
      </patternFill>
    </fill>
  </fills>
  <borders count="8">
    <border/>
    <border>
      <left/>
      <right/>
      <top/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double">
        <color rgb="FF000000"/>
      </left>
      <right style="double">
        <color rgb="FF000000"/>
      </right>
      <top style="double">
        <color rgb="FF000000"/>
      </top>
      <bottom style="double">
        <color rgb="FF000000"/>
      </bottom>
    </border>
    <border>
      <right/>
      <top/>
      <bottom/>
    </border>
    <border>
      <left/>
      <right/>
      <bottom/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2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0" fillId="0" fontId="1" numFmtId="0" xfId="0" applyFont="1"/>
    <xf borderId="1" fillId="2" fontId="2" numFmtId="0" xfId="0" applyAlignment="1" applyBorder="1" applyFont="1">
      <alignment horizontal="center"/>
    </xf>
    <xf borderId="1" fillId="3" fontId="3" numFmtId="0" xfId="0" applyBorder="1" applyFill="1" applyFont="1"/>
    <xf borderId="1" fillId="4" fontId="4" numFmtId="0" xfId="0" applyBorder="1" applyFill="1" applyFont="1"/>
    <xf borderId="1" fillId="4" fontId="2" numFmtId="0" xfId="0" applyAlignment="1" applyBorder="1" applyFont="1">
      <alignment horizontal="center"/>
    </xf>
    <xf borderId="1" fillId="4" fontId="1" numFmtId="0" xfId="0" applyBorder="1" applyFont="1"/>
    <xf borderId="2" fillId="5" fontId="3" numFmtId="0" xfId="0" applyBorder="1" applyFill="1" applyFont="1"/>
    <xf borderId="1" fillId="6" fontId="1" numFmtId="0" xfId="0" applyBorder="1" applyFill="1" applyFont="1"/>
    <xf borderId="1" fillId="7" fontId="1" numFmtId="0" xfId="0" applyBorder="1" applyFill="1" applyFont="1"/>
    <xf borderId="3" fillId="5" fontId="3" numFmtId="0" xfId="0" applyBorder="1" applyFont="1"/>
    <xf borderId="3" fillId="4" fontId="5" numFmtId="0" xfId="0" applyBorder="1" applyFont="1"/>
    <xf borderId="2" fillId="0" fontId="1" numFmtId="0" xfId="0" applyBorder="1" applyFont="1"/>
    <xf borderId="3" fillId="0" fontId="1" numFmtId="0" xfId="0" applyBorder="1" applyFont="1"/>
    <xf borderId="3" fillId="4" fontId="1" numFmtId="0" xfId="0" applyBorder="1" applyFont="1"/>
    <xf borderId="3" fillId="5" fontId="6" numFmtId="0" xfId="0" applyBorder="1" applyFont="1"/>
    <xf borderId="3" fillId="6" fontId="3" numFmtId="0" xfId="0" applyBorder="1" applyFont="1"/>
    <xf borderId="0" fillId="0" fontId="1" numFmtId="0" xfId="0" applyAlignment="1" applyFont="1">
      <alignment horizontal="center"/>
    </xf>
    <xf borderId="3" fillId="6" fontId="1" numFmtId="0" xfId="0" applyBorder="1" applyFont="1"/>
    <xf borderId="3" fillId="0" fontId="7" numFmtId="0" xfId="0" applyBorder="1" applyFont="1"/>
    <xf borderId="0" fillId="0" fontId="8" numFmtId="0" xfId="0" applyFont="1"/>
    <xf borderId="0" fillId="0" fontId="8" numFmtId="0" xfId="0" applyAlignment="1" applyFont="1">
      <alignment horizontal="left"/>
    </xf>
    <xf borderId="1" fillId="2" fontId="8" numFmtId="0" xfId="0" applyBorder="1" applyFont="1"/>
    <xf borderId="1" fillId="8" fontId="2" numFmtId="0" xfId="0" applyBorder="1" applyFill="1" applyFont="1"/>
    <xf borderId="0" fillId="0" fontId="9" numFmtId="0" xfId="0" applyAlignment="1" applyFont="1">
      <alignment readingOrder="0"/>
    </xf>
    <xf borderId="0" fillId="0" fontId="10" numFmtId="0" xfId="0" applyFont="1"/>
    <xf borderId="0" fillId="0" fontId="1" numFmtId="0" xfId="0" applyAlignment="1" applyFont="1">
      <alignment horizontal="left"/>
    </xf>
    <xf borderId="1" fillId="8" fontId="1" numFmtId="0" xfId="0" applyBorder="1" applyFont="1"/>
    <xf borderId="0" fillId="2" fontId="9" numFmtId="0" xfId="0" applyFont="1"/>
    <xf borderId="0" fillId="0" fontId="9" numFmtId="0" xfId="0" applyFont="1"/>
    <xf borderId="3" fillId="6" fontId="11" numFmtId="0" xfId="0" applyBorder="1" applyFont="1"/>
    <xf borderId="1" fillId="9" fontId="1" numFmtId="0" xfId="0" applyBorder="1" applyFill="1" applyFont="1"/>
    <xf borderId="4" fillId="10" fontId="12" numFmtId="0" xfId="0" applyAlignment="1" applyBorder="1" applyFill="1" applyFont="1">
      <alignment horizontal="center"/>
    </xf>
    <xf borderId="4" fillId="10" fontId="12" numFmtId="0" xfId="0" applyAlignment="1" applyBorder="1" applyFont="1">
      <alignment horizontal="center" readingOrder="0"/>
    </xf>
    <xf borderId="4" fillId="10" fontId="12" numFmtId="0" xfId="0" applyAlignment="1" applyBorder="1" applyFont="1">
      <alignment readingOrder="0"/>
    </xf>
    <xf borderId="4" fillId="10" fontId="12" numFmtId="0" xfId="0" applyBorder="1" applyFont="1"/>
    <xf borderId="4" fillId="10" fontId="12" numFmtId="0" xfId="0" applyAlignment="1" applyBorder="1" applyFont="1">
      <alignment horizontal="left"/>
    </xf>
    <xf borderId="5" fillId="4" fontId="1" numFmtId="0" xfId="0" applyBorder="1" applyFont="1"/>
    <xf borderId="4" fillId="0" fontId="1" numFmtId="0" xfId="0" applyAlignment="1" applyBorder="1" applyFont="1">
      <alignment horizontal="center"/>
    </xf>
    <xf borderId="4" fillId="0" fontId="1" numFmtId="0" xfId="0" applyBorder="1" applyFont="1"/>
    <xf borderId="4" fillId="0" fontId="1" numFmtId="0" xfId="0" applyAlignment="1" applyBorder="1" applyFont="1">
      <alignment horizontal="center" readingOrder="0"/>
    </xf>
    <xf borderId="4" fillId="4" fontId="1" numFmtId="0" xfId="0" applyBorder="1" applyFont="1"/>
    <xf borderId="4" fillId="0" fontId="1" numFmtId="0" xfId="0" applyAlignment="1" applyBorder="1" applyFont="1">
      <alignment horizontal="left"/>
    </xf>
    <xf borderId="4" fillId="4" fontId="1" numFmtId="0" xfId="0" applyAlignment="1" applyBorder="1" applyFont="1">
      <alignment readingOrder="0"/>
    </xf>
    <xf borderId="4" fillId="0" fontId="13" numFmtId="0" xfId="0" applyAlignment="1" applyBorder="1" applyFont="1">
      <alignment readingOrder="0"/>
    </xf>
    <xf borderId="4" fillId="0" fontId="1" numFmtId="0" xfId="0" applyAlignment="1" applyBorder="1" applyFont="1">
      <alignment readingOrder="0"/>
    </xf>
    <xf borderId="4" fillId="4" fontId="14" numFmtId="0" xfId="0" applyAlignment="1" applyBorder="1" applyFont="1">
      <alignment horizontal="left"/>
    </xf>
    <xf borderId="0" fillId="4" fontId="1" numFmtId="0" xfId="0" applyFont="1"/>
    <xf borderId="6" fillId="4" fontId="1" numFmtId="0" xfId="0" applyBorder="1" applyFont="1"/>
    <xf borderId="0" fillId="0" fontId="9" numFmtId="0" xfId="0" applyAlignment="1" applyFont="1">
      <alignment horizontal="left"/>
    </xf>
    <xf borderId="7" fillId="0" fontId="1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pivotCacheDefinition" Target="pivotCache/pivotCacheDefinition1.xml"/><Relationship Id="rId12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W143" sheet="CLEANED DATA"/>
  </cacheSource>
  <cacheFields>
    <cacheField name="S/L NO" numFmtId="0">
      <sharedItems containsSemiMixedTypes="0" containsString="0" containsNumber="1" containsInteger="1">
        <n v="142.0"/>
        <n v="141.0"/>
        <n v="140.0"/>
        <n v="139.0"/>
        <n v="138.0"/>
        <n v="137.0"/>
        <n v="136.0"/>
        <n v="135.0"/>
        <n v="134.0"/>
        <n v="133.0"/>
        <n v="132.0"/>
        <n v="131.0"/>
        <n v="130.0"/>
        <n v="129.0"/>
        <n v="128.0"/>
        <n v="127.0"/>
        <n v="126.0"/>
        <n v="125.0"/>
        <n v="124.0"/>
        <n v="123.0"/>
        <n v="122.0"/>
        <n v="121.0"/>
        <n v="120.0"/>
        <n v="119.0"/>
        <n v="118.0"/>
        <n v="117.0"/>
        <n v="116.0"/>
        <n v="115.0"/>
        <n v="114.0"/>
        <n v="113.0"/>
        <n v="112.0"/>
        <n v="111.0"/>
        <n v="110.0"/>
        <n v="109.0"/>
        <n v="107.0"/>
        <n v="108.0"/>
        <n v="106.0"/>
        <n v="105.0"/>
        <n v="104.0"/>
        <n v="103.0"/>
        <n v="102.0"/>
        <n v="101.0"/>
        <n v="100.0"/>
        <n v="99.0"/>
        <n v="98.0"/>
        <n v="97.0"/>
        <n v="96.0"/>
        <n v="95.0"/>
        <n v="94.0"/>
        <n v="93.0"/>
        <n v="92.0"/>
        <n v="91.0"/>
        <n v="90.0"/>
        <n v="89.0"/>
        <n v="88.0"/>
        <n v="87.0"/>
        <n v="86.0"/>
        <n v="85.0"/>
        <n v="84.0"/>
        <n v="83.0"/>
        <n v="82.0"/>
        <n v="81.0"/>
        <n v="80.0"/>
        <n v="79.0"/>
        <n v="78.0"/>
        <n v="77.0"/>
        <n v="76.0"/>
        <n v="75.0"/>
        <n v="74.0"/>
        <n v="73.0"/>
        <n v="72.0"/>
        <n v="71.0"/>
        <n v="70.0"/>
        <n v="69.0"/>
        <n v="68.0"/>
        <n v="67.0"/>
        <n v="66.0"/>
        <n v="65.0"/>
        <n v="64.0"/>
        <n v="63.0"/>
        <n v="62.0"/>
        <n v="61.0"/>
        <n v="60.0"/>
        <n v="59.0"/>
        <n v="58.0"/>
        <n v="57.0"/>
        <n v="56.0"/>
        <n v="55.0"/>
        <n v="54.0"/>
        <n v="53.0"/>
        <n v="52.0"/>
        <n v="51.0"/>
        <n v="50.0"/>
        <n v="49.0"/>
        <n v="48.0"/>
        <n v="47.0"/>
        <n v="46.0"/>
        <n v="45.0"/>
        <n v="44.0"/>
        <n v="43.0"/>
        <n v="42.0"/>
        <n v="41.0"/>
        <n v="40.0"/>
        <n v="39.0"/>
        <n v="38.0"/>
        <n v="37.0"/>
        <n v="36.0"/>
        <n v="35.0"/>
        <n v="34.0"/>
        <n v="33.0"/>
        <n v="32.0"/>
        <n v="31.0"/>
        <n v="30.0"/>
        <n v="29.0"/>
        <n v="28.0"/>
        <n v="27.0"/>
        <n v="26.0"/>
        <n v="25.0"/>
        <n v="24.0"/>
        <n v="23.0"/>
        <n v="22.0"/>
        <n v="21.0"/>
        <n v="20.0"/>
        <n v="19.0"/>
        <n v="18.0"/>
        <n v="17.0"/>
        <n v="16.0"/>
        <n v="15.0"/>
        <n v="14.0"/>
        <n v="13.0"/>
        <n v="12.0"/>
        <n v="11.0"/>
        <n v="10.0"/>
        <n v="9.0"/>
        <n v="8.0"/>
        <n v="7.0"/>
        <n v="6.0"/>
        <n v="5.0"/>
        <n v="4.0"/>
        <n v="3.0"/>
        <n v="2.0"/>
        <n v="1.0"/>
      </sharedItems>
    </cacheField>
    <cacheField name="IAB ID" numFmtId="0">
      <sharedItems>
        <s v="IAB-RP-W01"/>
        <s v="IAB-RP-V07"/>
        <s v="IAB-RP-V06"/>
        <s v="IAB-RP-V05"/>
        <s v="IAB-RP-V04"/>
        <s v="IAB-RP-V03"/>
        <s v="IAB-RP-V02"/>
        <s v="IAB-RP-V01"/>
        <s v="IAB-RP-U02"/>
        <s v="IAB-RP-U01"/>
        <s v="IAB-RP-T05"/>
        <s v="IAB-RP-T04"/>
        <s v="IAB-RP-T03"/>
        <s v="IAB-RP-T02"/>
        <s v="IAB-RP-T01"/>
        <s v="IAB-RP-S22"/>
        <s v="IAB-RP-S21"/>
        <s v="IAB-RP-S20"/>
        <s v="IAB-RP-S19"/>
        <s v="IAB-RP-S18"/>
        <s v="IAB-RP-S17"/>
        <s v="IAB-RP-S16"/>
        <s v="IAB-RP-S15"/>
        <s v="IAB-RP-S14"/>
        <s v="IAB-RP-S13"/>
        <s v="IAB-RP-S12"/>
        <s v="IAB-RP-S11"/>
        <s v="IAB-RP-S10"/>
        <s v="IAB-RP-S09"/>
        <s v="IAB-RP-S08"/>
        <s v="IAB-RP-S07"/>
        <s v="IAB-RP-S06"/>
        <s v="IAB-RP-S05"/>
        <s v="IAB-RP-S04"/>
        <s v="IAB-RP-S03 B"/>
        <s v="IAB-RP-S03 A"/>
        <s v="IAB-RP-S02"/>
        <s v="IAB-RP-S01"/>
        <s v="IAB-RP-R08"/>
        <s v="IAB-RP-R07"/>
        <s v="IAB-RP-R06"/>
        <s v="IAB-RP-R05"/>
        <s v="IAB-RP-R04"/>
        <s v="IAB-RP-R03"/>
        <s v="IAB-RP-R02"/>
        <s v="IAB-RP-R01"/>
        <s v="IAB-RP-P04"/>
        <s v="IAB-RP-P03"/>
        <s v="IAB-RP-P02"/>
        <s v="IAB-RP-P01"/>
        <s v="IAB-RP-O01"/>
        <s v="IAB-RP-N03"/>
        <s v="IAB-RP-N02"/>
        <s v="IAB-RP-N01"/>
        <s v="IAB-RP-M03"/>
        <s v="IAB-RP-M02"/>
        <s v="IAB-RP-M01"/>
        <s v="IAB-RP-K05"/>
        <s v="IAB-RP-K04"/>
        <s v="IAB-RP-K03"/>
        <s v="IAB-RP-K02"/>
        <s v="IAB-RP-K01"/>
        <s v="IAB-RP-J02"/>
        <s v="IAB-RP-J01"/>
        <s v="IAB-RP-I08"/>
        <s v="IAB-RP-I07"/>
        <s v="IAB-RP-I06"/>
        <s v="IAB-RP-I05"/>
        <s v="IAB-RP-I04"/>
        <s v="IAB-RP-I03"/>
        <s v="IAB-RP-I02"/>
        <s v="IAB-RP-I01"/>
        <s v="IAB-RP-H01"/>
        <s v="IAB-RP-G03"/>
        <s v="IAB-RP-G02"/>
        <s v="IAB-RP-G01"/>
        <s v="IAB-RP-F03"/>
        <s v="IAB-RP-F02"/>
        <s v="IAB-RP-F01"/>
        <s v="IAB-RP-E04"/>
        <s v="IAB-RP-E03"/>
        <s v="IAB-RP-E02"/>
        <s v="IAB-RP-E01"/>
        <s v="IAB-RP-D13"/>
        <s v="IAB-RP-D12"/>
        <s v="IAB-RP-D11"/>
        <s v="IAB-RP-D10"/>
        <s v="IAB-RP-D09"/>
        <s v="IAB-RP-D08"/>
        <s v="IAB-RP-D07"/>
        <s v="IAB-RP-D06"/>
        <s v="IAB-RP-D05"/>
        <s v="IAB-RP-D04"/>
        <s v="IAB-RP-D03"/>
        <s v="IAB-RP-D02"/>
        <s v="IAB-RP-D01"/>
        <s v="IAB-RP-C03"/>
        <s v="IAB-RP-C02"/>
        <s v="IAB-RP-C01"/>
        <s v="IAB-RP-B07"/>
        <s v="IAB-RP-B06"/>
        <s v="IAB-RP-B05"/>
        <s v="IAB-RP-B04"/>
        <s v="IAB-RP-B03"/>
        <s v="IAB-RP-B02"/>
        <s v="IAB-RP-B01"/>
        <s v="IAB-RP-A36"/>
        <s v="IAB-RP-A35"/>
        <s v="IAB-RP-A34"/>
        <s v="IAB-RP-A33"/>
        <s v="IAB-RP-A32"/>
        <s v="IAB-RP-A31"/>
        <s v="IAB-RP-A30"/>
        <s v="IAB-RP-A29"/>
        <s v="IAB-RP-A28"/>
        <s v="IAB-RP-A27"/>
        <s v="IAB-RP-A26"/>
        <s v="IAB-RP-A25"/>
        <s v="IAB-RP-A24"/>
        <s v="IAB-RP-A23"/>
        <s v="IAB-RP-A22"/>
        <s v="IAB-RP-A21"/>
        <s v="IAB-RP-A20"/>
        <s v="IAB-RP-A19"/>
        <s v="IAB-RP-A18"/>
        <s v="IAB-RP-A17"/>
        <s v="IAB-RP-A16"/>
        <s v="IAB-RP-A15"/>
        <s v="IAB-RP-A14"/>
        <s v="IAB-RP-A13"/>
        <s v="IAB-RP-A12"/>
        <s v="IAB-RP-A11"/>
        <s v="IAB-RP-A10"/>
        <s v="IAB-RP-A09"/>
        <s v="IAB-RP-A08"/>
        <s v="IAB-RP-A07"/>
        <s v="IAB-RP-A06"/>
        <s v="IAB-RP-A05"/>
        <s v="IAB-RP-A04"/>
        <s v="IAB-RP-A03"/>
        <s v="IAB-RP-A02"/>
        <s v="IAB-RP-A01"/>
      </sharedItems>
    </cacheField>
    <cacheField name="COMPANY NAME" numFmtId="0">
      <sharedItems>
        <s v="4 WALLS INSIDE OUTSIDE "/>
        <s v="VITTI STHAPATI BRINDO LTD "/>
        <s v="VISTA ARCHITECTURAL CONSULTANT "/>
        <s v="VUU‐MAATRA CONSULTANTS "/>
        <s v="VOLUMEZERO LIMITED "/>
        <s v="VISTAARA ARCHITECTS "/>
        <s v="VENNA ARCHITECTS "/>
        <s v="VASTUVITA ARCHITECTS "/>
        <s v="URBANA "/>
        <s v="UNITED CONSULTANT "/>
        <s v="TRIOTECT &amp; ASSOCIATES LTD. "/>
        <s v="TARIQUE HASAN &amp; ASSOCIATES LTD. "/>
        <s v="TANYA KARIM N.R. KHAN &amp; ASSOCIATES "/>
        <s v="TRIANGLE CONSULTANTS "/>
        <s v="THE DESIGNERS "/>
        <s v="STUDIO MORPHOGENESIS LTD. "/>
        <s v="SILVERBRICKS "/>
        <s v="SYSTEM ARCHITECTS "/>
        <s v="STUDIO DHAKA LIMITED. "/>
        <s v="STUDIO DHAKA ARCHITECTS "/>
        <s v="STHAPOTIK "/>
        <s v="SPACE ARCHITECTS, ENGINEERS, PLANNERS "/>
        <s v="SHATOTTO ARCHITECTURE FOR GREEN LIVING "/>
        <s v="S &amp; ASSOCIATES "/>
        <s v="SYNTHESIS ARCHITECTS "/>
        <s v="SYMBIOTIC ARCHITECTS &amp; ASSOCIATES "/>
        <s v="STYLE LIVING ARCHITECTS LTD "/>
        <s v="STUDIO HDA "/>
        <s v="STUDIO ECOTECTURE LIMITED "/>
        <s v="STUDIO XI ARCHITECTS "/>
        <s v="SRISTI UPADESHTA "/>
        <s v="SRISHTI SHAILEE "/>
        <s v="SPACE SCAPE "/>
        <s v="SILT "/>
        <s v="SHANGBIT "/>
        <s v="SHELTER ARCHITECTS AND ENGINEERS LIMITED "/>
        <s v="SCENIC "/>
        <s v="SAIUJ CONSULTANTS "/>
        <s v="River &amp; Rain Ltd. "/>
        <s v="ROSEBUD CONSULTANTS LTD "/>
        <s v="ROOFLINERS_STUDIO OF ARCHITECTURE "/>
        <s v="REINCARNATION "/>
        <s v="RACHONA CONSULTANTS "/>
        <s v="RIVNAT ARCHITECTS "/>
        <s v="RIDDHI ARCHITECTS "/>
        <s v="REGIONAL ARCHITECTS "/>
        <s v="PRONAYON "/>
        <s v="PROKALPA UPODESHTA LTD "/>
        <s v="PROFILE LTD "/>
        <s v="PRACHEE STHAPATI "/>
        <s v="OLI MAHMUD ARCHITECTS "/>
        <s v="NAKSHABID ARCHITECTS "/>
        <s v="NOUVEAU ARCHITECTS. "/>
        <s v="NAYREET ARCHITECTS "/>
        <s v="MW3 DESIGN + PARTNERS "/>
        <s v="MAATRIK ARCHITECTS "/>
        <s v="MATRIX "/>
        <s v="KALPAK ARCHITECTS "/>
        <s v="KHETTRA ARCHITECTS &amp; ENGINEERS LIMITED "/>
        <s v="K2AH+ ARCHITECTS "/>
        <s v="KHETTRA ARCHITECTS "/>
        <s v="KHETRO "/>
        <s v="J.M. CONSULTANT "/>
        <s v="J.A.ARCHITECTS LTD. "/>
        <s v="INTEGRATED DESIGNERS, ENGINEERS AND ARCHITECTS LIMITED "/>
        <s v="IN QUEST DESIGN STUDIO "/>
        <s v="INSIGHT ARCHITECTS "/>
        <s v="INARCH STUDIO AND CONSTRUCTION LIMITED "/>
        <s v="ICON DESIGN STUDIO "/>
        <s v="INGRID ARCHITECTS "/>
        <s v="IMAGE ARCHITECTS "/>
        <s v="IDEA "/>
        <s v="H I ARCHITECTS "/>
        <s v="GRAVITY ARCHITECTURE STUDIO "/>
        <s v="GENESIS ARCHITECTS "/>
        <s v="GKA &amp; ASSOCIATES "/>
        <s v="FIALKA "/>
        <s v="FALGUNI MALLICK &amp; ASSOCIATES "/>
        <s v="FOURTH DIMENSION "/>
        <s v="ENVISION ARCHITECTS "/>
        <s v="EHSAN KHAN ARCHITECTS LTD. "/>
        <s v="ECLIPTIC "/>
        <s v="ENVIRON STRUCTURE LTD. "/>
        <s v="DWm4 INTRENDS LTD. "/>
        <s v="DWm4 ARCHITECTS "/>
        <s v="DA‐SEIN ARCHITECTS "/>
        <s v="DWG "/>
        <s v="DOT ARCHITECTS "/>
        <s v="DIAGONAL ARCHITECTS "/>
        <s v="DEHSAR WORKS "/>
        <s v="DCON DESIGN STUDIO "/>
        <s v="DOMUS "/>
        <s v="DESIGN VISION ASSOCIATES LTD "/>
        <s v="DESIGN ENGINEERS &amp; ARCHITECTS "/>
        <s v="DESIGN CELL "/>
        <s v="DESH UPODESH LTD"/>
        <s v="CUBEINSIDE DESIGN LTD. "/>
        <s v="COCREATE STUDIO "/>
        <s v="CAD LTD "/>
        <s v="BASHA BARI LTD. "/>
        <s v="37 BRIDGE "/>
        <s v="BABUIBASHA: A SUSTAINABLE ARCHITECTURE. "/>
        <s v="BKS &amp; ASSOCIATES "/>
        <s v="BINYASH "/>
        <s v="BESTEC INFOTECH "/>
        <s v="BASATIKALPA "/>
        <s v="ARC ANGON CONSORTIUM "/>
        <s v="ANGON ARCHITECTS "/>
        <s v="ARCHIWORKS CONSULTANTS -2"/>
        <s v="ARCHITECTS &amp; ASSOCIATES LTD "/>
        <s v="AURITRO ARCHITECTS "/>
        <s v="ASSOCONSULT LTD. "/>
        <s v="ARCHITECTS’ HORIZON "/>
        <s v="ARESCON CONSULTANT -2"/>
        <s v="ARCHITECTURE TOMORROW "/>
        <s v="AYOTEEK "/>
        <s v="ARQUITECTURA "/>
        <s v="ARQUITECTURA DESIGN STUDIO"/>
        <s v="ARCHYTAS LIMITED "/>
        <s v="ARCHSTUDIO "/>
        <s v="ARCHITEKTON "/>
        <s v="ARCHINET ARCHITECTS &amp; ENGINEERS "/>
        <s v="ARCHIAAN ARCHITECTS "/>
        <s v="ARCH.PMC "/>
        <s v="ARC.IN.D "/>
        <s v="ALIGN ARCHITECTS "/>
        <s v="AHMED HOSSAIN ARCHITECTS AND ASSOCIATES "/>
        <s v="ARTYSPACE DESIGN STUDIO "/>
        <s v="ARTISAN ARCHITECTS ENGINEERS &amp; DEVELOPMENTS LTD. "/>
        <s v="ARESCON CONSULTANT -1"/>
        <s v="ARCHSEL "/>
        <s v="ARCHIWORKS CONSULTANTS -1"/>
        <s v="ARCHITECTES CONTEMPORAIN "/>
        <s v="ARCHITECT HASAN &amp; ASSOCIATES LTD. "/>
        <s v="ARCHFIELD "/>
        <s v="ARCHEGROUND LTD. "/>
        <s v="ARCHDOERS "/>
        <s v="ARC ARCHITECTURAL CONSULTANTS "/>
        <s v="ANWAR &amp; ASSOCIATES "/>
        <s v="AKRITY "/>
        <s v="ADS ARCHITECTS DESIGN STUDIO "/>
        <s v="ABASHAN UPODESHTA LIMITED "/>
      </sharedItems>
    </cacheField>
    <cacheField name="RATING" numFmtId="0">
      <sharedItems containsString="0" containsBlank="1" containsNumber="1">
        <n v="4.7"/>
        <n v="4.4"/>
        <n v="4.8"/>
        <n v="4.6"/>
        <n v="3.8"/>
        <n v="4.3"/>
        <n v="4.5"/>
        <m/>
        <n v="5.0"/>
        <n v="4.9"/>
        <n v="3.0"/>
        <n v="4.0"/>
        <n v="4.2"/>
      </sharedItems>
    </cacheField>
    <cacheField name="RATING BY USERS" numFmtId="0">
      <sharedItems containsString="0" containsBlank="1" containsNumber="1" containsInteger="1">
        <n v="49.0"/>
        <n v="157.0"/>
        <n v="7.0"/>
        <n v="9.0"/>
        <n v="255.0"/>
        <n v="121.0"/>
        <n v="12.0"/>
        <n v="4.0"/>
        <n v="26.0"/>
        <n v="16.0"/>
        <n v="21.0"/>
        <n v="23.0"/>
        <m/>
        <n v="2.0"/>
        <n v="8.0"/>
        <n v="59.0"/>
        <n v="74.0"/>
        <n v="1.0"/>
        <n v="271.0"/>
        <n v="13.0"/>
        <n v="22.0"/>
        <n v="33.0"/>
        <n v="5.0"/>
        <n v="6.0"/>
        <n v="35.0"/>
        <n v="10.0"/>
        <n v="65.0"/>
        <n v="3.0"/>
        <n v="37.0"/>
        <n v="11.0"/>
        <n v="76.0"/>
        <n v="58.0"/>
        <n v="36.0"/>
        <n v="17.0"/>
        <n v="51.0"/>
        <n v="29.0"/>
        <n v="19.0"/>
        <n v="68.0"/>
        <n v="28.0"/>
        <n v="15.0"/>
      </sharedItems>
    </cacheField>
    <cacheField name="RATING STATUS" numFmtId="0">
      <sharedItems>
        <s v="Available"/>
        <s v="Unavailable"/>
      </sharedItems>
    </cacheField>
    <cacheField name="ESTABLISH YEAR" numFmtId="0">
      <sharedItems containsSemiMixedTypes="0" containsString="0" containsNumber="1" containsInteger="1">
        <n v="1991.0"/>
        <n v="1995.0"/>
        <n v="2008.0"/>
        <n v="1998.0"/>
        <n v="2002.0"/>
        <n v="2005.0"/>
        <n v="1996.0"/>
        <n v="2003.0"/>
        <n v="2018.0"/>
        <n v="2013.0"/>
        <n v="1993.0"/>
        <n v="2001.0"/>
        <n v="2014.0"/>
        <n v="2016.0"/>
        <n v="2017.0"/>
        <n v="2006.0"/>
        <n v="2011.0"/>
        <n v="2009.0"/>
        <n v="1999.0"/>
        <n v="2004.0"/>
        <n v="2010.0"/>
        <n v="2015.0"/>
        <n v="2012.0"/>
        <n v="1997.0"/>
        <n v="1990.0"/>
        <n v="1984.0"/>
        <n v="2007.0"/>
        <n v="2000.0"/>
        <n v="2019.0"/>
        <n v="2020.0"/>
        <n v="1989.0"/>
        <n v="1977.0"/>
        <n v="1992.0"/>
        <n v="1978.0"/>
        <n v="1986.0"/>
        <n v="1988.0"/>
        <n v="1985.0"/>
        <n v="1982.0"/>
      </sharedItems>
    </cacheField>
    <cacheField name="5 YEARS PERIOD" numFmtId="0">
      <sharedItems>
        <s v="1990 - 1994"/>
        <s v="1995 - 1999"/>
        <s v="2005 - 2009"/>
        <s v="2000 - 2004"/>
        <s v="2015 - 2019"/>
        <s v="2010 - 2014"/>
        <s v="1980 - 1984"/>
        <s v="2020 - 2024"/>
        <s v="1985 - 1989"/>
        <s v="1975 - 1979"/>
      </sharedItems>
    </cacheField>
    <cacheField name="OFFICE ADDRESS" numFmtId="0">
      <sharedItems>
        <s v=" House‐246, Road‐19, New DOHS, Mohakhali, Dhaka‐1206"/>
        <s v=" 27/A, Level‐6&amp;7, Shangshad Avenue, Dhaka‐1215"/>
        <s v=" House‐67/2/KA, Flat‐E/2, Zigatola, Dhaka‐1209"/>
        <s v=" House ‐22, Road ‐12, Block‐F, Niketon Socoety, Gulshan‐1, Dhaka 1206."/>
        <s v=" House‐135, Road‐04, Block‐A, Banani , Dhaka 1213."/>
        <s v=" Delvistaa Ruparup, Apt‐D1 &amp; B1, SE(H)6, Road‐143, Gulshan Model Town, Gulshan, Dhaka‐1212."/>
        <s v=" Level‐05, A K Complex, 19‐Green Road, Dhaka‐1205"/>
        <s v=" Amelia, Suite:A6, House‐71, Road‐17, Sector‐11, Uttara, Dhaka‐1230"/>
        <s v=" House‐56, Road‐5/A, Dhanmondi, Dhaka‐1209"/>
        <s v=" House‐211, (2 nd &amp; 3rd), Lane‐13, Lake Road, New DOHS, Mohakhali, Dhaka‐1206"/>
        <s v=" 25/2, Rani Garh (2nd Floor), Lake Circus, Kalabagan, Dhaka‐1205"/>
        <s v=" House‐31, Road‐06, Block‐C, Banani, Dhaka‐1213"/>
        <s v=" Laboni‐2, Flat‐B1 &amp; C1, House‐24, Road‐9/A, Dhanmond R/A, Dhaka‐1209"/>
        <s v=" House 120(B),Road#1,Block#F, Banani , Dhaka‐1213"/>
        <s v=" House‐431, Road‐30, DOHS, Mohakhali, Dhaka‐1206"/>
        <s v=" Suite‐2D, House‐11, Road‐14, Gulshan‐1, Dhaka‐1212"/>
        <s v=" 3 rd Floor, IEB Bhaban, S.S Khaled Road, Chattogram"/>
        <s v=" House‐31, [Celeste], Unit‐A2, Road‐20, Block‐K, Banani, Dhaka‐1213"/>
        <s v=" House‐91/1, Road‐11/A, Dhanmondi R/A, Dhaka‐1205"/>
        <s v=" 44, Rabindra Sharani Road, Sector‐7, Uttara Model Town, Dhaka‐1230"/>
        <s v=" House‐8/2, 1 st Floor, Block‐D, Lalmatia, Dhaka"/>
        <s v=" House#407 (5‐A), Road#29, New DOHS, Mohakhali, Dhaka 1206"/>
        <s v=" House‐1/11, 2nd Floor, Iqbal Road, Mohammadpur, Dhaka‐1209"/>
        <s v=" 44/7‐A,B, 1 st Floor, Suite‐03, West Panthapoth, Dhaka"/>
        <s v=" House‐30, Block‐KA, Pisci Culture H/S, Shamoly, Dhaka‐1207"/>
        <s v=" Ground Floor, House‐78, Road‐18, Sector‐11, Uttara, Dhaka‐1230"/>
        <s v=" Ramna Trade Center (8th Floor), 36/7 CDA Avenue, Muradpur, Chittagong"/>
        <s v=" 14/C,(Gr Floor), Road ‐02,Block‐ L, Banani , Dhaka."/>
        <s v=" 1 st Floor, H‐57/D, Road‐15A (New), 26 (old), Dhanmondi Res. Area, Dhaka‐1205."/>
        <s v=" 211/1,Elephant Road, Dhaka‐1205"/>
        <s v=" 3/3, North Road, (4 th Floor), Dhanmondi‐1205"/>
        <s v=" House‐297B, Road‐19B, New DOHS, Mohakhali, Dhaka‐1206"/>
        <s v=" H‐78,Road 11, Sector 13,Uttara ,Dhaka 1230"/>
        <s v=" House‐204/A, Road‐09, New DOHS, Mohakhali, Dhaka‐1206"/>
        <s v=" House‐60/A, Road‐7/A, Dhanmondi, Dhaka"/>
        <s v=" 5, Outer Circular Road, Z.R. Tower (2 nd floor), Rajarbag, Dhaka‐1217"/>
        <s v=" Fattah Plaza (8 th Floor), 70 Green road, Dhaka‐1205"/>
        <s v=" 539, Baitul Aman Housing Society, Road‐12, P.S. Adabor, P.O.‐Mohammedpur, Dhaka‐1207"/>
        <s v=" H‐100B, Road‐6A, Banani DOHS, Banani, Dhaka‐1206"/>
        <s v=" 14, Bijoy Nagar, 3rd Floor, Dhaka‐1000"/>
        <s v=" Flat‐C1, House‐277, Road‐01, Baitul Aman Housing Society, Adabor, Mohammadpur, Dhaka‐1207"/>
        <s v=" Apt‐5, House‐3, Road‐7, Block‐C, Niketon, Gulshan‐1, Dhaka‐1212"/>
        <s v=" House‐44 (2 nd Floor), Road‐15, Block‐D, Banani, Dhaka‐1213"/>
        <s v=" 56, Lake Circus, Kalabagan (2 nd floor), West Panthapath, Dhaka‐1205"/>
        <s v=" 8/44 Eastern Plaza (7th Floor), Sonargaon Road, Dhaka‐1205"/>
        <s v=" House 112, Road‐06, Mohakhali, New DOHS, Dhaka‐1206"/>
        <s v=" Comm.Court(3 rd Floor), 95 Agrabad C/A, Chittagong"/>
        <s v=" House 2/16 (5th &amp; 6 th Fl), Block B, Lalmatia, Dhaka‐1207."/>
        <s v=" House 18, Road 6,Gulshan‐1 , Dhaka 1213."/>
        <s v=" Room‐F‐5 (3 rd Floor), 113 Lake Circus, Kalabagan, Dhaka‐1205"/>
        <s v=" 170‐171,Elephant Road (B‐1),Hatirpool ,Dhaka 1205"/>
        <s v=" 8, Kemal Ataturk Avenue, ABC House (5th Floor), Banani C/A, Dhaka‐1213."/>
        <s v=" House‐F5, Ground Floor, Block‐E, Jakir Hossain Road, Mohammadpur, Dhaka‐1207"/>
        <s v=" House‐14, Road‐13/C, Block‐E, Banani, Dhaka‐1213"/>
        <s v=" House‐24 (7th Floor), Road‐14, Block‐G, Niketon, Gulshan‐1, Dhaka‐1212"/>
        <s v=" 137/A/1, Jahanara Garden, Green Road, Dhaka‐1205"/>
        <s v=" House‐B‐181, (3rd Floor), Road‐23, New DOHS, Mohakhali, Dhaka‐1206"/>
        <s v=" 13‐B, Rupsha Tower, 07, Kemal Ataturk Avenue, Banani, Dhaka"/>
        <s v=" House‐337, Ground Floor, Road‐23, New DOHS, Mohakhali, Dhaka‐1206"/>
        <s v=" House‐91, 1 st Floor, Road‐9/A, Dhanmondi, Dhaka‐1209"/>
        <s v=" H#72,Ground Floor,R#8/A, Dhanmondi,Dhaka‐1209"/>
        <s v=" Flat ‐1, House‐431,Road‐30,New DOHS,Mohakhali, Dhaka‐1206"/>
        <s v=" 937, Flat‐G5, Eidgha Road, Ibrahimpur, Kafrul, Cantonment, Dhaka"/>
        <s v=" Apt: C1, 1st Floor, Rabbee House, CEN(B)11, Road 99,Gulshan 2, Dhaka‐1212"/>
        <s v=" Flat‐C5, Mother’s Dream Apartments, 1/2, 1/3 Darussalam, Dhaka‐1216"/>
        <s v=" House‐5/12, Ground Floor, Block‐D, Lalmatia, Dhaka‐1209"/>
        <s v=" House‐122, Road‐01, Mohammadi Housing Society, Mohammadpur, Dhaka‐1207"/>
        <s v=" House‐140, 3rd Floor, Road‐04, New DOHS, Mohakhali, Dhaka‐1206"/>
        <s v=" Icon Elan, House‐29, Road‐7, 1 st Floor, Dhanmondi, Dhaka‐1205"/>
        <s v=" House#394(3rd floor), Road#29, DOHS Mohakhali , Dhaka 1206"/>
        <s v=" House‐10/GA, Road‐2, Shyamoli, Dhaka‐1207"/>
        <s v=" JMC Plaza, Flat‐A‐6, House‐8/A/9, Road‐13(New), Dhanmondi, Dhaka‐1209"/>
        <s v=" 101, R M Centre (Level‐3), CWN (C) 5, Gulshan Avenue, Gulshan, Dhaka‐121"/>
        <s v=" House 268 (4th Floor‐Right), Road 19, New DOHS Mohakhali, Dhaka‐1206."/>
        <s v=" House‐F‐214/3, Uttar Chaya Bithy, Gazipur Sadar, Gazipur‐1700"/>
        <s v=" 5A, 5 th Floor, House‐99, Road‐11/A, Dhanmondi R/A, Dhaka‐1209"/>
        <s v=" Press Club Building, (2 nd Floor), Jamal Khan Road, Chittagong."/>
        <s v=" Flat‐B2, House‐29&amp;31, Road‐18, Sector‐7, Uttara, Dhaka‐1230"/>
        <s v=" House‐25/A, Road‐18, Sector‐3, Uttara Model Town, Dhaka‐1230"/>
        <s v=" 6/2, Block‐B, 1st Floor, Lalmatia, Dhaka‐1207"/>
        <s v=" 25, Gulshan Avenue, Taj Casilina (5th Floor), 6/E, Gulshan‐1, Dhaka‐1212"/>
        <s v=" 27/D, Monipuripara, Tejgaon, Dhaka‐1215"/>
        <s v=" 86 Laboratory Road, Dhanmondi R/A, Dhaka‐1205"/>
        <s v=" 236, Lake Road, New DOHS, Mohakhali, Dhaka‐1206"/>
        <s v=" 236, Lake Road , New DOHS , Mohkhali , Dhaka ‐1206"/>
        <s v=" Unit: 1/C/1, House: 56, Road: 27(old), 16 (new), Dhanmondi, Dhaka‐1209."/>
        <s v=" House‐56,Road‐27,Apt‐1 C1, Dhanmond R/A, Dhaka‐1209"/>
        <s v=" House‐40, Road‐12, Block‐Kha, PC Culture Housing Society, Mohammadpur, Dhaka‐1207"/>
        <s v=" Flat‐A‐14, (14 th Floor), Building‐12, Bashati Provati, Ring Road, Shyamoli, Dhaka‐1207."/>
        <s v=" Apt‐LV8, House‐10, Road‐6/A, Dhanmondi R/A, Dhaka‐1209"/>
        <s v=" 6/10, 1st Floor, Lalmatia, Block‐A, Dhaka"/>
        <s v=" Safura Tower(level 14), 20 Kamal Atartuk Avenue,Banani C/A, Banani ,Dhaka 1213"/>
        <s v=" AAA Tower, Plot‐80, Block‐J, baridhara pragati Sharani, Dhaka‐1212"/>
        <s v=" House‐14, Road‐9, Sector‐4, Uttara"/>
        <s v=" 75 Indera Road, Metro Garden, Ground Floor, Flat‐GC, Dhaka‐1215"/>
        <s v=" House 80/C (4th floor), Block‐D, Asad Avenue, Mohammadpur, Dhaka‐1207"/>
        <s v=" House‐5B, Road‐05, Block‐I, Banani, Dhaka‐1213"/>
        <s v=" 65, Suvastu Imam Square, 5th Floor, Gulshan Avenue, Gulshan‐1, Dhaka‐1212"/>
        <s v=" CWN (B), 18/B, Road‐44, Gulshan‐2, Dhaka‐1212"/>
        <s v=" 3 rd Floor, 332, Elephant Road, Dhaka‐1205"/>
        <s v=" 138, Darus Salam, Mirpur, Dhaka"/>
        <s v=" The Emporium, D‐05, 14/1, Mirpur Road, Shyamoli, Dhaka‐1207"/>
        <s v=" House‐07, Road‐05, Apt‐5B, Block‐I, Banani, Dkaka‐1213"/>
        <s v=" House‐480, Road‐32, New DOHS, Mohakhali, Dhaka‐1206"/>
        <s v=" House‐02, Road‐14/A, Sector‐4, Uttara Model Town, Dhaka‐1230"/>
        <s v=" 70/1 Naya Paltan, VIP Road, Dhaka‐1000"/>
        <s v=" House-60/A, Road-7/A, Dhanmondi, Dhaka-1216"/>
        <s v=" House-48, Road-02, Block-B, 1st Floor, Niketan R/A, Gulshan-1, Dhaka-1212"/>
        <s v=" Plot no-NEO/16, Block-C, Holding no-730, Khilgaon, Dhaka"/>
        <s v=" House-60/A, Road-7/A, Dhanmondi R/A, Dhaka-1209"/>
        <s v=" 849/3, Begum Rokeya Sharani, 2nd Floor, Shewrapara, Mirpur, Dhaka-1216"/>
        <s v=" House-05, Road-14, Nikunja2, Khilkhat, Dhaka-1229"/>
        <s v=" 137, Jahanara Garden, Green Road, 5th Floor, Dhaka-1205"/>
        <s v=" House-730 (Ground Floor), Road-10, Avenue-3/4, DOHS, Mirpur, Dhaka"/>
        <s v=" House-B 115, 4th Floor, Lane-7,DOHS, Mohakhali, Dhaka 1206"/>
        <s v=" Lake Palisade, House 23, Level 02, Road 27, Dhanmondi, Dhaka 1209"/>
        <s v="Office Address: Lake Palisade, House 23, Level 02, Road 27, Dhanmondi, Dhaka 1209"/>
        <s v=" Road-36, House-16, Gulshan-2, Dhaka 1212."/>
        <s v=" 151, West Dhanmondi, Dhaka-1209"/>
        <s v=" House-28, Road-28, Block-K, Banani, Dhaka-1213"/>
        <s v=" House-33, Road-04, Dhanmondi, Dhaka-1205"/>
        <s v=" 14, KA, Ring Road, Khan Plaza, 3rd Floor, Shamoly, Dhaka"/>
        <s v=" Plot-22, Road-12, Block-F, Niketan, Gulshan-1, Dhaka-1212"/>
        <s v=" 25, Gulshan Avenue, Taj Casilina (5th Floor), 6/E, Gulshan-1, Dhaka-1212"/>
        <s v=" House-14, Road-14, 1/Kha, Sugandha, Panchlish, Chittagong."/>
        <s v=" House-10, 2nd Floor, Road-03, Sector-05, Uttara, Dhaka 1230."/>
        <s v=" Azad Bhaban (7th Floor), 79/A, Jamal Khan Road, Chittagong, Bangladesh"/>
        <s v=" 56/A, DOHS Road, Old DOHS, Banani, Dhaka-1206"/>
        <s v=" 137-Jahanara Garden, 5th Floor, E-4, Green Road, Dhaka-1205"/>
        <s v=" 34/KA, Shyamoli Pisiculture H/S, Dhaka-1207"/>
        <s v=" House-48, Road-02, Block-B, Niketan, Gulshan 01, Dhaka-1212"/>
        <s v=" House-2/8, Block-E, Lalmatia, Dhaka"/>
        <s v=" House# 1/4,Flat# C4,Block# C, Lalmatia, Dhaka-1207"/>
        <s v=" 32/D, Road-10, Banani"/>
        <s v=" “NoorMahal”, 44/1, Lake-Circus, Kalabagan, Dhaka-1205"/>
        <s v=" H#252,R#19(old),West Dhanmondi,Dhaka-1209"/>
        <s v=" 60A, Road 7A, Dhanmondi, Dhaka-1209"/>
        <s v=" House #221(GF), Road -15, New DOHS, Mohakhali, Dhaka 1206."/>
        <s v=" House-10/GA (GF), Road-2, Shyamoli, Dhaka"/>
        <s v=" House#29-31, Road#18, Sector#7, Uttara , Dhaka 1230"/>
        <s v=" Bengal Centre, Plot 2, Civil Aviation, New Airport Road, Khilkhet, Dhaka-1229"/>
      </sharedItems>
    </cacheField>
    <cacheField name="Division" numFmtId="0">
      <sharedItems>
        <s v="Dhaka"/>
        <s v="Chittagong"/>
      </sharedItems>
    </cacheField>
    <cacheField name="THANA" numFmtId="0">
      <sharedItems>
        <s v="Mohakhali"/>
        <s v="Sangshad Avenue"/>
        <s v="Zigatola"/>
        <s v="Gulshan-1"/>
        <s v="Banani"/>
        <s v="Green Road"/>
        <s v="Uttara"/>
        <s v="Dhanmondi"/>
        <s v="Kalabagan"/>
        <s v="S.S Khaled Road"/>
        <s v="Lalmatia"/>
        <s v="Mohammadpur"/>
        <s v="Panthapath"/>
        <s v="Shyamoli"/>
        <s v="Muradpur"/>
        <s v="Elephant Road"/>
        <s v="Rajarbag"/>
        <s v="Bijay Nagar"/>
        <s v="Sonargaon Road"/>
        <s v="Agrabad C/A"/>
        <s v="Hatirpool"/>
        <s v="Cantonment"/>
        <s v="Gulshan-2"/>
        <s v="Mirpur"/>
        <s v="Gazipur Sadar"/>
        <s v="Jamal Khan Road"/>
        <s v="Tejgaon"/>
        <s v="Baridhara Pragati Sharani"/>
        <s v="Shahabag"/>
        <s v="Naya paltan"/>
        <s v="Khilgaon"/>
        <s v="Khilkhet"/>
        <s v="Sugandha"/>
      </sharedItems>
    </cacheField>
    <cacheField name="POSTCODE" numFmtId="0">
      <sharedItems>
        <s v="Dhaka-1212"/>
        <s v="Dhaka‐1215"/>
        <s v="Dhaka‐1209"/>
        <s v="Dhaka-1206"/>
        <s v="Dhaka-1213"/>
        <s v="Dhaka‐1212"/>
        <s v="Dhaka‐1205"/>
        <s v="Dhaka‐1230"/>
        <s v="Dhaka‐1206"/>
        <s v="Dhaka‐1213"/>
        <s v="Chittagong-4000"/>
        <s v="Dhaka-1205"/>
        <s v="Dhaka‐1207"/>
        <s v="Dhaka-1230"/>
        <s v="Dhaka‐1217"/>
        <s v="Dhaka‐1000"/>
        <s v="Chittagong-4100"/>
        <s v="Dhaka‐1216"/>
        <s v="Gazipur‐1700"/>
        <s v="Dhaka-‐1206"/>
        <s v="Dhaka-1216"/>
        <s v="Dhaka-1219"/>
        <s v="Dhaka-1209"/>
        <s v="Dhaka-1229"/>
        <s v="Dhaka-1207"/>
        <s v="Chittagong-4203"/>
      </sharedItems>
    </cacheField>
    <cacheField name="GOOGLE MAP NUMBER" numFmtId="0">
      <sharedItems>
        <s v="23.78471817192659, 90.39355162353645"/>
        <s v="23.76083995046738, 90.38378993702942"/>
        <s v="23.752268058903653, 90.36811958120683"/>
        <s v="23.763841889719178, 90.44620089654917"/>
        <s v="23.798513026660995, 90.4023375812078"/>
        <s v="23.77485395401322, 90.41712606956251"/>
        <s v="23.743731330676688, 90.3845571100422"/>
        <s v="23.87610354976879, 90.38614498120941"/>
        <s v="23.74257241938639, 90.37683461189079"/>
        <s v="23.785097972054352, 90.39678587723381"/>
        <s v="23.751963440677898, 90.38298863887788"/>
        <s v="23.792905701555522, 90.40277338305636"/>
        <s v="23.74704118782205, 90.37515525421983"/>
        <s v="23.758474200616877, 90.39009300183585"/>
        <s v="23.779409638952664, 90.39287146771399"/>
        <s v="23.755610094709596, 90.36684668305553"/>
        <s v="22.34683691096051, 91.82067011001391"/>
        <s v="23.797016945729325, 90.4077936100433"/>
        <s v="23.757777032666787, 90.37573953939142"/>
        <s v="23.872105885089315, 90.3953089353884"/>
        <s v="23.755600639842648, 90.36904796068028"/>
        <s v="23.78343519518282, 90.39324136779985"/>
        <s v="23.80416250153886, 90.42185511004345"/>
        <s v="23.783390082514114, 90.42555217131392"/>
        <s v="23.78606749897671, 90.4023842388786"/>
        <s v="23.875889114367144, 90.38717831004497"/>
        <s v="23.92599471543584, 90.3954021019114"/>
        <s v="23.821829682643305, 90.4486592720324"/>
        <s v="23.75081578212644, 90.3876686812068"/>
        <s v="23.739927903566798, 90.38976589839734"/>
        <s v="23.74402607167943, 90.38519972538428"/>
        <s v="23.78305230418637, 90.39543005024689"/>
        <s v="23.872742019616545, 90.38574253905573"/>
        <s v="23.796377046793463, 90.39954972353671"/>
        <s v="23.74655352723095, 90.37525431958963"/>
        <s v="23.76996713472815, 90.35767047580771"/>
        <s v="23.750777461100828, 90.38720366771337"/>
        <s v="24.027397932067192, 90.34037618441523"/>
        <s v="23.797377608984778, 90.39771446841131"/>
        <s v="23.73612214687025, 90.41144452353548"/>
        <s v="23.761483046650962, 90.37129236956228"/>
        <s v="23.773371229806212, 90.41346692091675"/>
        <s v="23.795833933280854, 90.40076397965554"/>
        <s v="23.752323219345566, 90.38068534072652"/>
        <s v="23.75000452383437, 90.37460136956199"/>
        <s v="23.782738072340365, 90.39424986824271"/>
        <s v="22.326384146203026, 91.8147852100135"/>
        <s v="23.757583307999198, 90.37081401189111"/>
        <s v="23.777633150587725, 90.41320298305601"/>
        <s v="23.747804647894526, 90.38167832538436"/>
        <s v="23.742123874405724, 90.38500342353557"/>
        <s v="23.794125567449782, 90.4030534505235"/>
        <s v="23.758281212012054, 90.36690488305562"/>
        <s v="23.79200352236157, 90.40734479654974"/>
        <s v="23.772819125058263, 90.40811908435187"/>
        <s v="23.93705688495512, 90.36234883956975"/>
        <s v="23.784935315887367, 90.39578724887842"/>
        <s v="24.299291164528118, 90.42141580893812"/>
        <s v="23.76710979259237, 90.36233872389313"/>
        <s v="23.74791105350297, 90.36914738222643"/>
        <s v="23.76810976457134, 90.36244053273631"/>
        <s v="23.77377076312006, 90.40801664351966"/>
        <s v="23.794178418088265, 90.38412338305636"/>
        <s v="23.79449639992054, 90.41921088305641"/>
        <s v="23.76098510268529, 90.38394908305571"/>
        <s v="23.756289721867663, 90.36740161256083"/>
        <s v="23.7632603202664, 90.35753911835289"/>
        <s v="23.783246579961467, 90.39810268305614"/>
        <s v="23.739840858349716, 90.38869363140311"/>
        <s v="23.78024240107489, 90.39398382790301"/>
        <s v="23.77237013103287, 90.35834859654935"/>
        <s v="23.753526847736953, 90.37432922991088"/>
        <s v="23.7888760176817, 90.41605729160521"/>
        <s v="23.784062461245224, 90.39365213887855"/>
        <s v="24.00047061108824, 90.4271550388831"/>
        <s v="23.75150266033471, 90.37446328305549"/>
        <s v="22.34788528937057, 91.83437849180812"/>
        <s v="23.86935401404672, 90.39430726771586"/>
        <s v="23.86355417986278, 90.40049162430385"/>
        <s v="23.75630375407839, 90.36744888305554"/>
        <s v="23.777735905185544, 90.4163284388784"/>
        <s v="23.760511789703887, 90.38431521189119"/>
        <s v="23.805179307027867, 90.41178540514979"/>
        <s v="23.782849969281088, 90.393235467714"/>
        <s v="23.784030343703414, 90.39510103407575"/>
        <s v="23.746008295710574, 90.3765915049313"/>
        <s v="23.746401798508423, 90.37414533261601"/>
        <s v="23.75991416981437, 90.35939198888444"/>
        <s v="23.980865433390747, 90.2799527388827"/>
        <s v="23.74718743597505, 90.37448865535282"/>
        <s v="23.76276794480795, 90.37109503702945"/>
        <s v="23.794038218363852, 90.4040851830564"/>
        <s v="23.803501523304874, 90.42323728647759"/>
        <s v="23.757882003000173, 90.3774568830879"/>
        <s v="23.75643438224403, 90.38442022975161"/>
        <s v="23.756204140288, 90.37290843031468"/>
        <s v="23.79331870726732, 90.4039620334907"/>
        <s v="23.783796956178556, 90.41662211189168"/>
        <s v="23.791904985915078, 90.41358996771423"/>
        <s v="23.739245562742653, 90.38799622538419"/>
        <s v="23.786185976185763, 90.35394842723385"/>
        <s v="23.775376708393136, 90.36475081004284"/>
        <s v="23.780803021026323, 90.39507374178237"/>
        <s v="23.786360880944912, 90.4160486677141"/>
        <s v="23.86540503185206, 90.4013119965513"/>
        <s v="23.736313752935533, 90.41428379654857"/>
        <s v="23.742131774394462, 90.37230038305526"/>
        <s v="23.774576291096004, 90.41249086771388"/>
        <s v="23.80645259646846, 90.45023946018779"/>
        <s v="23.742131774394462, 90.37224673887765"/>
        <s v="23.813537318682126, 90.36750893992345"/>
        <s v="23.834552918025118, 90.41822307380619"/>
        <s v="23.75576731426813, 90.38824054072664"/>
        <s v="23.838250463530194, 90.36853879655074"/>
        <s v="23.7820325311006, 90.39633471189167"/>
        <s v="23.755319426044153, 90.37236789912704"/>
        <s v="23.78891523688558, 90.41539385067773"/>
        <s v="23.75281077236481, 90.37300976928572"/>
        <s v="23.79560593127569, 90.40901948305643"/>
        <s v="23.747548265178757, 90.38355943473688"/>
        <s v="23.77592976019377, 90.36467989853934"/>
        <s v="23.792542599912544, 90.40821772353662"/>
        <s v="23.777804478117027, 90.41636294867448"/>
        <s v="22.362923368925667, 91.83429184707065"/>
        <s v="23.881385290058123, 90.38711396655361"/>
        <s v="22.34478852130572, 91.83410122720463"/>
        <s v="23.793470945660633, 90.39900133093133"/>
        <s v="23.755228616080434, 90.38774258148324"/>
        <s v="23.77138957311296, 90.36609550767619"/>
        <s v="23.776453315561728, 90.4127293930276"/>
        <s v="23.755078657788033, 90.36659561076014"/>
        <s v="23.75566703334071, 90.3719344677135"/>
        <s v="23.791623369200227, 90.40622563887874"/>
        <s v="23.751965720578994, 90.38298722723316"/>
        <s v="23.75278131231761, 90.3729990404502"/>
        <s v="23.74349615536943, 90.37342225421983"/>
        <s v="23.785013856584555, 90.39561558751002"/>
        <s v="23.766912039442122, 90.3597963790403"/>
        <s v="23.868092533147532, 90.38670478753275"/>
        <s v="23.748834146108216, 90.37274101004228"/>
      </sharedItems>
    </cacheField>
    <cacheField name="EMAIL ID" numFmtId="0">
      <sharedItems>
        <s v=" wahidasif@gmaii.com "/>
        <s v=" vittibd@gmail.com "/>
        <s v=" dsarif14@yahoo.com, dsarifoffice@gmail.com "/>
        <s v=" info@vuumaatra.com , ziaul.sharif@gmail.com , "/>
        <s v=" foyez@volumezeroltd.com"/>
        <s v=" info@delvistaa.com "/>
        <s v=" architects.venna@gmail.com, architect.asif@gmail.com "/>
        <s v=" vita_arc@yahoo.com "/>
        <s v=" urbana.communications@gmail.com "/>
        <s v=" mail.awpl@yahoo.com "/>
        <s v=" info@triotect.com.bd "/>
        <s v=" tarique.37@gmail.com"/>
        <s v=" mail@tknrk.com"/>
        <s v=" shakoormajid@yahoo.com "/>
        <s v=" malikshaheen@yahoo.com "/>
        <s v=" design@studiomorphogenesis.com "/>
        <s v=" info@silverbricksbd.com "/>
        <s v=" nirjhar@systemarchitectsbd.com"/>
        <s v=" studiodhakaltd@gmail.com"/>
        <s v=" studio.dhaka.architects@gmail.com"/>
        <s v=" sthapotik_arch@yahoo.com"/>
        <s v=" fawad_hyder@yahoo.com  info@spacearcht.com "/>
        <s v=" shatotto@gmail.com"/>
        <s v=" sabd5200@gmail.com "/>
        <s v=" synthesisarchitectsbd@gmail.com, synthesis_arch@yahoo.com"/>
        <s v=" Symbiotic.aa@live.com "/>
        <s v=" chairman@stylelivingbd.com"/>
        <s v=" studiohda@gmail.com "/>
        <s v=" info@studioecotecture.com"/>
        <s v=" studio_xi_architects@yahoo.com "/>
        <s v=" saiful.hafiz@gmail.com "/>
        <s v=" srishtishailee@yahoo.com "/>
        <s v=" arch_pintoo@yahoo.com "/>
        <s v=" silt.bd@gmail.com, silt@silt.com.bd"/>
        <s v=" shangbit.architects@gmail.com "/>
        <s v=" shelterarchitect32@yahoo.com "/>
        <s v=" scenicbd@gmail.com "/>
        <s v=" saiuj_con@yahoo.com "/>
        <s v=" riverandraininfo@gmail.com "/>
        <s v=" rosebudcon@gmail.com "/>
        <s v=" contact@roofliners.org, roofliners.bd@gmail.com "/>
        <s v=" reincarnationbd@yahoo.com"/>
        <s v=" rachona@gmail.com "/>
        <s v=" rivnat360@gmail.com "/>
        <s v=" riddhi.arch@gmail.com "/>
        <s v=" regional_architects@yahoo.com "/>
        <s v=" pronayon@capcobd.com , shakoor_sohail@yahoo.com"/>
        <s v=" info@pulbd.com"/>
        <s v=" profileltd@gmail.com, info@profilelimited.com"/>
        <s v=" saumenhazra@yahoo.com"/>
        <s v=" olimahmud@gmail.com"/>
        <s v=" nakshabid@gmail.com "/>
        <s v=" razaoull@gmail.com "/>
        <s v=" nayreet_architects@yahoo.com"/>
        <s v=" mahtab@mw3.com.bd, mw3designpartners@gmail.com "/>
        <s v=" maatrikmail@gmail.com "/>
        <s v=" archmiraz@yahoo.com "/>
        <s v=" kkalpon@gmail.com "/>
        <s v=" khettra2000@gmail.com "/>
        <s v=" k2ah.architects@gmail.com"/>
        <s v=" khettra@gmail.com"/>
        <s v=" info@khetro.com"/>
        <s v=" consultant.jm878@gmail.com, mrinmoyadhakary@yahoo.com "/>
        <s v=" mail@jaarchitects.com.bd"/>
        <s v=" contact.ideal.consultants@gmail.com "/>
        <s v=" inquestbd@gmail.com "/>
        <s v=" insightarcdhaka@gmail.com "/>
        <s v=" studio.inarch@gmail.com"/>
        <s v=" suriti@icon‐bd.com "/>
        <s v=" ingrid_dhaka@yahoo.com "/>
        <s v=" image_architects@yahoo.com "/>
        <s v=" idea@enstudio.org "/>
        <s v=" md.hasan.imam23@gmail.com "/>
        <s v=" gravity.asbd@gmail.com "/>
        <s v=" info@genesis.archi "/>
        <s v=" gakhan0306@yahoo.com"/>
        <s v=" ashiq.fialka@gmail.com "/>
        <s v=" fma_architects@yahoo.com, fmallick74@gmail.com "/>
        <s v=" turjo_96inte@yahoo.com"/>
        <s v=" qazimarif2012@gmail.com, principal@envision‐arch.org "/>
        <s v=" ehsan@ekarchitects.com.bd, admin@ekarchitects.com.bd "/>
        <s v=" eclipticbd@gmail.com "/>
        <s v=" esl_arch@yahoo.com "/>
        <s v=" info@dwm4intrends.com "/>
        <s v=" "/>
        <s v=" shawon.dasein@gmail.com "/>
        <s v=" info@dwg‐office.com"/>
        <s v=" Dot.architects@hotmail.com "/>
        <s v=" fairoze@diagonalarchitects‐bd.com "/>
        <s v=" rashed@dehsarworks.com"/>
        <s v=" dcon.design@gmail.com, faisal2395@hotmail.com "/>
        <s v=" domus@accesstel.net , domusdesk@gmail.com"/>
        <s v=" info@designvision.com.bd"/>
        <s v=" tjl_slm@yahoo.com "/>
        <s v=" designcell.cell@gmail.com "/>
        <s v=" munirullah@gmail.com, alfaz.hossain1@gmail.com"/>
        <s v=" cubeinside@gmail.com"/>
        <s v=" cocreate@suvastu.com.bd "/>
        <s v=" cadinan@gmail.com, cadsayeda@gmail.com "/>
        <s v=" bashabari.architects@gmail.com "/>
        <s v=" contact@37bridge.net"/>
        <s v=" babuibasha@gmail.com "/>
        <s v=" marathon_architects@yahoo.com"/>
        <s v=" rahat.niaz@gmail.com"/>
        <s v=" tariqul@bestecgroup.com "/>
        <s v=" asfar@global‐bd.net,"/>
        <s v=" emun97@gmail.com "/>
        <s v=" archiworks.bd@hotmail.com "/>
        <s v=" arch@aaaltd.com.bd "/>
        <s v=" aupee0061@gmail.com "/>
        <s v=" assoconbangla@yahoo.com "/>
        <s v=" biplob.azone@gmail.com "/>
        <s v=" helal201@hotmail.com, arescon1984@gmail.com "/>
        <s v=" zaman_arch1122@yahoo.com "/>
        <s v=" kasif@ayoteek.com, ayoteek@gmail.com "/>
        <s v=" mail@arquitecturabd.com"/>
        <s v="Email ID: faiahsa@gmail.com"/>
        <s v=" archytas.s@gmail.com"/>
        <s v=" samabegum@gmail.com "/>
        <s v=" architekton_bd@yahoo.com, minhas.rahman@architekton.com.bd "/>
        <s v=" archinet2008@gmail.com "/>
        <s v=" archiaan07@gmail.com "/>
        <s v=" masiarchitect@gmail.com, arch.pmc.bd@gmail.com"/>
        <s v=" arcindexind@gmail.com "/>
        <s v=" hossan_0047@yahioo.com"/>
        <s v=" ahaaabd17@gmail.com, ashraf303@yahoo.com "/>
        <s v=" artyspace.designstudio@gmail.com "/>
        <s v=" info@artisanbd.com"/>
        <s v=" arescon@gmail.com "/>
        <s v=" mail@archsel.com"/>
        <s v=" archiworks.bd@hotmail.com"/>
        <s v=" sazal953@gmail.com "/>
        <s v=" cmfoundation@gmail.com "/>
        <s v=" archfield2010@gmail.com "/>
        <s v=" studio@archeground.com, arche_ground@yahoo.com"/>
        <s v=" archdoers@gmail.com "/>
        <s v=" arc.architect@gmail.com, nahaskhalil@yahoo.com"/>
        <s v=" ahaq06@yahoo.com "/>
        <s v=" akriti.si@gmail.com,"/>
        <s v=" ads.architectstudio@gmail.com "/>
        <s v=" mail@abashan.com"/>
      </sharedItems>
    </cacheField>
    <cacheField name="CONTACT">
      <sharedItems containsBlank="1" containsMixedTypes="1" containsNumber="1" containsInteger="1">
        <s v=" +88 01711433431, +88 02‐9890003"/>
        <s v=" +88 01912888015, +88 02‐8143471"/>
        <s v=" +88‐01971566019"/>
        <s v=" +88‐02‐58812326, 8801796585535"/>
        <m/>
        <s v=" +88‐02‐55044873, +88‐02‐55044874, +88‐02‐55044875"/>
        <s v=" +88‐02‐ 8625835"/>
        <s v=" +88‐01678016706"/>
        <s v=" +88‐02‐9671500, +88‐02‐9671515"/>
        <s v=" +88‐02‐9849303, +88‐02‐9849317"/>
        <s v=" +8801777768366, +8801777768367"/>
        <s v=" +88‐02‐8812109‐10"/>
        <s v=" +88‐02‐9850798"/>
        <s v=" +88 01723819678, +88 02 9858862"/>
        <s v=" +88‐01714084433"/>
        <n v="8.801711335635E12"/>
        <n v="8.801534355957E12"/>
        <n v="8.801713039777E12"/>
        <s v=" +88‐02‐9840245, +8801979873387"/>
        <n v="8.801730303421E12"/>
        <s v="88‐02‐9124105,9124638,8141642"/>
        <s v=" +88‐02‐8991817"/>
        <s v=" +88‐02‐9888123"/>
        <s v="88‐02‐8191422"/>
        <s v=" +88‐02‐8813992, 9889360"/>
        <s v=" +88‐02‐8711883, 8711884"/>
        <s v=" +88‐02‐8918765"/>
        <s v="88‐02‐9892062"/>
        <s v=" +88‐02‐9358428, 8333384"/>
        <s v=" +88‐02‐9677467"/>
        <s v=" +88‐02‐8190746"/>
        <s v=" +88 01734017695, +88 01746506316"/>
        <s v=" +88‐02‐9334169, +88‐02‐9354491"/>
        <s v=" +8801706602332, +8801815007774"/>
        <s v="88‐02‐9854352"/>
        <s v=" +88‐02‐9820896, +8801713017973"/>
        <s v=" +88‐02‐9127032"/>
        <s v=" +88‐02‐8626480"/>
        <s v="88‐02‐9117689, 9126909"/>
        <s v="88‐02‐9854672‐5,8812145,8815034,8816538, 9855153‐4"/>
        <s v="88‐02‐9668945"/>
        <s v=" +88 01819221011, +88 02‐9845080"/>
        <n v="8.801912137212E12"/>
        <s v="88‐02‐7913394, 8957701"/>
        <s v=" +88‐02‐9840957"/>
        <s v=" +8801723563209, +8801673545909"/>
        <n v="8.801191557292E12"/>
        <s v=" +88 01711899081"/>
        <s v=" +88‐02‐8835831"/>
        <s v="8801717183918, 8801717068255"/>
        <s v="88‐02‐ 8142871"/>
        <s v="88‐02‐8872212"/>
        <s v=" +8801712621792, +8801942909110"/>
        <s v="88‐02‐9889196, 9887311"/>
        <s v=" +88 01912085801"/>
        <s v=" 02 58153033, +88 01713038759, +88 01717602792"/>
        <n v="8.801711577032E12"/>
        <n v="8.801715005352E12"/>
        <n v="8.801819211608E12"/>
        <s v=" +88‐02‐9880507"/>
        <s v=" +8801712573353, +8801681235750"/>
        <s v=" +88‐02‐9144347"/>
        <s v=" +88 01714110471"/>
        <s v=" +88 01730096986, +88 01676057570"/>
        <n v="8.801812807687E12"/>
        <s v="88‐02‐8191082"/>
        <s v=" +88‐031‐618599, +88‐031‐2863269"/>
        <n v="8.801970112299E12"/>
        <s v=" +88‐02‐58151763"/>
        <s v=" +88‐02‐9890855"/>
        <s v=" +88‐02‐9145364, +8801819244544"/>
        <s v=" +88‐02‐9660876, 9660851"/>
        <s v=" +88 02‐222280802"/>
        <s v=" +88 01712921323, +88 02‐9885564"/>
        <s v=" +88 01711937254, +88 02‐9125596"/>
        <s v="88‐02‐9125596, 8801819287680"/>
        <s v=" +8801612880595, +8801965370464"/>
        <s v=" +88‐02‐9126473, 8801766490119"/>
        <n v="8.801818064118E12"/>
        <s v=" : +8801711614551"/>
        <s v="88‐02‐8822629,9820968,9820969,9889418"/>
        <s v="88‐02‐9895183, 8834353"/>
        <s v=" +88‐02‐9886055"/>
        <s v=" +88‐02‐ 8150612"/>
        <s v="88‐02‐8117694, 9137154"/>
        <s v="88‐02‐9870193"/>
        <n v="8.801819272915E12"/>
        <n v="8.801671119933E12"/>
        <s v=" +88‐01711534290"/>
        <s v="88‐02‐8051994"/>
        <s v=" +8801711593658, 8801713453239"/>
        <s v="88‐02‐9677467"/>
        <s v="88‐02‐8715368"/>
        <s v=" 09611689575‐6"/>
        <s v="88‐02‐7252314"/>
        <s v=" +88 01711829295"/>
        <s v=" +88 01715035772"/>
        <s v=" +88 01758742536, +88 02-47215613"/>
        <s v=" +88 01815258257"/>
        <s v=" +88-02-9004662, +88-02-9004663"/>
        <s v=" +88-02-55098138, +8801755599208"/>
        <s v=" +88-02-8151121, +8801713037260"/>
        <s v=" +88-02-8080884, +8801716526915"/>
        <s v=" +88-02-9882689, +8801712511535"/>
        <n v="8.8024102181E11"/>
        <n v="8.801911386561E12"/>
        <n v="8.801716897632E12"/>
        <s v=" +88-02-9862930, +8801711520963"/>
        <n v="8.801712228469E12"/>
        <n v="8.801679224304E12"/>
        <n v="8.801799586501E12"/>
        <s v=" +88-02-9890855"/>
        <n v="8.801737280617E12"/>
        <s v=" +88016179672992, +8801727672992"/>
        <s v=" +88-031-2867388"/>
        <s v="88-02-8813992, 9889360"/>
        <s v=" +88-02-8151121"/>
        <s v="88-02-8124698, 8116617"/>
        <s v=" 044-78004350, 044-78004353"/>
        <s v=" +88-02-8125830"/>
        <s v=" 01713338002, 01819117710"/>
        <s v="88-02-9138516"/>
        <s v=" 01816506988, 01816506989"/>
        <s v="88-02-8117462"/>
        <s v=" +88-02-8837313"/>
        <s v="88-02-9111557"/>
        <s v=" +88-02-8950536"/>
        <s v="88-02-8901185, 8901180"/>
      </sharedItems>
    </cacheField>
    <cacheField name="WEBSITE" numFmtId="0">
      <sharedItems containsBlank="1">
        <s v=" www.4wallsbd.com"/>
        <s v=" www.vitti.com.bd"/>
        <m/>
        <s v=" www.vuumaatra.com"/>
        <s v=" www.volumezeroltd.com "/>
        <s v="http://www.delvistaa.com/"/>
        <s v=" www.triotect.com.bd"/>
        <s v=" www.thalbd.com "/>
        <s v=" www.tknrk.com "/>
        <s v=" www.studiomorphogenesis.com"/>
        <s v=" www.systemarchitectsbd.com "/>
        <s v=" www.studiodhaka.com "/>
        <s v=" www.studiodhakaarchitects.com "/>
        <s v=" www.sthapotik.com "/>
        <s v=" www.spacearcht.com"/>
        <s v=" www.shatottogreen.com "/>
        <s v="http://synthesisarchitectsltd.com/"/>
        <s v=" www.stylelivingbd.com "/>
        <s v=" www.studioecotecture.com "/>
        <s v=" www.silt.com.bd "/>
        <s v=" www.riverandrain.net"/>
        <s v=" www.roofliners.org"/>
        <s v=" www.reincarnation‐bd.com "/>
        <s v=" www.pronayon.com "/>
        <s v=" www.pulbd.com "/>
        <s v=" www.profilelimited.com "/>
        <s v=" www.pracheesthapati.com "/>
        <s v=" www.olimahmud.com "/>
        <s v=" www.nakshabid.com"/>
        <s v=" www.nayreetarchitects.com "/>
        <s v=" www.mw3.com.bd"/>
        <s v=" www.maatrik.net"/>
        <s v="http://kalpakarchitects.com/"/>
        <s v=" https://www.facebook.com/K2AHArchitects "/>
        <s v=" www.khettraarchitects.com "/>
        <s v=" www.khetro.com "/>
        <s v=" www.jaarchitects.com.bd "/>
        <s v=" www.inquestbd.com"/>
        <s v=" www.facebook.com/insightarch"/>
        <s v=" www.studioinarch.com.bd "/>
        <s v=" www.gravityarchitecturestudio.com"/>
        <s v=" www.genesis.archi"/>
        <s v=" www.gka‐bd.com "/>
        <s v=" www.fourthdimensionbd.com "/>
        <s v=" www.envision‐arch.org"/>
        <s v=" www.dwm4intrends.com"/>
        <s v=" www.dwm4.com"/>
        <s v=" www.dasein‐bd.com"/>
        <s v=" www.dwg‐office.com "/>
        <s v=" www.diagonalarchitects‐bd.com"/>
        <s v=" www.dehsarworks.com "/>
        <s v=" www.domusbdarchitects.com "/>
        <s v=" www.designvision.com.bd "/>
        <s v="https://designcellbd.com/"/>
        <s v=" www.deshupodesh.com "/>
        <s v=" www.cubeinsidebd.com "/>
        <s v=" www.37bridge.net "/>
        <s v=" www.bksandassociates.com "/>
        <s v=" www.binyashltd.com "/>
        <s v=" www.basatikalpa.com "/>
        <s v=" archiworksbd.wixsite.com/home"/>
        <s v=" www.architectshorizon.com"/>
        <s v=" www.architecturetomorrow.com"/>
        <s v=" www.ayoteek.com"/>
        <s v=" www.arquitecturabd.com "/>
        <s v=" www.archytasltd.com "/>
        <s v=" www.archpmc.com "/>
        <s v=" http://aligngroupbd.com/webmail "/>
        <s v=" www.artisanbd.com "/>
        <s v="https://3pointsconsultant.com/"/>
        <s v=" www.archsel.com "/>
        <s v="http://archiworksbd.wixsite.com/home"/>
        <s v=" www.archeground.com "/>
        <s v="https://archdoers.com"/>
        <s v=" "/>
        <s v=" www.akritybd.com "/>
        <s v=" www.abashan.com "/>
      </sharedItems>
    </cacheField>
    <cacheField name="WEBSITE STATUS" numFmtId="0">
      <sharedItems>
        <s v="Available"/>
        <s v="Unavailable"/>
      </sharedItems>
    </cacheField>
    <cacheField name="NAME OF PROPRIETOR/ PARTNER/ DIRECTOR" numFmtId="0">
      <sharedItems>
        <s v="Ar. M. Wahid Asif "/>
        <s v="Ar. Md. Ishtiaque Zahir "/>
        <s v="Ar. Dewan Shamsul Arif "/>
        <s v="Ar. Mohammed Ziaul Sharif "/>
        <s v="Ar. Mohammad Foyez Ullah "/>
        <s v="Ar. Khan Mohammed Mustapha Khalid "/>
        <s v="Ar.Asif Mohammed Ahsanul Haq "/>
        <s v="Ar. Amit Kumar Saha "/>
        <s v="Ar. Mahboob‐E‐Sobhan Chowdhury "/>
        <s v="Ar. Md. Maruf Hossain Khan "/>
        <s v="Ar. Md. Tareq Abdullah "/>
        <s v="Ar. Tarique Hasan "/>
        <s v="Ar. Nurur Rahman Khan "/>
        <s v="Ar. Shakoor Majid "/>
        <s v="Ar. Shaheen Malik "/>
        <s v="Ar. Shahla Karim Kabir "/>
        <s v="Ar. Mohammad Asaduzzaman Chowdhury "/>
        <s v="Ar. Enamul Karim "/>
        <s v="Ar. Muhammad Moniruzzaman "/>
        <s v="Ar. Tarek Md. Saidul Islam "/>
        <s v="Ar. Sharif Uddin Ahammed "/>
        <s v="Ar. D.S. Fawad Hyder "/>
        <s v="Ar. Md. Rafiq Azam "/>
        <s v="Ar. Md. Raisul Rafi Shaon "/>
        <s v="Ar. Patrick D’Rozario "/>
        <s v="Ar.Abul Bashar Md. Shamsuzzaman "/>
        <s v="Ar. Md. Mizanur Rahman "/>
        <s v="Ar. Mohammad Maksumul Hoque "/>
        <s v="Ar. S. M. Hasan Kabir "/>
        <s v="Ar. Ashik Vaskor Mannan "/>
        <s v="Ar. Saiful Hafiz "/>
        <s v="Ar. Mobin Uddin Mohammed Helaly "/>
        <s v="Ar. Rafiul Alam "/>
        <s v="Ar.Razib Hassan Chowdhury "/>
        <s v="Ar. Tahmina Rumi "/>
        <s v="Ar. Mukhtar Ahmed "/>
        <s v="Ar. Mohammad Fazlul Quader "/>
        <s v="Ar.Mirza Shahper Jalil "/>
        <s v="Ar. Kazi Fida Islam "/>
        <s v="Ar. A.K.M. Quamrul Hasan "/>
        <s v="Ar. Sarawat Iqbal "/>
        <s v="Ar. Khandoker Abdal Hossain "/>
        <s v="Ar. Riad Rouf "/>
        <s v="Ar. Shakhawat Tanvir Hossain "/>
        <s v="Ar. Abu Hena Md. Zia Uddin "/>
        <s v="Ar. Jalal Uddin Md. Akbar "/>
        <s v="Ar. Sohail M Shakoor "/>
        <s v="Ar. Shahidul Hasan Azad "/>
        <s v="Ar. Md. Abdus Salam"/>
        <s v="Ar. Saumen Hazra "/>
        <s v="Ar. Oli Mahmud "/>
        <s v="Ar. Bayejid Mahbub Khondker "/>
        <s v="Ar. Mohammed Razaoull Karim "/>
        <s v="Ar. Shaila Joarder "/>
        <s v="Ar. Mahtab Hussain Siddique "/>
        <s v="Ar. Md. Aminul Islam "/>
        <s v="Ar. Muhammed Miraz Ur Rahman "/>
        <s v="Ar. Kazi Touhidul Islam "/>
        <s v="Ar. A.K.M Lutful Kabir "/>
        <s v="Ar. Ahsanul Haque Rubel "/>
        <s v="Ar. Mainul Quader Tito "/>
        <s v="Ar. Al Numan Md. Yunus"/>
        <s v="Ar. Mrinmoy Adhikary "/>
        <s v="Ar. Afroza Ahmed "/>
        <s v="Ar. Syed Abdul Halim "/>
        <s v="Ar. Selim Altaf Biplob "/>
        <s v="Ar. Masud Ur Rashid "/>
        <s v="Ar. Mohammad Mamunur Rasheed "/>
        <s v="Ar. Suriti Tassannum "/>
        <s v="Ar. Anwarul Islam Khan "/>
        <s v="Ar. Md. Emdadul Habib "/>
        <s v="Ar. Moushumi Ahmed "/>
        <s v="Ar. Mohammad Hasan Imam "/>
        <s v="Ar. Md. Nahid Hasan "/>
        <s v="Ar. Noymul Haque Nohon "/>
        <s v="Ar. Ghausul Alam Khan "/>
        <s v="Ar. Ashiq Imran "/>
        <s v="Ar. Falguni Mallick "/>
        <s v="Ar. A. F. M. Ashek Imran "/>
        <s v="Ar. Qazi Muhammad Arif "/>
        <s v="Ar. Md. Ehsan Khan "/>
        <s v="Ar. Tanwir Serajuddowla "/>
        <s v="Ar. Moid Ul Ahsan "/>
        <s v="Ar. Mamnoon M. Chowdhury "/>
        <s v="Ar. Md Rashidur Rahman "/>
        <s v="Ar. Naheed Farzana "/>
        <s v="Ar. M Shihabul Wares "/>
        <s v="Ar. Fairoze Shamim "/>
        <s v="Ar. Rashed Hassan Chowdhury "/>
        <s v="Ar. Abu Anas Faisal "/>
        <s v="Ar. Mustafa Ameen "/>
        <s v="Ar. Alamgir Jalil "/>
        <s v="Ar. Tajul Islam "/>
        <s v="Ar. Arif Hasan "/>
        <s v="Ar. Munirul Haque "/>
        <s v="Ar. Khandaker Ashifuzzaman "/>
        <s v="Ar. Nazmul Haque Khan "/>
        <s v="Ar. B.K.S. Inan "/>
        <s v="Ar. Dr. Prof. Nizamuddin Ahmed "/>
        <s v="Ar. Faysal Kabir "/>
        <s v="Ar. Ruksana Sultana "/>
        <s v="Ar. Bidhan Kumar Saha "/>
        <s v="Ar. Rahat Mujib Niaz "/>
        <s v="Ar. Tariqul Islam "/>
        <s v="Ar. Asfarul Islam "/>
        <s v="Ar. Nahas Ahmed Khalil "/>
        <s v="Ar. Md. Momanul Islam Emun "/>
        <s v="Ar. M. Arefeen Ibrahim "/>
        <s v="Ar. Mahbubul Hasan "/>
        <s v="Ar. Mohammad Mahbub Hossain "/>
        <s v="Ar. Mubasshar Hussain "/>
        <s v="Ar. Biplob Kumar Mondal "/>
        <s v="Ar. Md. Helal Uddin "/>
        <s v="Ar. Mohammad Saifuzzaman "/>
        <s v="Ar. Muhammed Kasif Hasnaen "/>
        <s v="Ar. Fariha Sharmeen Akbar "/>
        <s v="Ar. Fariha Sharmeen Akbar"/>
        <s v="Ar. Zahidul Hoque Shaikot "/>
        <s v="Ar. Salma Begum "/>
        <s v="Ar. Minhasur Rahman "/>
        <s v="Ar. Iftekhar Ahmed "/>
        <s v="Ar. Shohel Ahamed "/>
        <s v="Ar. Mohammad Sajjadul Islam "/>
        <s v="Ar. Nusrat Jahan "/>
        <s v="Ar. Hossan Murad "/>
        <s v="Ar. Ashraful Alam Ahmed "/>
        <s v="Ar. Ananya Bikash Barua "/>
        <s v="Ar. Sayeed Parvez Reza Latif "/>
        <s v="Ar. Imtiaz Farid Chowdhury"/>
        <s v="Ar. Mohammad Arefeen Ibrahim "/>
        <s v="Ar. S.M. Helaluddin Ahmed "/>
        <s v="Ar. Md. Hasan Shams Uddin "/>
        <s v="Ar. Syeda Nitee Mahbub "/>
        <s v="Ar. Nabi Newaz Khan "/>
        <s v="Ar. Quazi Fahima Naz "/>
        <s v="Ar. Anwarul Haq Chow "/>
        <s v="Ar. Monir Hossain Khan "/>
        <s v="Ar. Md. Sayedul Hasan "/>
        <s v="Ar. Luva Nahid Chowdhury "/>
      </sharedItems>
    </cacheField>
    <cacheField name="LAB ID" numFmtId="0">
      <sharedItems>
        <s v="A‐117"/>
        <s v="Z‐011"/>
        <s v="A‐079"/>
        <s v="S‐094"/>
        <s v="U‐008"/>
        <s v="K‐037"/>
        <s v="H‐117"/>
        <s v="S‐077"/>
        <s v="C‐025"/>
        <s v="K‐073"/>
        <s v="A‐236"/>
        <s v="H‐097"/>
        <s v="K‐049"/>
        <s v="M‐031"/>
        <s v="M‐009"/>
        <s v="K‐050"/>
        <s v="C‐040"/>
        <s v="K‐058"/>
        <s v="M‐086"/>
        <s v="I‐081"/>
        <s v="A‐137"/>
        <s v="H‐056"/>
        <s v="A‐055"/>
        <s v="S‐089"/>
        <s v="R‐135"/>
        <s v="S‐027"/>
        <s v="R‐097"/>
        <s v="H‐150"/>
        <s v="K‐030"/>
        <s v="M‐070"/>
        <s v="H‐055"/>
        <s v="H‐134"/>
        <s v="A‐047"/>
        <s v="C‐0048"/>
        <s v="R‐105"/>
        <s v="A‐023"/>
        <s v="Q‐004"/>
        <s v="J‐019"/>
        <s v="I‐060"/>
        <s v="H‐071"/>
        <s v="I‐091"/>
        <s v="H‐133"/>
        <s v="R‐061"/>
        <s v="H‐107"/>
        <s v="U‐005"/>
        <s v="A‐128"/>
        <s v="S‐021"/>
        <s v="H‐045"/>
        <s v="S‐047"/>
        <s v="H‐109"/>
        <s v="M‐059"/>
        <s v="K‐077"/>
        <s v="K‐132"/>
        <s v="J‐013"/>
        <s v="S‐101"/>
        <s v="I‐051"/>
        <s v="R‐087"/>
        <s v="I‐041"/>
        <s v="K‐065"/>
        <s v="R‐153"/>
        <s v="T‐006"/>
        <s v="Y‐008"/>
        <s v="A‐121"/>
        <s v="A‐087"/>
        <s v="H‐233"/>
        <s v="B‐025"/>
        <s v="R‐104"/>
        <s v="R‐089"/>
        <s v="T‐022"/>
        <s v="K‐083"/>
        <s v="H‐155"/>
        <s v="A‐159"/>
        <s v="I‐037"/>
        <s v="H‐186"/>
        <s v="N‐040"/>
        <s v="K‐027"/>
        <s v="I‐044"/>
        <s v="M‐046"/>
        <s v="I‐061"/>
        <s v="A‐059"/>
        <s v="K‐047"/>
        <s v="S‐075"/>
        <s v="A‐028"/>
        <s v="C‐031"/>
        <s v="R‐134"/>
        <s v="F‐010"/>
        <s v="AW‐007"/>
        <s v="S‐067"/>
        <s v="C‐069"/>
        <s v="F‐012"/>
        <s v="A‐010"/>
        <s v="J‐014"/>
        <s v="I‐019"/>
        <s v="H‐136"/>
        <s v="H‐011"/>
        <s v="A‐194"/>
        <s v="K‐056"/>
        <s v="I‐015"/>
        <s v="A‐040"/>
        <s v="K‐108"/>
        <s v="S‐155"/>
        <s v="S‐062"/>
        <s v="N‐029"/>
        <s v="I‐028"/>
        <s v="I‐020"/>
        <s v="K-022"/>
        <s v="E-008"/>
        <s v="I-047"/>
        <s v="H-209"/>
        <s v="H-149"/>
        <s v="H-013"/>
        <s v="M-116"/>
        <s v="U-006"/>
        <s v="S-111"/>
        <s v="H-172"/>
        <s v="A-198"/>
        <s v="S-135"/>
        <s v="B-044"/>
        <s v="R-044"/>
        <s v="A-143"/>
        <s v="A-180"/>
        <s v="I-075"/>
        <s v="J-016"/>
        <s v="M-084"/>
        <s v="A-182"/>
        <s v="B-040"/>
        <s v="L-007"/>
        <s v="C-036"/>
        <s v="A-101"/>
        <s v="S-014"/>
        <s v="M-090"/>
        <s v="K-106"/>
        <s v="N-024"/>
        <s v="C-021"/>
        <s v="K-104"/>
        <s v="H-103"/>
        <s v="C-018"/>
      </sharedItems>
    </cacheField>
    <cacheField name="DESIGNATION" numFmtId="0">
      <sharedItems>
        <s v=" Principal Architect"/>
        <s v=" Director "/>
        <s v=" Proprietor"/>
        <s v=" Chief Architect"/>
        <s v=" Managing Director"/>
        <s v=" Managing Partner"/>
        <s v=" Partner "/>
        <s v=" Architect Partner "/>
        <s v=" CEO "/>
        <s v=" "/>
        <s v=" Chairman "/>
        <s v=" Partner Architect "/>
        <s v=" Chief Executive"/>
        <s v=" President "/>
        <s v=" Sr. Architect"/>
        <s v=" Sr. Partner "/>
        <s v=" Architect"/>
        <s v=" Founder "/>
        <s v="Propritor"/>
      </sharedItems>
    </cacheField>
    <cacheField name="IAB MEMBER ARCHITECT" numFmtId="0">
      <sharedItems containsSemiMixedTypes="0" containsString="0" containsNumber="1" containsInteger="1">
        <n v="0.0"/>
        <n v="5.0"/>
        <n v="3.0"/>
        <n v="23.0"/>
        <n v="15.0"/>
        <n v="6.0"/>
        <n v="14.0"/>
        <n v="2.0"/>
        <n v="1.0"/>
        <n v="4.0"/>
        <n v="9.0"/>
        <n v="12.0"/>
        <n v="7.0"/>
        <n v="21.0"/>
        <n v="10.0"/>
        <n v="13.0"/>
      </sharedItems>
    </cacheField>
    <cacheField name="ARCHITECTUAL GRADUATE" numFmtId="0">
      <sharedItems containsSemiMixedTypes="0" containsString="0" containsNumber="1" containsInteger="1">
        <n v="0.0"/>
        <n v="1.0"/>
        <n v="4.0"/>
        <n v="6.0"/>
        <n v="2.0"/>
        <n v="9.0"/>
        <n v="12.0"/>
        <n v="5.0"/>
        <n v="7.0"/>
        <n v="3.0"/>
        <n v="14.0"/>
        <n v="8.0"/>
        <n v="23.0"/>
        <n v="57.0"/>
        <n v="46.0"/>
        <n v="18.0"/>
        <n v="17.0"/>
        <n v="15.0"/>
      </sharedItems>
    </cacheField>
    <cacheField name="TOTAL" numFmtId="0">
      <sharedItems containsSemiMixedTypes="0" containsString="0" containsNumber="1" containsInteger="1">
        <n v="0.0"/>
        <n v="5.0"/>
        <n v="4.0"/>
        <n v="27.0"/>
        <n v="19.0"/>
        <n v="9.0"/>
        <n v="10.0"/>
        <n v="12.0"/>
        <n v="7.0"/>
        <n v="26.0"/>
        <n v="13.0"/>
        <n v="11.0"/>
        <n v="3.0"/>
        <n v="14.0"/>
        <n v="6.0"/>
        <n v="18.0"/>
        <n v="1.0"/>
        <n v="2.0"/>
        <n v="30.0"/>
        <n v="60.0"/>
        <n v="67.0"/>
        <n v="23.0"/>
        <n v="8.0"/>
        <n v="16.0"/>
        <n v="15.0"/>
        <n v="20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0" dataCaption="" compact="0" compactData="0">
  <location ref="A1:B12" firstHeaderRow="0" firstDataRow="1" firstDataCol="0"/>
  <pivotFields>
    <pivotField name="S/L N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t="default"/>
      </items>
    </pivotField>
    <pivotField name="IAB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t="default"/>
      </items>
    </pivotField>
    <pivotField name="COMPANY 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t="default"/>
      </items>
    </pivotField>
    <pivotField name="RATING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RATING BY USER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t="default"/>
      </items>
    </pivotField>
    <pivotField name="RATING STATUS" compact="0" outline="0" multipleItemSelectionAllowed="1" showAll="0">
      <items>
        <item x="0"/>
        <item x="1"/>
        <item t="default"/>
      </items>
    </pivotField>
    <pivotField name="ESTABLISH YEA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t="default"/>
      </items>
    </pivotField>
    <pivotField name="5 YEARS PERIOD" axis="axisRow" compact="0" outline="0" multipleItemSelectionAllowed="1" showAll="0" sortType="ascending">
      <items>
        <item x="9"/>
        <item x="6"/>
        <item x="8"/>
        <item x="0"/>
        <item x="1"/>
        <item x="3"/>
        <item x="2"/>
        <item x="5"/>
        <item x="4"/>
        <item x="7"/>
        <item t="default"/>
      </items>
    </pivotField>
    <pivotField name="OFFICE ADDRES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t="default"/>
      </items>
    </pivotField>
    <pivotField name="Division" compact="0" outline="0" multipleItemSelectionAllowed="1" showAll="0">
      <items>
        <item x="0"/>
        <item x="1"/>
        <item t="default"/>
      </items>
    </pivotField>
    <pivotField name="THAN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name="POSTCOD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name="GOOGLE MAP NUMB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t="default"/>
      </items>
    </pivotField>
    <pivotField name="EMAIL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t="default"/>
      </items>
    </pivotField>
    <pivotField name="CONTAC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t="default"/>
      </items>
    </pivotField>
    <pivotField name="WEBSI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t="default"/>
      </items>
    </pivotField>
    <pivotField name="WEBSITE STATUS" compact="0" outline="0" multipleItemSelectionAllowed="1" showAll="0">
      <items>
        <item x="0"/>
        <item x="1"/>
        <item t="default"/>
      </items>
    </pivotField>
    <pivotField name="NAME OF PROPRIETOR/ PARTNER/ DIRECTO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t="default"/>
      </items>
    </pivotField>
    <pivotField name="LAB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t="default"/>
      </items>
    </pivotField>
    <pivotField name="DESIGN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IAB MEMBER ARCHITEC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ARCHITECTUAL GRADU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TOTA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</pivotFields>
  <rowFields>
    <field x="7"/>
  </row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40" Type="http://schemas.openxmlformats.org/officeDocument/2006/relationships/hyperlink" Target="http://www.maatrik.net/" TargetMode="External"/><Relationship Id="rId42" Type="http://schemas.openxmlformats.org/officeDocument/2006/relationships/hyperlink" Target="http://www.nayreetarchitects.com/" TargetMode="External"/><Relationship Id="rId41" Type="http://schemas.openxmlformats.org/officeDocument/2006/relationships/hyperlink" Target="http://www.mw3.com.bd/" TargetMode="External"/><Relationship Id="rId44" Type="http://schemas.openxmlformats.org/officeDocument/2006/relationships/hyperlink" Target="http://www.nakshabid.com/" TargetMode="External"/><Relationship Id="rId43" Type="http://schemas.openxmlformats.org/officeDocument/2006/relationships/hyperlink" Target="http://www.nakshabid.com/" TargetMode="External"/><Relationship Id="rId46" Type="http://schemas.openxmlformats.org/officeDocument/2006/relationships/hyperlink" Target="http://www.pracheesthapati.com/" TargetMode="External"/><Relationship Id="rId45" Type="http://schemas.openxmlformats.org/officeDocument/2006/relationships/hyperlink" Target="http://www.olimahmud.com/" TargetMode="External"/><Relationship Id="rId1" Type="http://schemas.openxmlformats.org/officeDocument/2006/relationships/hyperlink" Target="http://www.abashan.com/" TargetMode="External"/><Relationship Id="rId2" Type="http://schemas.openxmlformats.org/officeDocument/2006/relationships/hyperlink" Target="http://www.akritybd.com/" TargetMode="External"/><Relationship Id="rId3" Type="http://schemas.openxmlformats.org/officeDocument/2006/relationships/hyperlink" Target="http://www.archeground.com/" TargetMode="External"/><Relationship Id="rId4" Type="http://schemas.openxmlformats.org/officeDocument/2006/relationships/hyperlink" Target="http://www.archiworks.bd.wix.com/Home" TargetMode="External"/><Relationship Id="rId9" Type="http://schemas.openxmlformats.org/officeDocument/2006/relationships/hyperlink" Target="http://www.archytasltd.com/" TargetMode="External"/><Relationship Id="rId48" Type="http://schemas.openxmlformats.org/officeDocument/2006/relationships/hyperlink" Target="http://www.pulbd.com/" TargetMode="External"/><Relationship Id="rId47" Type="http://schemas.openxmlformats.org/officeDocument/2006/relationships/hyperlink" Target="http://www.profilelimited.com/" TargetMode="External"/><Relationship Id="rId49" Type="http://schemas.openxmlformats.org/officeDocument/2006/relationships/hyperlink" Target="http://www.pronayon.com/" TargetMode="External"/><Relationship Id="rId5" Type="http://schemas.openxmlformats.org/officeDocument/2006/relationships/hyperlink" Target="http://www.archsel.com/" TargetMode="External"/><Relationship Id="rId6" Type="http://schemas.openxmlformats.org/officeDocument/2006/relationships/hyperlink" Target="http://www.artisanbd.com/" TargetMode="External"/><Relationship Id="rId7" Type="http://schemas.openxmlformats.org/officeDocument/2006/relationships/hyperlink" Target="http://aligngroupbd.com/webmail" TargetMode="External"/><Relationship Id="rId8" Type="http://schemas.openxmlformats.org/officeDocument/2006/relationships/hyperlink" Target="http://www.archpmc.com/" TargetMode="External"/><Relationship Id="rId73" Type="http://schemas.openxmlformats.org/officeDocument/2006/relationships/drawing" Target="../drawings/drawing6.xml"/><Relationship Id="rId72" Type="http://schemas.openxmlformats.org/officeDocument/2006/relationships/hyperlink" Target="http://www.4wallsbd.com/" TargetMode="External"/><Relationship Id="rId31" Type="http://schemas.openxmlformats.org/officeDocument/2006/relationships/hyperlink" Target="http://www.gravityarchitecturestudio.com/" TargetMode="External"/><Relationship Id="rId30" Type="http://schemas.openxmlformats.org/officeDocument/2006/relationships/hyperlink" Target="http://www.gravityarchitecturestudio.com/" TargetMode="External"/><Relationship Id="rId33" Type="http://schemas.openxmlformats.org/officeDocument/2006/relationships/hyperlink" Target="http://www.facebook.com/insightarch" TargetMode="External"/><Relationship Id="rId32" Type="http://schemas.openxmlformats.org/officeDocument/2006/relationships/hyperlink" Target="http://www.studioinarch.com.bd/" TargetMode="External"/><Relationship Id="rId35" Type="http://schemas.openxmlformats.org/officeDocument/2006/relationships/hyperlink" Target="http://www.inquestbd.com/" TargetMode="External"/><Relationship Id="rId34" Type="http://schemas.openxmlformats.org/officeDocument/2006/relationships/hyperlink" Target="http://www.inquestbd.com/" TargetMode="External"/><Relationship Id="rId71" Type="http://schemas.openxmlformats.org/officeDocument/2006/relationships/hyperlink" Target="http://www.4wallsbd.com/" TargetMode="External"/><Relationship Id="rId70" Type="http://schemas.openxmlformats.org/officeDocument/2006/relationships/hyperlink" Target="http://www.vitti.com.bd/" TargetMode="External"/><Relationship Id="rId37" Type="http://schemas.openxmlformats.org/officeDocument/2006/relationships/hyperlink" Target="http://www.khetro.com/" TargetMode="External"/><Relationship Id="rId36" Type="http://schemas.openxmlformats.org/officeDocument/2006/relationships/hyperlink" Target="http://www.jaarchitects.com.bd/" TargetMode="External"/><Relationship Id="rId39" Type="http://schemas.openxmlformats.org/officeDocument/2006/relationships/hyperlink" Target="https://www.facebook.com/K2AHArchitects" TargetMode="External"/><Relationship Id="rId38" Type="http://schemas.openxmlformats.org/officeDocument/2006/relationships/hyperlink" Target="http://www.khettraarchitects.com/" TargetMode="External"/><Relationship Id="rId62" Type="http://schemas.openxmlformats.org/officeDocument/2006/relationships/hyperlink" Target="http://www.studiomorphogenesis.com/" TargetMode="External"/><Relationship Id="rId61" Type="http://schemas.openxmlformats.org/officeDocument/2006/relationships/hyperlink" Target="http://www.systemarchitectsbd.com/" TargetMode="External"/><Relationship Id="rId20" Type="http://schemas.openxmlformats.org/officeDocument/2006/relationships/hyperlink" Target="http://www.cubeinsidebd.com/" TargetMode="External"/><Relationship Id="rId64" Type="http://schemas.openxmlformats.org/officeDocument/2006/relationships/hyperlink" Target="http://www.tknrk.com/" TargetMode="External"/><Relationship Id="rId63" Type="http://schemas.openxmlformats.org/officeDocument/2006/relationships/hyperlink" Target="http://www.studiomorphogenesis.com/" TargetMode="External"/><Relationship Id="rId22" Type="http://schemas.openxmlformats.org/officeDocument/2006/relationships/hyperlink" Target="http://www.designvision.com.bd/" TargetMode="External"/><Relationship Id="rId66" Type="http://schemas.openxmlformats.org/officeDocument/2006/relationships/hyperlink" Target="http://www.triotect.com.bd/" TargetMode="External"/><Relationship Id="rId21" Type="http://schemas.openxmlformats.org/officeDocument/2006/relationships/hyperlink" Target="http://www.deshupodesh.com/" TargetMode="External"/><Relationship Id="rId65" Type="http://schemas.openxmlformats.org/officeDocument/2006/relationships/hyperlink" Target="http://www.thalbd.com/" TargetMode="External"/><Relationship Id="rId24" Type="http://schemas.openxmlformats.org/officeDocument/2006/relationships/hyperlink" Target="http://www.dehsarworks.com/" TargetMode="External"/><Relationship Id="rId68" Type="http://schemas.openxmlformats.org/officeDocument/2006/relationships/hyperlink" Target="http://www.vuumaatra.com/" TargetMode="External"/><Relationship Id="rId23" Type="http://schemas.openxmlformats.org/officeDocument/2006/relationships/hyperlink" Target="http://www.domusbdarchitects.com/" TargetMode="External"/><Relationship Id="rId67" Type="http://schemas.openxmlformats.org/officeDocument/2006/relationships/hyperlink" Target="http://www.volumezeroltd.com/" TargetMode="External"/><Relationship Id="rId60" Type="http://schemas.openxmlformats.org/officeDocument/2006/relationships/hyperlink" Target="http://www.studiodhaka.com/" TargetMode="External"/><Relationship Id="rId26" Type="http://schemas.openxmlformats.org/officeDocument/2006/relationships/hyperlink" Target="http://www.dwm4.com/" TargetMode="External"/><Relationship Id="rId25" Type="http://schemas.openxmlformats.org/officeDocument/2006/relationships/hyperlink" Target="http://www.dwm4.com/" TargetMode="External"/><Relationship Id="rId69" Type="http://schemas.openxmlformats.org/officeDocument/2006/relationships/hyperlink" Target="http://www.vitti.com.bd/" TargetMode="External"/><Relationship Id="rId28" Type="http://schemas.openxmlformats.org/officeDocument/2006/relationships/hyperlink" Target="http://www.dwm4intrends.com/" TargetMode="External"/><Relationship Id="rId27" Type="http://schemas.openxmlformats.org/officeDocument/2006/relationships/hyperlink" Target="http://www.dwm4intrends.com/" TargetMode="External"/><Relationship Id="rId29" Type="http://schemas.openxmlformats.org/officeDocument/2006/relationships/hyperlink" Target="http://www.fourthdimensionbd.com/" TargetMode="External"/><Relationship Id="rId51" Type="http://schemas.openxmlformats.org/officeDocument/2006/relationships/hyperlink" Target="http://www.riverandrain.net/" TargetMode="External"/><Relationship Id="rId50" Type="http://schemas.openxmlformats.org/officeDocument/2006/relationships/hyperlink" Target="http://www.roofliners.org/" TargetMode="External"/><Relationship Id="rId53" Type="http://schemas.openxmlformats.org/officeDocument/2006/relationships/hyperlink" Target="http://www.silt.com.bd/" TargetMode="External"/><Relationship Id="rId52" Type="http://schemas.openxmlformats.org/officeDocument/2006/relationships/hyperlink" Target="http://www.riverandrain.net/" TargetMode="External"/><Relationship Id="rId11" Type="http://schemas.openxmlformats.org/officeDocument/2006/relationships/hyperlink" Target="http://www.ayoteek.com/" TargetMode="External"/><Relationship Id="rId55" Type="http://schemas.openxmlformats.org/officeDocument/2006/relationships/hyperlink" Target="http://www.stylelivingbd.com/" TargetMode="External"/><Relationship Id="rId10" Type="http://schemas.openxmlformats.org/officeDocument/2006/relationships/hyperlink" Target="http://www.arquitecturabd.com/" TargetMode="External"/><Relationship Id="rId54" Type="http://schemas.openxmlformats.org/officeDocument/2006/relationships/hyperlink" Target="http://www.studioecotecture.com/" TargetMode="External"/><Relationship Id="rId13" Type="http://schemas.openxmlformats.org/officeDocument/2006/relationships/hyperlink" Target="http://www.architectshorizon.com/" TargetMode="External"/><Relationship Id="rId57" Type="http://schemas.openxmlformats.org/officeDocument/2006/relationships/hyperlink" Target="http://www.spacearcht.com/" TargetMode="External"/><Relationship Id="rId12" Type="http://schemas.openxmlformats.org/officeDocument/2006/relationships/hyperlink" Target="http://www.architecturetomorrow.com/" TargetMode="External"/><Relationship Id="rId56" Type="http://schemas.openxmlformats.org/officeDocument/2006/relationships/hyperlink" Target="http://www.shatottogreen.com/" TargetMode="External"/><Relationship Id="rId15" Type="http://schemas.openxmlformats.org/officeDocument/2006/relationships/hyperlink" Target="http://archiworksbd.wixsite.com/home" TargetMode="External"/><Relationship Id="rId59" Type="http://schemas.openxmlformats.org/officeDocument/2006/relationships/hyperlink" Target="http://www.studiodhakaarchitects.com/" TargetMode="External"/><Relationship Id="rId14" Type="http://schemas.openxmlformats.org/officeDocument/2006/relationships/hyperlink" Target="http://archiworksbd.wixsite.com/home" TargetMode="External"/><Relationship Id="rId58" Type="http://schemas.openxmlformats.org/officeDocument/2006/relationships/hyperlink" Target="http://www.sthapotik.com/" TargetMode="External"/><Relationship Id="rId17" Type="http://schemas.openxmlformats.org/officeDocument/2006/relationships/hyperlink" Target="http://www.binyashltd.com/" TargetMode="External"/><Relationship Id="rId16" Type="http://schemas.openxmlformats.org/officeDocument/2006/relationships/hyperlink" Target="http://www.basatikalpa.com/" TargetMode="External"/><Relationship Id="rId19" Type="http://schemas.openxmlformats.org/officeDocument/2006/relationships/hyperlink" Target="http://www.37bridge.net/" TargetMode="External"/><Relationship Id="rId18" Type="http://schemas.openxmlformats.org/officeDocument/2006/relationships/hyperlink" Target="http://www.bksandassociates.com/" TargetMode="Externa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hyperlink" Target="http://www.delvistaa.com/" TargetMode="External"/><Relationship Id="rId2" Type="http://schemas.openxmlformats.org/officeDocument/2006/relationships/hyperlink" Target="http://synthesisarchitectsltd.com/" TargetMode="External"/><Relationship Id="rId3" Type="http://schemas.openxmlformats.org/officeDocument/2006/relationships/hyperlink" Target="http://kalpakarchitects.com/" TargetMode="External"/><Relationship Id="rId4" Type="http://schemas.openxmlformats.org/officeDocument/2006/relationships/hyperlink" Target="https://designcellbd.com/" TargetMode="External"/><Relationship Id="rId5" Type="http://schemas.openxmlformats.org/officeDocument/2006/relationships/hyperlink" Target="https://3pointsconsultant.com/" TargetMode="External"/><Relationship Id="rId6" Type="http://schemas.openxmlformats.org/officeDocument/2006/relationships/hyperlink" Target="http://archiworksbd.wixsite.com/home" TargetMode="External"/><Relationship Id="rId7" Type="http://schemas.openxmlformats.org/officeDocument/2006/relationships/hyperlink" Target="https://archdoers.com" TargetMode="External"/><Relationship Id="rId8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91.38"/>
    <col customWidth="1" min="2" max="6" width="12.63"/>
  </cols>
  <sheetData>
    <row r="1" ht="15.75" customHeight="1">
      <c r="A1" s="1" t="s">
        <v>0</v>
      </c>
      <c r="B1" s="1">
        <f t="shared" ref="B1:B1400" si="1">N(A1)</f>
        <v>0</v>
      </c>
    </row>
    <row r="2" ht="15.75" customHeight="1">
      <c r="A2" s="1" t="s">
        <v>1</v>
      </c>
      <c r="B2" s="2">
        <f t="shared" si="1"/>
        <v>0</v>
      </c>
    </row>
    <row r="3" ht="15.75" customHeight="1">
      <c r="A3" s="1">
        <v>1.0</v>
      </c>
      <c r="B3" s="1">
        <f t="shared" si="1"/>
        <v>1</v>
      </c>
    </row>
    <row r="4" ht="15.75" customHeight="1">
      <c r="A4" s="2" t="s">
        <v>2</v>
      </c>
      <c r="B4" s="2">
        <f t="shared" si="1"/>
        <v>0</v>
      </c>
    </row>
    <row r="5" ht="15.75" customHeight="1">
      <c r="A5" s="2" t="s">
        <v>3</v>
      </c>
      <c r="B5" s="2">
        <f t="shared" si="1"/>
        <v>0</v>
      </c>
    </row>
    <row r="6" ht="15.75" customHeight="1">
      <c r="A6" s="2" t="s">
        <v>4</v>
      </c>
      <c r="B6" s="2">
        <f t="shared" si="1"/>
        <v>0</v>
      </c>
    </row>
    <row r="7" ht="15.75" customHeight="1">
      <c r="A7" s="2" t="s">
        <v>5</v>
      </c>
      <c r="B7" s="2">
        <f t="shared" si="1"/>
        <v>0</v>
      </c>
    </row>
    <row r="8" ht="15.75" customHeight="1">
      <c r="A8" s="2" t="s">
        <v>6</v>
      </c>
      <c r="B8" s="2">
        <f t="shared" si="1"/>
        <v>0</v>
      </c>
    </row>
    <row r="9" ht="15.75" customHeight="1">
      <c r="A9" s="2" t="s">
        <v>7</v>
      </c>
      <c r="B9" s="2">
        <f t="shared" si="1"/>
        <v>0</v>
      </c>
    </row>
    <row r="10" ht="15.75" customHeight="1">
      <c r="A10" s="2" t="s">
        <v>8</v>
      </c>
      <c r="B10" s="2">
        <f t="shared" si="1"/>
        <v>0</v>
      </c>
    </row>
    <row r="11" ht="15.75" customHeight="1">
      <c r="A11" s="2" t="s">
        <v>9</v>
      </c>
      <c r="B11" s="2">
        <f t="shared" si="1"/>
        <v>0</v>
      </c>
    </row>
    <row r="12" ht="15.75" customHeight="1">
      <c r="A12" s="2" t="s">
        <v>10</v>
      </c>
      <c r="B12" s="2">
        <f t="shared" si="1"/>
        <v>0</v>
      </c>
    </row>
    <row r="13" ht="15.75" customHeight="1">
      <c r="A13" s="2" t="s">
        <v>11</v>
      </c>
      <c r="B13" s="2">
        <f t="shared" si="1"/>
        <v>0</v>
      </c>
    </row>
    <row r="14" ht="15.75" customHeight="1">
      <c r="A14" s="2" t="s">
        <v>12</v>
      </c>
      <c r="B14" s="2">
        <f t="shared" si="1"/>
        <v>0</v>
      </c>
    </row>
    <row r="15" ht="15.75" customHeight="1">
      <c r="A15" s="2" t="s">
        <v>13</v>
      </c>
      <c r="B15" s="2">
        <f t="shared" si="1"/>
        <v>0</v>
      </c>
    </row>
    <row r="16" ht="15.75" customHeight="1">
      <c r="A16" s="2" t="s">
        <v>14</v>
      </c>
      <c r="B16" s="2">
        <f t="shared" si="1"/>
        <v>0</v>
      </c>
    </row>
    <row r="17" ht="15.75" customHeight="1">
      <c r="A17" s="2" t="s">
        <v>7</v>
      </c>
      <c r="B17" s="2">
        <f t="shared" si="1"/>
        <v>0</v>
      </c>
    </row>
    <row r="18" ht="15.75" customHeight="1">
      <c r="A18" s="2" t="s">
        <v>15</v>
      </c>
      <c r="B18" s="2">
        <f t="shared" si="1"/>
        <v>0</v>
      </c>
    </row>
    <row r="19" ht="15.75" customHeight="1">
      <c r="A19" s="2" t="s">
        <v>9</v>
      </c>
      <c r="B19" s="2">
        <f t="shared" si="1"/>
        <v>0</v>
      </c>
    </row>
    <row r="20" ht="15.75" customHeight="1">
      <c r="A20" s="2" t="s">
        <v>16</v>
      </c>
      <c r="B20" s="2">
        <f t="shared" si="1"/>
        <v>0</v>
      </c>
    </row>
    <row r="21" ht="15.75" customHeight="1">
      <c r="A21" s="2" t="s">
        <v>17</v>
      </c>
      <c r="B21" s="2">
        <f t="shared" si="1"/>
        <v>0</v>
      </c>
    </row>
    <row r="22" ht="15.75" customHeight="1">
      <c r="A22" s="2" t="s">
        <v>18</v>
      </c>
      <c r="B22" s="2">
        <f t="shared" si="1"/>
        <v>0</v>
      </c>
    </row>
    <row r="23" ht="15.75" customHeight="1">
      <c r="A23" s="2" t="s">
        <v>19</v>
      </c>
      <c r="B23" s="2">
        <f t="shared" si="1"/>
        <v>0</v>
      </c>
    </row>
    <row r="24" ht="15.75" customHeight="1">
      <c r="A24" s="2" t="s">
        <v>20</v>
      </c>
      <c r="B24" s="2">
        <f t="shared" si="1"/>
        <v>0</v>
      </c>
    </row>
    <row r="25" ht="15.75" customHeight="1">
      <c r="A25" s="2" t="s">
        <v>21</v>
      </c>
      <c r="B25" s="2">
        <f t="shared" si="1"/>
        <v>0</v>
      </c>
    </row>
    <row r="26" ht="15.75" customHeight="1">
      <c r="A26" s="2" t="s">
        <v>7</v>
      </c>
      <c r="B26" s="2">
        <f t="shared" si="1"/>
        <v>0</v>
      </c>
    </row>
    <row r="27" ht="15.75" customHeight="1">
      <c r="A27" s="2" t="s">
        <v>22</v>
      </c>
      <c r="B27" s="2">
        <f t="shared" si="1"/>
        <v>0</v>
      </c>
    </row>
    <row r="28" ht="15.75" customHeight="1">
      <c r="A28" s="2" t="s">
        <v>23</v>
      </c>
      <c r="B28" s="2">
        <f t="shared" si="1"/>
        <v>0</v>
      </c>
    </row>
    <row r="29" ht="15.75" customHeight="1">
      <c r="A29" s="2" t="s">
        <v>9</v>
      </c>
      <c r="B29" s="2">
        <f t="shared" si="1"/>
        <v>0</v>
      </c>
    </row>
    <row r="30" ht="15.75" customHeight="1">
      <c r="A30" s="2" t="s">
        <v>24</v>
      </c>
      <c r="B30" s="2">
        <f t="shared" si="1"/>
        <v>0</v>
      </c>
    </row>
    <row r="31" ht="15.75" customHeight="1">
      <c r="A31" s="2" t="s">
        <v>25</v>
      </c>
      <c r="B31" s="2">
        <f t="shared" si="1"/>
        <v>0</v>
      </c>
    </row>
    <row r="32" ht="15.75" customHeight="1">
      <c r="A32" s="2" t="s">
        <v>26</v>
      </c>
      <c r="B32" s="2">
        <f t="shared" si="1"/>
        <v>0</v>
      </c>
    </row>
    <row r="33" ht="15.75" customHeight="1">
      <c r="A33" s="2" t="s">
        <v>27</v>
      </c>
      <c r="B33" s="2">
        <f t="shared" si="1"/>
        <v>0</v>
      </c>
    </row>
    <row r="34" ht="15.75" customHeight="1">
      <c r="A34" s="2" t="s">
        <v>28</v>
      </c>
      <c r="B34" s="2">
        <f t="shared" si="1"/>
        <v>0</v>
      </c>
    </row>
    <row r="35" ht="15.75" customHeight="1">
      <c r="A35" s="2" t="s">
        <v>29</v>
      </c>
      <c r="B35" s="2">
        <f t="shared" si="1"/>
        <v>0</v>
      </c>
    </row>
    <row r="36" ht="15.75" customHeight="1">
      <c r="A36" s="2" t="s">
        <v>7</v>
      </c>
      <c r="B36" s="2">
        <f t="shared" si="1"/>
        <v>0</v>
      </c>
    </row>
    <row r="37" ht="15.75" customHeight="1">
      <c r="A37" s="2" t="s">
        <v>30</v>
      </c>
      <c r="B37" s="2">
        <f t="shared" si="1"/>
        <v>0</v>
      </c>
    </row>
    <row r="38" ht="15.75" customHeight="1">
      <c r="A38" s="2" t="s">
        <v>9</v>
      </c>
      <c r="B38" s="2">
        <f t="shared" si="1"/>
        <v>0</v>
      </c>
    </row>
    <row r="39" ht="15.75" customHeight="1">
      <c r="A39" s="2" t="s">
        <v>31</v>
      </c>
      <c r="B39" s="2">
        <f t="shared" si="1"/>
        <v>0</v>
      </c>
    </row>
    <row r="40" ht="15.75" customHeight="1">
      <c r="A40" s="2" t="s">
        <v>32</v>
      </c>
      <c r="B40" s="2">
        <f t="shared" si="1"/>
        <v>0</v>
      </c>
    </row>
    <row r="41" ht="15.75" customHeight="1">
      <c r="A41" s="2" t="s">
        <v>33</v>
      </c>
      <c r="B41" s="2">
        <f t="shared" si="1"/>
        <v>0</v>
      </c>
    </row>
    <row r="42" ht="15.75" customHeight="1">
      <c r="A42" s="2" t="s">
        <v>34</v>
      </c>
      <c r="B42" s="2">
        <f t="shared" si="1"/>
        <v>0</v>
      </c>
    </row>
    <row r="43" ht="15.75" customHeight="1">
      <c r="A43" s="2" t="s">
        <v>35</v>
      </c>
      <c r="B43" s="2">
        <f t="shared" si="1"/>
        <v>0</v>
      </c>
    </row>
    <row r="44" ht="15.75" customHeight="1">
      <c r="A44" s="2">
        <f>8801713453239</f>
        <v>8801713453239</v>
      </c>
      <c r="B44" s="2">
        <f t="shared" si="1"/>
        <v>8801713453239</v>
      </c>
    </row>
    <row r="45" ht="15.75" customHeight="1">
      <c r="A45" s="2" t="s">
        <v>7</v>
      </c>
      <c r="B45" s="2">
        <f t="shared" si="1"/>
        <v>0</v>
      </c>
    </row>
    <row r="46" ht="15.75" customHeight="1">
      <c r="A46" s="2" t="s">
        <v>36</v>
      </c>
      <c r="B46" s="2">
        <f t="shared" si="1"/>
        <v>0</v>
      </c>
    </row>
    <row r="47" ht="15.75" customHeight="1">
      <c r="A47" s="2" t="s">
        <v>37</v>
      </c>
      <c r="B47" s="2">
        <f t="shared" si="1"/>
        <v>0</v>
      </c>
    </row>
    <row r="48" ht="15.75" customHeight="1">
      <c r="A48" s="2" t="s">
        <v>38</v>
      </c>
      <c r="B48" s="2">
        <f t="shared" si="1"/>
        <v>0</v>
      </c>
    </row>
    <row r="49" ht="15.75" customHeight="1">
      <c r="A49" s="1" t="s">
        <v>0</v>
      </c>
      <c r="B49" s="2">
        <f t="shared" si="1"/>
        <v>0</v>
      </c>
    </row>
    <row r="50" ht="15.75" customHeight="1">
      <c r="A50" s="1" t="s">
        <v>1</v>
      </c>
      <c r="B50" s="2">
        <f t="shared" si="1"/>
        <v>0</v>
      </c>
    </row>
    <row r="51" ht="15.75" customHeight="1">
      <c r="A51" s="1">
        <v>2.0</v>
      </c>
      <c r="B51" s="1">
        <f t="shared" si="1"/>
        <v>2</v>
      </c>
    </row>
    <row r="52" ht="15.75" customHeight="1">
      <c r="A52" s="2" t="s">
        <v>39</v>
      </c>
      <c r="B52" s="2">
        <f t="shared" si="1"/>
        <v>0</v>
      </c>
    </row>
    <row r="53" ht="15.75" customHeight="1">
      <c r="A53" s="2" t="s">
        <v>40</v>
      </c>
      <c r="B53" s="2">
        <f t="shared" si="1"/>
        <v>0</v>
      </c>
    </row>
    <row r="54" ht="15.75" customHeight="1">
      <c r="A54" s="2" t="s">
        <v>41</v>
      </c>
      <c r="B54" s="2">
        <f t="shared" si="1"/>
        <v>0</v>
      </c>
    </row>
    <row r="55" ht="15.75" customHeight="1">
      <c r="A55" s="2" t="s">
        <v>42</v>
      </c>
      <c r="B55" s="2">
        <f t="shared" si="1"/>
        <v>0</v>
      </c>
    </row>
    <row r="56" ht="15.75" customHeight="1">
      <c r="A56" s="2" t="s">
        <v>43</v>
      </c>
      <c r="B56" s="2">
        <f t="shared" si="1"/>
        <v>0</v>
      </c>
    </row>
    <row r="57" ht="15.75" customHeight="1">
      <c r="A57" s="2" t="s">
        <v>44</v>
      </c>
      <c r="B57" s="2">
        <f t="shared" si="1"/>
        <v>0</v>
      </c>
    </row>
    <row r="58" ht="15.75" customHeight="1">
      <c r="A58" s="2" t="s">
        <v>45</v>
      </c>
      <c r="B58" s="2">
        <f t="shared" si="1"/>
        <v>0</v>
      </c>
    </row>
    <row r="59" ht="15.75" customHeight="1">
      <c r="A59" s="2" t="s">
        <v>9</v>
      </c>
      <c r="B59" s="2">
        <f t="shared" si="1"/>
        <v>0</v>
      </c>
    </row>
    <row r="60" ht="15.75" customHeight="1">
      <c r="A60" s="2" t="s">
        <v>38</v>
      </c>
      <c r="B60" s="2">
        <f t="shared" si="1"/>
        <v>0</v>
      </c>
    </row>
    <row r="61" ht="15.75" customHeight="1">
      <c r="A61" s="2" t="s">
        <v>46</v>
      </c>
      <c r="B61" s="2">
        <f t="shared" si="1"/>
        <v>0</v>
      </c>
    </row>
    <row r="62" ht="15.75" customHeight="1">
      <c r="A62" s="2" t="s">
        <v>47</v>
      </c>
      <c r="B62" s="2">
        <f t="shared" si="1"/>
        <v>0</v>
      </c>
    </row>
    <row r="63" ht="15.75" customHeight="1">
      <c r="A63" s="2" t="s">
        <v>48</v>
      </c>
      <c r="B63" s="2">
        <f t="shared" si="1"/>
        <v>0</v>
      </c>
    </row>
    <row r="64" ht="15.75" customHeight="1">
      <c r="A64" s="2" t="s">
        <v>49</v>
      </c>
      <c r="B64" s="2">
        <f t="shared" si="1"/>
        <v>0</v>
      </c>
    </row>
    <row r="65" ht="15.75" customHeight="1">
      <c r="A65" s="2" t="s">
        <v>50</v>
      </c>
      <c r="B65" s="2">
        <f t="shared" si="1"/>
        <v>0</v>
      </c>
    </row>
    <row r="66" ht="15.75" customHeight="1">
      <c r="A66" s="2" t="s">
        <v>7</v>
      </c>
      <c r="B66" s="2">
        <f t="shared" si="1"/>
        <v>0</v>
      </c>
    </row>
    <row r="67" ht="15.75" customHeight="1">
      <c r="A67" s="2" t="s">
        <v>51</v>
      </c>
      <c r="B67" s="2">
        <f t="shared" si="1"/>
        <v>0</v>
      </c>
    </row>
    <row r="68" ht="15.75" customHeight="1">
      <c r="A68" s="2" t="s">
        <v>37</v>
      </c>
      <c r="B68" s="2">
        <f t="shared" si="1"/>
        <v>0</v>
      </c>
    </row>
    <row r="69" ht="15.75" customHeight="1">
      <c r="A69" s="2" t="s">
        <v>52</v>
      </c>
      <c r="B69" s="2">
        <f t="shared" si="1"/>
        <v>0</v>
      </c>
    </row>
    <row r="70" ht="15.75" customHeight="1">
      <c r="A70" s="1" t="s">
        <v>53</v>
      </c>
      <c r="B70" s="2">
        <f t="shared" si="1"/>
        <v>0</v>
      </c>
    </row>
    <row r="71" ht="15.75" customHeight="1">
      <c r="A71" s="1" t="s">
        <v>1</v>
      </c>
      <c r="B71" s="2">
        <f t="shared" si="1"/>
        <v>0</v>
      </c>
    </row>
    <row r="72" ht="15.75" customHeight="1">
      <c r="A72" s="1">
        <v>1.0</v>
      </c>
      <c r="B72" s="1">
        <f t="shared" si="1"/>
        <v>1</v>
      </c>
    </row>
    <row r="73" ht="15.75" customHeight="1">
      <c r="A73" s="2" t="s">
        <v>54</v>
      </c>
      <c r="B73" s="2">
        <f t="shared" si="1"/>
        <v>0</v>
      </c>
    </row>
    <row r="74" ht="15.75" customHeight="1">
      <c r="A74" s="2" t="s">
        <v>55</v>
      </c>
      <c r="B74" s="2">
        <f t="shared" si="1"/>
        <v>0</v>
      </c>
    </row>
    <row r="75" ht="15.75" customHeight="1">
      <c r="A75" s="2" t="s">
        <v>56</v>
      </c>
      <c r="B75" s="2">
        <f t="shared" si="1"/>
        <v>0</v>
      </c>
    </row>
    <row r="76" ht="15.75" customHeight="1">
      <c r="A76" s="2" t="s">
        <v>57</v>
      </c>
      <c r="B76" s="2">
        <f t="shared" si="1"/>
        <v>0</v>
      </c>
    </row>
    <row r="77" ht="15.75" customHeight="1">
      <c r="A77" s="2" t="s">
        <v>7</v>
      </c>
      <c r="B77" s="2">
        <f t="shared" si="1"/>
        <v>0</v>
      </c>
    </row>
    <row r="78" ht="15.75" customHeight="1">
      <c r="A78" s="2" t="s">
        <v>58</v>
      </c>
      <c r="B78" s="2">
        <f t="shared" si="1"/>
        <v>0</v>
      </c>
    </row>
    <row r="79" ht="15.75" customHeight="1">
      <c r="A79" s="2" t="s">
        <v>59</v>
      </c>
      <c r="B79" s="2">
        <f t="shared" si="1"/>
        <v>0</v>
      </c>
    </row>
    <row r="80" ht="15.75" customHeight="1">
      <c r="A80" s="2" t="s">
        <v>37</v>
      </c>
      <c r="B80" s="2">
        <f t="shared" si="1"/>
        <v>0</v>
      </c>
    </row>
    <row r="81" ht="15.75" customHeight="1">
      <c r="A81" s="2" t="s">
        <v>60</v>
      </c>
      <c r="B81" s="2">
        <f t="shared" si="1"/>
        <v>0</v>
      </c>
    </row>
    <row r="82" ht="15.75" customHeight="1">
      <c r="A82" s="2" t="s">
        <v>61</v>
      </c>
      <c r="B82" s="2">
        <f t="shared" si="1"/>
        <v>0</v>
      </c>
    </row>
    <row r="83" ht="15.75" customHeight="1">
      <c r="A83" s="2" t="s">
        <v>62</v>
      </c>
      <c r="B83" s="2">
        <f t="shared" si="1"/>
        <v>0</v>
      </c>
    </row>
    <row r="84" ht="15.75" customHeight="1">
      <c r="A84" s="2" t="s">
        <v>63</v>
      </c>
      <c r="B84" s="2">
        <f t="shared" si="1"/>
        <v>0</v>
      </c>
    </row>
    <row r="85" ht="15.75" customHeight="1">
      <c r="A85" s="2" t="s">
        <v>64</v>
      </c>
      <c r="B85" s="2">
        <f t="shared" si="1"/>
        <v>0</v>
      </c>
    </row>
    <row r="86" ht="15.75" customHeight="1">
      <c r="A86" s="2" t="s">
        <v>7</v>
      </c>
      <c r="B86" s="2">
        <f t="shared" si="1"/>
        <v>0</v>
      </c>
    </row>
    <row r="87" ht="15.75" customHeight="1">
      <c r="A87" s="2" t="s">
        <v>65</v>
      </c>
      <c r="B87" s="2">
        <f t="shared" si="1"/>
        <v>0</v>
      </c>
    </row>
    <row r="88" ht="15.75" customHeight="1">
      <c r="A88" s="2" t="s">
        <v>37</v>
      </c>
      <c r="B88" s="2">
        <f t="shared" si="1"/>
        <v>0</v>
      </c>
    </row>
    <row r="89" ht="15.75" customHeight="1">
      <c r="A89" s="2" t="s">
        <v>66</v>
      </c>
      <c r="B89" s="2">
        <f t="shared" si="1"/>
        <v>0</v>
      </c>
    </row>
    <row r="90" ht="15.75" customHeight="1">
      <c r="A90" s="2" t="s">
        <v>67</v>
      </c>
      <c r="B90" s="2">
        <f t="shared" si="1"/>
        <v>0</v>
      </c>
    </row>
    <row r="91" ht="15.75" customHeight="1">
      <c r="A91" s="2" t="s">
        <v>68</v>
      </c>
      <c r="B91" s="2">
        <f t="shared" si="1"/>
        <v>0</v>
      </c>
    </row>
    <row r="92" ht="15.75" customHeight="1">
      <c r="A92" s="2" t="s">
        <v>69</v>
      </c>
      <c r="B92" s="2">
        <f t="shared" si="1"/>
        <v>0</v>
      </c>
    </row>
    <row r="93" ht="15.75" customHeight="1">
      <c r="A93" s="2" t="s">
        <v>70</v>
      </c>
      <c r="B93" s="2">
        <f t="shared" si="1"/>
        <v>0</v>
      </c>
    </row>
    <row r="94" ht="15.75" customHeight="1">
      <c r="A94" s="2" t="s">
        <v>71</v>
      </c>
      <c r="B94" s="2">
        <f t="shared" si="1"/>
        <v>0</v>
      </c>
    </row>
    <row r="95" ht="15.75" customHeight="1">
      <c r="A95" s="2" t="s">
        <v>7</v>
      </c>
      <c r="B95" s="2">
        <f t="shared" si="1"/>
        <v>0</v>
      </c>
    </row>
    <row r="96" ht="15.75" customHeight="1">
      <c r="A96" s="2" t="s">
        <v>72</v>
      </c>
      <c r="B96" s="2">
        <f t="shared" si="1"/>
        <v>0</v>
      </c>
    </row>
    <row r="97" ht="15.75" customHeight="1">
      <c r="A97" s="2" t="s">
        <v>73</v>
      </c>
      <c r="B97" s="2">
        <f t="shared" si="1"/>
        <v>0</v>
      </c>
    </row>
    <row r="98" ht="15.75" customHeight="1">
      <c r="A98" s="2" t="s">
        <v>74</v>
      </c>
      <c r="B98" s="2">
        <f t="shared" si="1"/>
        <v>0</v>
      </c>
    </row>
    <row r="99" ht="15.75" customHeight="1">
      <c r="A99" s="2" t="s">
        <v>37</v>
      </c>
      <c r="B99" s="2">
        <f t="shared" si="1"/>
        <v>0</v>
      </c>
    </row>
    <row r="100" ht="15.75" customHeight="1">
      <c r="A100" s="2" t="s">
        <v>75</v>
      </c>
      <c r="B100" s="2">
        <f t="shared" si="1"/>
        <v>0</v>
      </c>
    </row>
    <row r="101" ht="15.75" customHeight="1">
      <c r="A101" s="1" t="s">
        <v>53</v>
      </c>
      <c r="B101" s="2">
        <f t="shared" si="1"/>
        <v>0</v>
      </c>
    </row>
    <row r="102" ht="15.75" customHeight="1">
      <c r="A102" s="1" t="s">
        <v>1</v>
      </c>
      <c r="B102" s="2">
        <f t="shared" si="1"/>
        <v>0</v>
      </c>
    </row>
    <row r="103" ht="15.75" customHeight="1">
      <c r="A103" s="1">
        <v>1.0</v>
      </c>
      <c r="B103" s="1">
        <f t="shared" si="1"/>
        <v>1</v>
      </c>
    </row>
    <row r="104" ht="15.75" customHeight="1">
      <c r="A104" s="2" t="s">
        <v>76</v>
      </c>
      <c r="B104" s="2">
        <f t="shared" si="1"/>
        <v>0</v>
      </c>
    </row>
    <row r="105" ht="15.75" customHeight="1">
      <c r="A105" s="2" t="s">
        <v>77</v>
      </c>
      <c r="B105" s="2">
        <f t="shared" si="1"/>
        <v>0</v>
      </c>
    </row>
    <row r="106" ht="15.75" customHeight="1">
      <c r="A106" s="2" t="s">
        <v>78</v>
      </c>
      <c r="B106" s="2">
        <f t="shared" si="1"/>
        <v>0</v>
      </c>
    </row>
    <row r="107" ht="15.75" customHeight="1">
      <c r="A107" s="2" t="s">
        <v>79</v>
      </c>
      <c r="B107" s="2">
        <f t="shared" si="1"/>
        <v>0</v>
      </c>
    </row>
    <row r="108" ht="15.75" customHeight="1">
      <c r="A108" s="2" t="s">
        <v>80</v>
      </c>
      <c r="B108" s="2">
        <f t="shared" si="1"/>
        <v>0</v>
      </c>
    </row>
    <row r="109" ht="15.75" customHeight="1">
      <c r="A109" s="2" t="s">
        <v>7</v>
      </c>
      <c r="B109" s="2">
        <f t="shared" si="1"/>
        <v>0</v>
      </c>
    </row>
    <row r="110" ht="15.75" customHeight="1">
      <c r="A110" s="2" t="s">
        <v>81</v>
      </c>
      <c r="B110" s="2">
        <f t="shared" si="1"/>
        <v>0</v>
      </c>
    </row>
    <row r="111" ht="15.75" customHeight="1">
      <c r="A111" s="2" t="s">
        <v>82</v>
      </c>
      <c r="B111" s="2">
        <f t="shared" si="1"/>
        <v>0</v>
      </c>
    </row>
    <row r="112" ht="15.75" customHeight="1">
      <c r="A112" s="2" t="s">
        <v>9</v>
      </c>
      <c r="B112" s="2">
        <f t="shared" si="1"/>
        <v>0</v>
      </c>
    </row>
    <row r="113" ht="15.75" customHeight="1">
      <c r="A113" s="2" t="s">
        <v>83</v>
      </c>
      <c r="B113" s="2">
        <f t="shared" si="1"/>
        <v>0</v>
      </c>
    </row>
    <row r="114" ht="15.75" customHeight="1">
      <c r="A114" s="2" t="s">
        <v>84</v>
      </c>
      <c r="B114" s="2">
        <f t="shared" si="1"/>
        <v>0</v>
      </c>
    </row>
    <row r="115" ht="15.75" customHeight="1">
      <c r="A115" s="2" t="s">
        <v>85</v>
      </c>
      <c r="B115" s="2">
        <f t="shared" si="1"/>
        <v>0</v>
      </c>
    </row>
    <row r="116" ht="15.75" customHeight="1">
      <c r="A116" s="2" t="s">
        <v>86</v>
      </c>
      <c r="B116" s="2">
        <f t="shared" si="1"/>
        <v>0</v>
      </c>
    </row>
    <row r="117" ht="15.75" customHeight="1">
      <c r="A117" s="2" t="s">
        <v>87</v>
      </c>
      <c r="B117" s="2">
        <f t="shared" si="1"/>
        <v>0</v>
      </c>
    </row>
    <row r="118" ht="15.75" customHeight="1">
      <c r="A118" s="2" t="s">
        <v>7</v>
      </c>
      <c r="B118" s="2">
        <f t="shared" si="1"/>
        <v>0</v>
      </c>
    </row>
    <row r="119" ht="15.75" customHeight="1">
      <c r="A119" s="2" t="s">
        <v>88</v>
      </c>
      <c r="B119" s="2">
        <f t="shared" si="1"/>
        <v>0</v>
      </c>
    </row>
    <row r="120" ht="15.75" customHeight="1">
      <c r="A120" s="2" t="s">
        <v>9</v>
      </c>
      <c r="B120" s="2">
        <f t="shared" si="1"/>
        <v>0</v>
      </c>
    </row>
    <row r="121" ht="15.75" customHeight="1">
      <c r="A121" s="2" t="s">
        <v>89</v>
      </c>
      <c r="B121" s="2">
        <f t="shared" si="1"/>
        <v>0</v>
      </c>
    </row>
    <row r="122" ht="15.75" customHeight="1">
      <c r="A122" s="2" t="s">
        <v>90</v>
      </c>
      <c r="B122" s="2">
        <f t="shared" si="1"/>
        <v>0</v>
      </c>
    </row>
    <row r="123" ht="15.75" customHeight="1">
      <c r="A123" s="2" t="s">
        <v>91</v>
      </c>
      <c r="B123" s="2">
        <f t="shared" si="1"/>
        <v>0</v>
      </c>
    </row>
    <row r="124" ht="15.75" customHeight="1">
      <c r="A124" s="2" t="s">
        <v>92</v>
      </c>
      <c r="B124" s="2">
        <f t="shared" si="1"/>
        <v>0</v>
      </c>
    </row>
    <row r="125" ht="15.75" customHeight="1">
      <c r="A125" s="2" t="s">
        <v>93</v>
      </c>
      <c r="B125" s="2">
        <f t="shared" si="1"/>
        <v>0</v>
      </c>
    </row>
    <row r="126" ht="15.75" customHeight="1">
      <c r="A126" s="2" t="s">
        <v>7</v>
      </c>
      <c r="B126" s="2">
        <f t="shared" si="1"/>
        <v>0</v>
      </c>
    </row>
    <row r="127" ht="15.75" customHeight="1">
      <c r="A127" s="2" t="s">
        <v>94</v>
      </c>
      <c r="B127" s="2">
        <f t="shared" si="1"/>
        <v>0</v>
      </c>
    </row>
    <row r="128" ht="15.75" customHeight="1">
      <c r="A128" s="2" t="s">
        <v>9</v>
      </c>
      <c r="B128" s="2">
        <f t="shared" si="1"/>
        <v>0</v>
      </c>
    </row>
    <row r="129" ht="15.75" customHeight="1">
      <c r="A129" s="2" t="s">
        <v>95</v>
      </c>
      <c r="B129" s="2">
        <f t="shared" si="1"/>
        <v>0</v>
      </c>
    </row>
    <row r="130" ht="15.75" customHeight="1">
      <c r="A130" s="2" t="s">
        <v>96</v>
      </c>
      <c r="B130" s="2">
        <f t="shared" si="1"/>
        <v>0</v>
      </c>
    </row>
    <row r="131" ht="15.75" customHeight="1">
      <c r="A131" s="2" t="s">
        <v>97</v>
      </c>
      <c r="B131" s="2">
        <f t="shared" si="1"/>
        <v>0</v>
      </c>
    </row>
    <row r="132" ht="15.75" customHeight="1">
      <c r="A132" s="2" t="s">
        <v>98</v>
      </c>
      <c r="B132" s="2">
        <f t="shared" si="1"/>
        <v>0</v>
      </c>
    </row>
    <row r="133" ht="15.75" customHeight="1">
      <c r="A133" s="2" t="s">
        <v>99</v>
      </c>
      <c r="B133" s="2">
        <f t="shared" si="1"/>
        <v>0</v>
      </c>
    </row>
    <row r="134" ht="15.75" customHeight="1">
      <c r="A134" s="2" t="s">
        <v>100</v>
      </c>
      <c r="B134" s="2">
        <f t="shared" si="1"/>
        <v>0</v>
      </c>
    </row>
    <row r="135" ht="15.75" customHeight="1">
      <c r="A135" s="2" t="s">
        <v>7</v>
      </c>
      <c r="B135" s="2">
        <f t="shared" si="1"/>
        <v>0</v>
      </c>
    </row>
    <row r="136" ht="15.75" customHeight="1">
      <c r="A136" s="2" t="s">
        <v>101</v>
      </c>
      <c r="B136" s="2">
        <f t="shared" si="1"/>
        <v>0</v>
      </c>
    </row>
    <row r="137" ht="15.75" customHeight="1">
      <c r="A137" s="2" t="s">
        <v>102</v>
      </c>
      <c r="B137" s="2">
        <f t="shared" si="1"/>
        <v>0</v>
      </c>
    </row>
    <row r="138" ht="15.75" customHeight="1">
      <c r="A138" s="2" t="s">
        <v>9</v>
      </c>
      <c r="B138" s="2">
        <f t="shared" si="1"/>
        <v>0</v>
      </c>
    </row>
    <row r="139" ht="15.75" customHeight="1">
      <c r="A139" s="2" t="s">
        <v>103</v>
      </c>
      <c r="B139" s="2">
        <f t="shared" si="1"/>
        <v>0</v>
      </c>
    </row>
    <row r="140" ht="15.75" customHeight="1">
      <c r="A140" s="2" t="s">
        <v>104</v>
      </c>
      <c r="B140" s="2">
        <f t="shared" si="1"/>
        <v>0</v>
      </c>
    </row>
    <row r="141" ht="15.75" customHeight="1">
      <c r="A141" s="2" t="s">
        <v>105</v>
      </c>
      <c r="B141" s="2">
        <f t="shared" si="1"/>
        <v>0</v>
      </c>
    </row>
    <row r="142" ht="15.75" customHeight="1">
      <c r="A142" s="2" t="s">
        <v>106</v>
      </c>
      <c r="B142" s="2">
        <f t="shared" si="1"/>
        <v>0</v>
      </c>
    </row>
    <row r="143" ht="15.75" customHeight="1">
      <c r="A143" s="2" t="s">
        <v>107</v>
      </c>
      <c r="B143" s="2">
        <f t="shared" si="1"/>
        <v>0</v>
      </c>
    </row>
    <row r="144" ht="15.75" customHeight="1">
      <c r="A144" s="2" t="s">
        <v>108</v>
      </c>
      <c r="B144" s="2">
        <f t="shared" si="1"/>
        <v>0</v>
      </c>
    </row>
    <row r="145" ht="15.75" customHeight="1">
      <c r="A145" s="2" t="s">
        <v>7</v>
      </c>
      <c r="B145" s="2">
        <f t="shared" si="1"/>
        <v>0</v>
      </c>
    </row>
    <row r="146" ht="15.75" customHeight="1">
      <c r="A146" s="2" t="s">
        <v>109</v>
      </c>
      <c r="B146" s="2">
        <f t="shared" si="1"/>
        <v>0</v>
      </c>
    </row>
    <row r="147" ht="15.75" customHeight="1">
      <c r="A147" s="2" t="s">
        <v>9</v>
      </c>
      <c r="B147" s="2">
        <f t="shared" si="1"/>
        <v>0</v>
      </c>
    </row>
    <row r="148" ht="15.75" customHeight="1">
      <c r="A148" s="2" t="s">
        <v>110</v>
      </c>
      <c r="B148" s="2">
        <f t="shared" si="1"/>
        <v>0</v>
      </c>
    </row>
    <row r="149" ht="15.75" customHeight="1">
      <c r="A149" s="1" t="s">
        <v>53</v>
      </c>
      <c r="B149" s="2">
        <f t="shared" si="1"/>
        <v>0</v>
      </c>
    </row>
    <row r="150" ht="15.75" customHeight="1">
      <c r="A150" s="1" t="s">
        <v>1</v>
      </c>
      <c r="B150" s="2">
        <f t="shared" si="1"/>
        <v>0</v>
      </c>
    </row>
    <row r="151" ht="15.75" customHeight="1">
      <c r="A151" s="1">
        <v>2.0</v>
      </c>
      <c r="B151" s="1">
        <f t="shared" si="1"/>
        <v>2</v>
      </c>
    </row>
    <row r="152" ht="15.75" customHeight="1">
      <c r="A152" s="2" t="s">
        <v>111</v>
      </c>
      <c r="B152" s="2">
        <f t="shared" si="1"/>
        <v>0</v>
      </c>
    </row>
    <row r="153" ht="15.75" customHeight="1">
      <c r="A153" s="2" t="s">
        <v>112</v>
      </c>
      <c r="B153" s="2">
        <f t="shared" si="1"/>
        <v>0</v>
      </c>
    </row>
    <row r="154" ht="15.75" customHeight="1">
      <c r="A154" s="2" t="s">
        <v>113</v>
      </c>
      <c r="B154" s="2">
        <f t="shared" si="1"/>
        <v>0</v>
      </c>
    </row>
    <row r="155" ht="15.75" customHeight="1">
      <c r="A155" s="2" t="s">
        <v>114</v>
      </c>
      <c r="B155" s="2">
        <f t="shared" si="1"/>
        <v>0</v>
      </c>
    </row>
    <row r="156" ht="15.75" customHeight="1">
      <c r="A156" s="2" t="s">
        <v>7</v>
      </c>
      <c r="B156" s="2">
        <f t="shared" si="1"/>
        <v>0</v>
      </c>
    </row>
    <row r="157" ht="15.75" customHeight="1">
      <c r="A157" s="2" t="s">
        <v>115</v>
      </c>
      <c r="B157" s="2">
        <f t="shared" si="1"/>
        <v>0</v>
      </c>
    </row>
    <row r="158" ht="15.75" customHeight="1">
      <c r="A158" s="2" t="s">
        <v>37</v>
      </c>
      <c r="B158" s="2">
        <f t="shared" si="1"/>
        <v>0</v>
      </c>
    </row>
    <row r="159" ht="15.75" customHeight="1">
      <c r="A159" s="2" t="s">
        <v>116</v>
      </c>
      <c r="B159" s="2">
        <f t="shared" si="1"/>
        <v>0</v>
      </c>
    </row>
    <row r="160" ht="15.75" customHeight="1">
      <c r="A160" s="2" t="s">
        <v>117</v>
      </c>
      <c r="B160" s="2">
        <f t="shared" si="1"/>
        <v>0</v>
      </c>
    </row>
    <row r="161" ht="15.75" customHeight="1">
      <c r="A161" s="2" t="s">
        <v>118</v>
      </c>
      <c r="B161" s="2">
        <f t="shared" si="1"/>
        <v>0</v>
      </c>
    </row>
    <row r="162" ht="15.75" customHeight="1">
      <c r="A162" s="2" t="s">
        <v>119</v>
      </c>
      <c r="B162" s="2">
        <f t="shared" si="1"/>
        <v>0</v>
      </c>
    </row>
    <row r="163" ht="15.75" customHeight="1">
      <c r="A163" s="2" t="s">
        <v>120</v>
      </c>
      <c r="B163" s="2">
        <f t="shared" si="1"/>
        <v>0</v>
      </c>
    </row>
    <row r="164" ht="15.75" customHeight="1">
      <c r="A164" s="2" t="s">
        <v>121</v>
      </c>
      <c r="B164" s="2">
        <f t="shared" si="1"/>
        <v>0</v>
      </c>
    </row>
    <row r="165" ht="15.75" customHeight="1">
      <c r="A165" s="2" t="s">
        <v>7</v>
      </c>
      <c r="B165" s="2">
        <f t="shared" si="1"/>
        <v>0</v>
      </c>
    </row>
    <row r="166" ht="15.75" customHeight="1">
      <c r="A166" s="2" t="s">
        <v>122</v>
      </c>
      <c r="B166" s="2">
        <f t="shared" si="1"/>
        <v>0</v>
      </c>
    </row>
    <row r="167" ht="15.75" customHeight="1">
      <c r="A167" s="2" t="s">
        <v>37</v>
      </c>
      <c r="B167" s="2">
        <f t="shared" si="1"/>
        <v>0</v>
      </c>
    </row>
    <row r="168" ht="15.75" customHeight="1">
      <c r="A168" s="2" t="s">
        <v>123</v>
      </c>
      <c r="B168" s="2">
        <f t="shared" si="1"/>
        <v>0</v>
      </c>
    </row>
    <row r="169" ht="15.75" customHeight="1">
      <c r="A169" s="2" t="s">
        <v>124</v>
      </c>
      <c r="B169" s="2">
        <f t="shared" si="1"/>
        <v>0</v>
      </c>
    </row>
    <row r="170" ht="15.75" customHeight="1">
      <c r="A170" s="2" t="s">
        <v>125</v>
      </c>
      <c r="B170" s="2">
        <f t="shared" si="1"/>
        <v>0</v>
      </c>
    </row>
    <row r="171" ht="15.75" customHeight="1">
      <c r="A171" s="2" t="s">
        <v>126</v>
      </c>
      <c r="B171" s="2">
        <f t="shared" si="1"/>
        <v>0</v>
      </c>
    </row>
    <row r="172" ht="15.75" customHeight="1">
      <c r="A172" s="2" t="s">
        <v>127</v>
      </c>
      <c r="B172" s="2">
        <f t="shared" si="1"/>
        <v>0</v>
      </c>
    </row>
    <row r="173" ht="15.75" customHeight="1">
      <c r="A173" s="2">
        <f>8801766490119</f>
        <v>8801766490119</v>
      </c>
      <c r="B173" s="2">
        <f t="shared" si="1"/>
        <v>8801766490119</v>
      </c>
    </row>
    <row r="174" ht="15.75" customHeight="1">
      <c r="A174" s="2" t="s">
        <v>128</v>
      </c>
      <c r="B174" s="2">
        <f t="shared" si="1"/>
        <v>0</v>
      </c>
    </row>
    <row r="175" ht="15.75" customHeight="1">
      <c r="A175" s="2" t="s">
        <v>7</v>
      </c>
      <c r="B175" s="2">
        <f t="shared" si="1"/>
        <v>0</v>
      </c>
    </row>
    <row r="176" ht="15.75" customHeight="1">
      <c r="A176" s="2" t="s">
        <v>129</v>
      </c>
      <c r="B176" s="2">
        <f t="shared" si="1"/>
        <v>0</v>
      </c>
    </row>
    <row r="177" ht="15.75" customHeight="1">
      <c r="A177" s="2" t="s">
        <v>37</v>
      </c>
      <c r="B177" s="2">
        <f t="shared" si="1"/>
        <v>0</v>
      </c>
    </row>
    <row r="178" ht="15.75" customHeight="1">
      <c r="A178" s="2" t="s">
        <v>130</v>
      </c>
      <c r="B178" s="2">
        <f t="shared" si="1"/>
        <v>0</v>
      </c>
    </row>
    <row r="179" ht="15.75" customHeight="1">
      <c r="A179" s="2" t="s">
        <v>131</v>
      </c>
      <c r="B179" s="2">
        <f t="shared" si="1"/>
        <v>0</v>
      </c>
    </row>
    <row r="180" ht="15.75" customHeight="1">
      <c r="A180" s="2" t="s">
        <v>132</v>
      </c>
      <c r="B180" s="2">
        <f t="shared" si="1"/>
        <v>0</v>
      </c>
    </row>
    <row r="181" ht="15.75" customHeight="1">
      <c r="A181" s="2" t="s">
        <v>133</v>
      </c>
      <c r="B181" s="2">
        <f t="shared" si="1"/>
        <v>0</v>
      </c>
    </row>
    <row r="182" ht="15.75" customHeight="1">
      <c r="A182" s="2" t="s">
        <v>134</v>
      </c>
      <c r="B182" s="2">
        <f t="shared" si="1"/>
        <v>0</v>
      </c>
    </row>
    <row r="183" ht="15.75" customHeight="1">
      <c r="A183" s="2" t="s">
        <v>7</v>
      </c>
      <c r="B183" s="2">
        <f t="shared" si="1"/>
        <v>0</v>
      </c>
    </row>
    <row r="184" ht="15.75" customHeight="1">
      <c r="A184" s="2" t="s">
        <v>135</v>
      </c>
      <c r="B184" s="2">
        <f t="shared" si="1"/>
        <v>0</v>
      </c>
    </row>
    <row r="185" ht="15.75" customHeight="1">
      <c r="A185" s="2" t="s">
        <v>136</v>
      </c>
      <c r="B185" s="2">
        <f t="shared" si="1"/>
        <v>0</v>
      </c>
    </row>
    <row r="186" ht="15.75" customHeight="1">
      <c r="A186" s="2" t="s">
        <v>137</v>
      </c>
      <c r="B186" s="2">
        <f t="shared" si="1"/>
        <v>0</v>
      </c>
    </row>
    <row r="187" ht="15.75" customHeight="1">
      <c r="A187" s="2" t="s">
        <v>37</v>
      </c>
      <c r="B187" s="2">
        <f t="shared" si="1"/>
        <v>0</v>
      </c>
    </row>
    <row r="188" ht="15.75" customHeight="1">
      <c r="A188" s="2" t="s">
        <v>138</v>
      </c>
      <c r="B188" s="2">
        <f t="shared" si="1"/>
        <v>0</v>
      </c>
    </row>
    <row r="189" ht="15.75" customHeight="1">
      <c r="A189" s="2" t="s">
        <v>139</v>
      </c>
      <c r="B189" s="2">
        <f t="shared" si="1"/>
        <v>0</v>
      </c>
    </row>
    <row r="190" ht="15.75" customHeight="1">
      <c r="A190" s="2" t="s">
        <v>140</v>
      </c>
      <c r="B190" s="2">
        <f t="shared" si="1"/>
        <v>0</v>
      </c>
    </row>
    <row r="191" ht="15.75" customHeight="1">
      <c r="A191" s="2" t="s">
        <v>141</v>
      </c>
      <c r="B191" s="2">
        <f t="shared" si="1"/>
        <v>0</v>
      </c>
    </row>
    <row r="192" ht="15.75" customHeight="1">
      <c r="A192" s="2" t="s">
        <v>142</v>
      </c>
      <c r="B192" s="2">
        <f t="shared" si="1"/>
        <v>0</v>
      </c>
    </row>
    <row r="193" ht="15.75" customHeight="1">
      <c r="A193" s="2" t="s">
        <v>143</v>
      </c>
      <c r="B193" s="2">
        <f t="shared" si="1"/>
        <v>0</v>
      </c>
    </row>
    <row r="194" ht="15.75" customHeight="1">
      <c r="A194" s="2">
        <f>8801819287680</f>
        <v>8801819287680</v>
      </c>
      <c r="B194" s="2">
        <f t="shared" si="1"/>
        <v>8801819287680</v>
      </c>
    </row>
    <row r="195" ht="15.75" customHeight="1">
      <c r="A195" s="2" t="s">
        <v>7</v>
      </c>
      <c r="B195" s="2">
        <f t="shared" si="1"/>
        <v>0</v>
      </c>
    </row>
    <row r="196" ht="15.75" customHeight="1">
      <c r="A196" s="2" t="s">
        <v>144</v>
      </c>
      <c r="B196" s="2">
        <f t="shared" si="1"/>
        <v>0</v>
      </c>
    </row>
    <row r="197" ht="15.75" customHeight="1">
      <c r="A197" s="2" t="s">
        <v>145</v>
      </c>
      <c r="B197" s="2">
        <f t="shared" si="1"/>
        <v>0</v>
      </c>
    </row>
    <row r="198" ht="15.75" customHeight="1">
      <c r="A198" s="2" t="s">
        <v>37</v>
      </c>
      <c r="B198" s="2">
        <f t="shared" si="1"/>
        <v>0</v>
      </c>
    </row>
    <row r="199" ht="15.75" customHeight="1">
      <c r="A199" s="2" t="s">
        <v>146</v>
      </c>
      <c r="B199" s="2">
        <f t="shared" si="1"/>
        <v>0</v>
      </c>
    </row>
    <row r="200" ht="15.75" customHeight="1">
      <c r="A200" s="1" t="s">
        <v>53</v>
      </c>
      <c r="B200" s="2">
        <f t="shared" si="1"/>
        <v>0</v>
      </c>
    </row>
    <row r="201" ht="15.75" customHeight="1">
      <c r="A201" s="1" t="s">
        <v>1</v>
      </c>
      <c r="B201" s="2">
        <f t="shared" si="1"/>
        <v>0</v>
      </c>
    </row>
    <row r="202" ht="15.75" customHeight="1">
      <c r="A202" s="1">
        <v>3.0</v>
      </c>
      <c r="B202" s="1">
        <f t="shared" si="1"/>
        <v>3</v>
      </c>
    </row>
    <row r="203" ht="15.75" customHeight="1">
      <c r="A203" s="2" t="s">
        <v>147</v>
      </c>
      <c r="B203" s="2">
        <f t="shared" si="1"/>
        <v>0</v>
      </c>
    </row>
    <row r="204" ht="15.75" customHeight="1">
      <c r="A204" s="2" t="s">
        <v>148</v>
      </c>
      <c r="B204" s="2">
        <f t="shared" si="1"/>
        <v>0</v>
      </c>
    </row>
    <row r="205" ht="15.75" customHeight="1">
      <c r="A205" s="2" t="s">
        <v>149</v>
      </c>
      <c r="B205" s="2">
        <f t="shared" si="1"/>
        <v>0</v>
      </c>
    </row>
    <row r="206" ht="15.75" customHeight="1">
      <c r="A206" s="2" t="s">
        <v>150</v>
      </c>
      <c r="B206" s="2">
        <f t="shared" si="1"/>
        <v>0</v>
      </c>
    </row>
    <row r="207" ht="15.75" customHeight="1">
      <c r="A207" s="2" t="s">
        <v>151</v>
      </c>
      <c r="B207" s="2">
        <f t="shared" si="1"/>
        <v>0</v>
      </c>
    </row>
    <row r="208" ht="15.75" customHeight="1">
      <c r="A208" s="2" t="s">
        <v>7</v>
      </c>
      <c r="B208" s="2">
        <f t="shared" si="1"/>
        <v>0</v>
      </c>
    </row>
    <row r="209" ht="15.75" customHeight="1">
      <c r="A209" s="2" t="s">
        <v>152</v>
      </c>
      <c r="B209" s="2">
        <f t="shared" si="1"/>
        <v>0</v>
      </c>
    </row>
    <row r="210" ht="15.75" customHeight="1">
      <c r="A210" s="2" t="s">
        <v>153</v>
      </c>
      <c r="B210" s="2">
        <f t="shared" si="1"/>
        <v>0</v>
      </c>
    </row>
    <row r="211" ht="15.75" customHeight="1">
      <c r="A211" s="2" t="s">
        <v>37</v>
      </c>
      <c r="B211" s="2">
        <f t="shared" si="1"/>
        <v>0</v>
      </c>
    </row>
    <row r="212" ht="15.75" customHeight="1">
      <c r="A212" s="2" t="s">
        <v>130</v>
      </c>
      <c r="B212" s="2">
        <f t="shared" si="1"/>
        <v>0</v>
      </c>
    </row>
    <row r="213" ht="15.75" customHeight="1">
      <c r="A213" s="2" t="s">
        <v>154</v>
      </c>
      <c r="B213" s="2">
        <f t="shared" si="1"/>
        <v>0</v>
      </c>
    </row>
    <row r="214" ht="15.75" customHeight="1">
      <c r="A214" s="2" t="s">
        <v>155</v>
      </c>
      <c r="B214" s="2">
        <f t="shared" si="1"/>
        <v>0</v>
      </c>
    </row>
    <row r="215" ht="15.75" customHeight="1">
      <c r="A215" s="2" t="s">
        <v>156</v>
      </c>
      <c r="B215" s="2">
        <f t="shared" si="1"/>
        <v>0</v>
      </c>
    </row>
    <row r="216" ht="15.75" customHeight="1">
      <c r="A216" s="2" t="s">
        <v>157</v>
      </c>
      <c r="B216" s="2">
        <f t="shared" si="1"/>
        <v>0</v>
      </c>
    </row>
    <row r="217" ht="15.75" customHeight="1">
      <c r="A217" s="2" t="s">
        <v>158</v>
      </c>
      <c r="B217" s="2">
        <f t="shared" si="1"/>
        <v>0</v>
      </c>
    </row>
    <row r="218" ht="15.75" customHeight="1">
      <c r="A218" s="2" t="s">
        <v>7</v>
      </c>
      <c r="B218" s="2">
        <f t="shared" si="1"/>
        <v>0</v>
      </c>
    </row>
    <row r="219" ht="15.75" customHeight="1">
      <c r="A219" s="2" t="s">
        <v>159</v>
      </c>
      <c r="B219" s="2">
        <f t="shared" si="1"/>
        <v>0</v>
      </c>
    </row>
    <row r="220" ht="15.75" customHeight="1">
      <c r="A220" s="2" t="s">
        <v>160</v>
      </c>
      <c r="B220" s="2">
        <f t="shared" si="1"/>
        <v>0</v>
      </c>
    </row>
    <row r="221" ht="15.75" customHeight="1">
      <c r="A221" s="2" t="s">
        <v>37</v>
      </c>
      <c r="B221" s="2">
        <f t="shared" si="1"/>
        <v>0</v>
      </c>
    </row>
    <row r="222" ht="15.75" customHeight="1">
      <c r="A222" s="2" t="s">
        <v>161</v>
      </c>
      <c r="B222" s="2">
        <f t="shared" si="1"/>
        <v>0</v>
      </c>
    </row>
    <row r="223" ht="15.75" customHeight="1">
      <c r="A223" s="2" t="s">
        <v>162</v>
      </c>
      <c r="B223" s="2">
        <f t="shared" si="1"/>
        <v>0</v>
      </c>
    </row>
    <row r="224" ht="15.75" customHeight="1">
      <c r="A224" s="2" t="s">
        <v>163</v>
      </c>
      <c r="B224" s="2">
        <f t="shared" si="1"/>
        <v>0</v>
      </c>
    </row>
    <row r="225" ht="15.75" customHeight="1">
      <c r="A225" s="2" t="s">
        <v>164</v>
      </c>
      <c r="B225" s="2">
        <f t="shared" si="1"/>
        <v>0</v>
      </c>
    </row>
    <row r="226" ht="15.75" customHeight="1">
      <c r="A226" s="2" t="s">
        <v>165</v>
      </c>
      <c r="B226" s="2">
        <f t="shared" si="1"/>
        <v>0</v>
      </c>
    </row>
    <row r="227" ht="15.75" customHeight="1">
      <c r="A227" s="2" t="s">
        <v>166</v>
      </c>
      <c r="B227" s="2">
        <f t="shared" si="1"/>
        <v>0</v>
      </c>
    </row>
    <row r="228" ht="15.75" customHeight="1">
      <c r="A228" s="2" t="s">
        <v>7</v>
      </c>
      <c r="B228" s="2">
        <f t="shared" si="1"/>
        <v>0</v>
      </c>
    </row>
    <row r="229" ht="15.75" customHeight="1">
      <c r="A229" s="2" t="s">
        <v>167</v>
      </c>
      <c r="B229" s="2">
        <f t="shared" si="1"/>
        <v>0</v>
      </c>
    </row>
    <row r="230" ht="15.75" customHeight="1">
      <c r="A230" s="2" t="s">
        <v>168</v>
      </c>
      <c r="B230" s="2">
        <f t="shared" si="1"/>
        <v>0</v>
      </c>
    </row>
    <row r="231" ht="15.75" customHeight="1">
      <c r="A231" s="2" t="s">
        <v>37</v>
      </c>
      <c r="B231" s="2">
        <f t="shared" si="1"/>
        <v>0</v>
      </c>
    </row>
    <row r="232" ht="15.75" customHeight="1">
      <c r="A232" s="2" t="s">
        <v>161</v>
      </c>
      <c r="B232" s="2">
        <f t="shared" si="1"/>
        <v>0</v>
      </c>
    </row>
    <row r="233" ht="15.75" customHeight="1">
      <c r="A233" s="1" t="s">
        <v>53</v>
      </c>
      <c r="B233" s="2">
        <f t="shared" si="1"/>
        <v>0</v>
      </c>
    </row>
    <row r="234" ht="15.75" customHeight="1">
      <c r="A234" s="1" t="s">
        <v>1</v>
      </c>
      <c r="B234" s="2">
        <f t="shared" si="1"/>
        <v>0</v>
      </c>
    </row>
    <row r="235" ht="15.75" customHeight="1">
      <c r="A235" s="1">
        <v>1.0</v>
      </c>
      <c r="B235" s="1">
        <f t="shared" si="1"/>
        <v>1</v>
      </c>
    </row>
    <row r="236" ht="15.75" customHeight="1">
      <c r="A236" s="2" t="s">
        <v>169</v>
      </c>
      <c r="B236" s="2">
        <f t="shared" si="1"/>
        <v>0</v>
      </c>
    </row>
    <row r="237" ht="15.75" customHeight="1">
      <c r="A237" s="2" t="s">
        <v>170</v>
      </c>
      <c r="B237" s="2">
        <f t="shared" si="1"/>
        <v>0</v>
      </c>
    </row>
    <row r="238" ht="15.75" customHeight="1">
      <c r="A238" s="2" t="s">
        <v>171</v>
      </c>
      <c r="B238" s="2">
        <f t="shared" si="1"/>
        <v>0</v>
      </c>
    </row>
    <row r="239" ht="15.75" customHeight="1">
      <c r="A239" s="2" t="s">
        <v>172</v>
      </c>
      <c r="B239" s="2">
        <f t="shared" si="1"/>
        <v>0</v>
      </c>
    </row>
    <row r="240" ht="15.75" customHeight="1">
      <c r="A240" s="2" t="s">
        <v>7</v>
      </c>
      <c r="B240" s="2">
        <f t="shared" si="1"/>
        <v>0</v>
      </c>
    </row>
    <row r="241" ht="15.75" customHeight="1">
      <c r="A241" s="2" t="s">
        <v>173</v>
      </c>
      <c r="B241" s="2">
        <f t="shared" si="1"/>
        <v>0</v>
      </c>
    </row>
    <row r="242" ht="15.75" customHeight="1">
      <c r="A242" s="2" t="s">
        <v>9</v>
      </c>
      <c r="B242" s="2">
        <f t="shared" si="1"/>
        <v>0</v>
      </c>
    </row>
    <row r="243" ht="15.75" customHeight="1">
      <c r="A243" s="2" t="s">
        <v>174</v>
      </c>
      <c r="B243" s="2">
        <f t="shared" si="1"/>
        <v>0</v>
      </c>
    </row>
    <row r="244" ht="15.75" customHeight="1">
      <c r="A244" s="2" t="s">
        <v>175</v>
      </c>
      <c r="B244" s="2">
        <f t="shared" si="1"/>
        <v>0</v>
      </c>
    </row>
    <row r="245" ht="15.75" customHeight="1">
      <c r="A245" s="2" t="s">
        <v>176</v>
      </c>
      <c r="B245" s="2">
        <f t="shared" si="1"/>
        <v>0</v>
      </c>
    </row>
    <row r="246" ht="15.75" customHeight="1">
      <c r="A246" s="2" t="s">
        <v>177</v>
      </c>
      <c r="B246" s="2">
        <f t="shared" si="1"/>
        <v>0</v>
      </c>
    </row>
    <row r="247" ht="15.75" customHeight="1">
      <c r="A247" s="2" t="s">
        <v>178</v>
      </c>
      <c r="B247" s="2">
        <f t="shared" si="1"/>
        <v>0</v>
      </c>
    </row>
    <row r="248" ht="15.75" customHeight="1">
      <c r="A248" s="2" t="s">
        <v>7</v>
      </c>
      <c r="B248" s="2">
        <f t="shared" si="1"/>
        <v>0</v>
      </c>
    </row>
    <row r="249" ht="15.75" customHeight="1">
      <c r="A249" s="2" t="s">
        <v>179</v>
      </c>
      <c r="B249" s="2">
        <f t="shared" si="1"/>
        <v>0</v>
      </c>
    </row>
    <row r="250" ht="15.75" customHeight="1">
      <c r="A250" s="2" t="s">
        <v>37</v>
      </c>
      <c r="B250" s="2">
        <f t="shared" si="1"/>
        <v>0</v>
      </c>
    </row>
    <row r="251" ht="15.75" customHeight="1">
      <c r="A251" s="2" t="s">
        <v>146</v>
      </c>
      <c r="B251" s="2">
        <f t="shared" si="1"/>
        <v>0</v>
      </c>
    </row>
    <row r="252" ht="15.75" customHeight="1">
      <c r="A252" s="2" t="s">
        <v>180</v>
      </c>
      <c r="B252" s="2">
        <f t="shared" si="1"/>
        <v>0</v>
      </c>
    </row>
    <row r="253" ht="15.75" customHeight="1">
      <c r="A253" s="2" t="s">
        <v>181</v>
      </c>
      <c r="B253" s="2">
        <f t="shared" si="1"/>
        <v>0</v>
      </c>
    </row>
    <row r="254" ht="15.75" customHeight="1">
      <c r="A254" s="2" t="s">
        <v>182</v>
      </c>
      <c r="B254" s="2">
        <f t="shared" si="1"/>
        <v>0</v>
      </c>
    </row>
    <row r="255" ht="15.75" customHeight="1">
      <c r="A255" s="2" t="s">
        <v>183</v>
      </c>
      <c r="B255" s="2">
        <f t="shared" si="1"/>
        <v>0</v>
      </c>
    </row>
    <row r="256" ht="15.75" customHeight="1">
      <c r="A256" s="2" t="s">
        <v>44</v>
      </c>
      <c r="B256" s="2">
        <f t="shared" si="1"/>
        <v>0</v>
      </c>
    </row>
    <row r="257" ht="15.75" customHeight="1">
      <c r="A257" s="2" t="s">
        <v>184</v>
      </c>
      <c r="B257" s="2">
        <f t="shared" si="1"/>
        <v>0</v>
      </c>
    </row>
    <row r="258" ht="15.75" customHeight="1">
      <c r="A258" s="2" t="s">
        <v>37</v>
      </c>
      <c r="B258" s="2">
        <f t="shared" si="1"/>
        <v>0</v>
      </c>
    </row>
    <row r="259" ht="15.75" customHeight="1">
      <c r="A259" s="2" t="s">
        <v>185</v>
      </c>
      <c r="B259" s="2">
        <f t="shared" si="1"/>
        <v>0</v>
      </c>
    </row>
    <row r="260" ht="15.75" customHeight="1">
      <c r="A260" s="2" t="s">
        <v>186</v>
      </c>
      <c r="B260" s="2">
        <f t="shared" si="1"/>
        <v>0</v>
      </c>
    </row>
    <row r="261" ht="15.75" customHeight="1">
      <c r="A261" s="2" t="s">
        <v>187</v>
      </c>
      <c r="B261" s="2">
        <f t="shared" si="1"/>
        <v>0</v>
      </c>
    </row>
    <row r="262" ht="15.75" customHeight="1">
      <c r="A262" s="2" t="s">
        <v>188</v>
      </c>
      <c r="B262" s="2">
        <f t="shared" si="1"/>
        <v>0</v>
      </c>
    </row>
    <row r="263" ht="15.75" customHeight="1">
      <c r="A263" s="2" t="s">
        <v>189</v>
      </c>
      <c r="B263" s="2">
        <f t="shared" si="1"/>
        <v>0</v>
      </c>
    </row>
    <row r="264" ht="15.75" customHeight="1">
      <c r="A264" s="2" t="s">
        <v>190</v>
      </c>
      <c r="B264" s="2">
        <f t="shared" si="1"/>
        <v>0</v>
      </c>
    </row>
    <row r="265" ht="15.75" customHeight="1">
      <c r="A265" s="2" t="s">
        <v>7</v>
      </c>
      <c r="B265" s="2">
        <f t="shared" si="1"/>
        <v>0</v>
      </c>
    </row>
    <row r="266" ht="15.75" customHeight="1">
      <c r="A266" s="2" t="s">
        <v>191</v>
      </c>
      <c r="B266" s="2">
        <f t="shared" si="1"/>
        <v>0</v>
      </c>
    </row>
    <row r="267" ht="15.75" customHeight="1">
      <c r="A267" s="2" t="s">
        <v>37</v>
      </c>
      <c r="B267" s="2">
        <f t="shared" si="1"/>
        <v>0</v>
      </c>
    </row>
    <row r="268" ht="15.75" customHeight="1">
      <c r="A268" s="2" t="s">
        <v>138</v>
      </c>
      <c r="B268" s="2">
        <f t="shared" si="1"/>
        <v>0</v>
      </c>
    </row>
    <row r="269" ht="15.75" customHeight="1">
      <c r="A269" s="1" t="s">
        <v>53</v>
      </c>
      <c r="B269" s="2">
        <f t="shared" si="1"/>
        <v>0</v>
      </c>
    </row>
    <row r="270" ht="15.75" customHeight="1">
      <c r="A270" s="1" t="s">
        <v>1</v>
      </c>
      <c r="B270" s="2">
        <f t="shared" si="1"/>
        <v>0</v>
      </c>
    </row>
    <row r="271" ht="15.75" customHeight="1">
      <c r="A271" s="1">
        <v>1.0</v>
      </c>
      <c r="B271" s="1">
        <f t="shared" si="1"/>
        <v>1</v>
      </c>
    </row>
    <row r="272" ht="15.75" customHeight="1">
      <c r="A272" s="2" t="s">
        <v>192</v>
      </c>
      <c r="B272" s="2">
        <f t="shared" si="1"/>
        <v>0</v>
      </c>
    </row>
    <row r="273" ht="15.75" customHeight="1">
      <c r="A273" s="2" t="s">
        <v>193</v>
      </c>
      <c r="B273" s="2">
        <f t="shared" si="1"/>
        <v>0</v>
      </c>
    </row>
    <row r="274" ht="15.75" customHeight="1">
      <c r="A274" s="2" t="s">
        <v>194</v>
      </c>
      <c r="B274" s="2">
        <f t="shared" si="1"/>
        <v>0</v>
      </c>
    </row>
    <row r="275" ht="15.75" customHeight="1">
      <c r="A275" s="2" t="s">
        <v>195</v>
      </c>
      <c r="B275" s="2">
        <f t="shared" si="1"/>
        <v>0</v>
      </c>
    </row>
    <row r="276" ht="15.75" customHeight="1">
      <c r="A276" s="2" t="s">
        <v>196</v>
      </c>
      <c r="B276" s="2">
        <f t="shared" si="1"/>
        <v>0</v>
      </c>
    </row>
    <row r="277" ht="15.75" customHeight="1">
      <c r="A277" s="2" t="s">
        <v>7</v>
      </c>
      <c r="B277" s="2">
        <f t="shared" si="1"/>
        <v>0</v>
      </c>
    </row>
    <row r="278" ht="15.75" customHeight="1">
      <c r="A278" s="2" t="s">
        <v>197</v>
      </c>
      <c r="B278" s="2">
        <f t="shared" si="1"/>
        <v>0</v>
      </c>
    </row>
    <row r="279" ht="15.75" customHeight="1">
      <c r="A279" s="2" t="s">
        <v>9</v>
      </c>
      <c r="B279" s="2">
        <f t="shared" si="1"/>
        <v>0</v>
      </c>
    </row>
    <row r="280" ht="15.75" customHeight="1">
      <c r="A280" s="2" t="s">
        <v>198</v>
      </c>
      <c r="B280" s="2">
        <f t="shared" si="1"/>
        <v>0</v>
      </c>
    </row>
    <row r="281" ht="15.75" customHeight="1">
      <c r="A281" s="2" t="s">
        <v>199</v>
      </c>
      <c r="B281" s="2">
        <f t="shared" si="1"/>
        <v>0</v>
      </c>
    </row>
    <row r="282" ht="15.75" customHeight="1">
      <c r="A282" s="2" t="s">
        <v>200</v>
      </c>
      <c r="B282" s="2">
        <f t="shared" si="1"/>
        <v>0</v>
      </c>
    </row>
    <row r="283" ht="15.75" customHeight="1">
      <c r="A283" s="2" t="s">
        <v>201</v>
      </c>
      <c r="B283" s="2">
        <f t="shared" si="1"/>
        <v>0</v>
      </c>
    </row>
    <row r="284" ht="15.75" customHeight="1">
      <c r="A284" s="2" t="s">
        <v>202</v>
      </c>
      <c r="B284" s="2">
        <f t="shared" si="1"/>
        <v>0</v>
      </c>
    </row>
    <row r="285" ht="15.75" customHeight="1">
      <c r="A285" s="2" t="s">
        <v>7</v>
      </c>
      <c r="B285" s="2">
        <f t="shared" si="1"/>
        <v>0</v>
      </c>
    </row>
    <row r="286" ht="15.75" customHeight="1">
      <c r="A286" s="2" t="s">
        <v>203</v>
      </c>
      <c r="B286" s="2">
        <f t="shared" si="1"/>
        <v>0</v>
      </c>
    </row>
    <row r="287" ht="15.75" customHeight="1">
      <c r="A287" s="2" t="s">
        <v>37</v>
      </c>
      <c r="B287" s="2">
        <f t="shared" si="1"/>
        <v>0</v>
      </c>
    </row>
    <row r="288" ht="15.75" customHeight="1">
      <c r="A288" s="2" t="s">
        <v>204</v>
      </c>
      <c r="B288" s="2">
        <f t="shared" si="1"/>
        <v>0</v>
      </c>
    </row>
    <row r="289" ht="15.75" customHeight="1">
      <c r="A289" s="2" t="s">
        <v>205</v>
      </c>
      <c r="B289" s="2">
        <f t="shared" si="1"/>
        <v>0</v>
      </c>
    </row>
    <row r="290" ht="15.75" customHeight="1">
      <c r="A290" s="2" t="s">
        <v>206</v>
      </c>
      <c r="B290" s="2">
        <f t="shared" si="1"/>
        <v>0</v>
      </c>
    </row>
    <row r="291" ht="15.75" customHeight="1">
      <c r="A291" s="2" t="s">
        <v>207</v>
      </c>
      <c r="B291" s="2">
        <f t="shared" si="1"/>
        <v>0</v>
      </c>
    </row>
    <row r="292" ht="15.75" customHeight="1">
      <c r="A292" s="2" t="s">
        <v>208</v>
      </c>
      <c r="B292" s="2">
        <f t="shared" si="1"/>
        <v>0</v>
      </c>
    </row>
    <row r="293" ht="15.75" customHeight="1">
      <c r="A293" s="2">
        <v>2863269.0</v>
      </c>
      <c r="B293" s="2">
        <f t="shared" si="1"/>
        <v>2863269</v>
      </c>
    </row>
    <row r="294" ht="15.75" customHeight="1">
      <c r="A294" s="2" t="s">
        <v>7</v>
      </c>
      <c r="B294" s="2">
        <f t="shared" si="1"/>
        <v>0</v>
      </c>
    </row>
    <row r="295" ht="15.75" customHeight="1">
      <c r="A295" s="2" t="s">
        <v>209</v>
      </c>
      <c r="B295" s="2">
        <f t="shared" si="1"/>
        <v>0</v>
      </c>
    </row>
    <row r="296" ht="15.75" customHeight="1">
      <c r="A296" s="2" t="s">
        <v>37</v>
      </c>
      <c r="B296" s="2">
        <f t="shared" si="1"/>
        <v>0</v>
      </c>
    </row>
    <row r="297" ht="15.75" customHeight="1">
      <c r="A297" s="2" t="s">
        <v>146</v>
      </c>
      <c r="B297" s="2">
        <f t="shared" si="1"/>
        <v>0</v>
      </c>
    </row>
    <row r="298" ht="15.75" customHeight="1">
      <c r="A298" s="1" t="s">
        <v>53</v>
      </c>
      <c r="B298" s="2">
        <f t="shared" si="1"/>
        <v>0</v>
      </c>
    </row>
    <row r="299" ht="15.75" customHeight="1">
      <c r="A299" s="1" t="s">
        <v>1</v>
      </c>
      <c r="B299" s="2">
        <f t="shared" si="1"/>
        <v>0</v>
      </c>
    </row>
    <row r="300" ht="15.75" customHeight="1">
      <c r="A300" s="1">
        <v>1.0</v>
      </c>
      <c r="B300" s="1">
        <f t="shared" si="1"/>
        <v>1</v>
      </c>
    </row>
    <row r="301" ht="15.75" customHeight="1">
      <c r="A301" s="2" t="s">
        <v>210</v>
      </c>
      <c r="B301" s="2">
        <f t="shared" si="1"/>
        <v>0</v>
      </c>
    </row>
    <row r="302" ht="15.75" customHeight="1">
      <c r="A302" s="2" t="s">
        <v>211</v>
      </c>
      <c r="B302" s="2">
        <f t="shared" si="1"/>
        <v>0</v>
      </c>
    </row>
    <row r="303" ht="15.75" customHeight="1">
      <c r="A303" s="2" t="s">
        <v>212</v>
      </c>
      <c r="B303" s="2">
        <f t="shared" si="1"/>
        <v>0</v>
      </c>
    </row>
    <row r="304" ht="15.75" customHeight="1">
      <c r="A304" s="2" t="s">
        <v>213</v>
      </c>
      <c r="B304" s="2">
        <f t="shared" si="1"/>
        <v>0</v>
      </c>
    </row>
    <row r="305" ht="15.75" customHeight="1">
      <c r="A305" s="2" t="s">
        <v>214</v>
      </c>
      <c r="B305" s="2">
        <f t="shared" si="1"/>
        <v>0</v>
      </c>
    </row>
    <row r="306" ht="15.75" customHeight="1">
      <c r="A306" s="2" t="s">
        <v>7</v>
      </c>
      <c r="B306" s="2">
        <f t="shared" si="1"/>
        <v>0</v>
      </c>
    </row>
    <row r="307" ht="15.75" customHeight="1">
      <c r="A307" s="2" t="s">
        <v>215</v>
      </c>
      <c r="B307" s="2">
        <f t="shared" si="1"/>
        <v>0</v>
      </c>
    </row>
    <row r="308" ht="15.75" customHeight="1">
      <c r="A308" s="2" t="s">
        <v>9</v>
      </c>
      <c r="B308" s="2">
        <f t="shared" si="1"/>
        <v>0</v>
      </c>
    </row>
    <row r="309" ht="15.75" customHeight="1">
      <c r="A309" s="2" t="s">
        <v>216</v>
      </c>
      <c r="B309" s="2">
        <f t="shared" si="1"/>
        <v>0</v>
      </c>
    </row>
    <row r="310" ht="15.75" customHeight="1">
      <c r="A310" s="2" t="s">
        <v>217</v>
      </c>
      <c r="B310" s="2">
        <f t="shared" si="1"/>
        <v>0</v>
      </c>
    </row>
    <row r="311" ht="15.75" customHeight="1">
      <c r="A311" s="2" t="s">
        <v>218</v>
      </c>
      <c r="B311" s="2">
        <f t="shared" si="1"/>
        <v>0</v>
      </c>
    </row>
    <row r="312" ht="15.75" customHeight="1">
      <c r="A312" s="2" t="s">
        <v>219</v>
      </c>
      <c r="B312" s="2">
        <f t="shared" si="1"/>
        <v>0</v>
      </c>
    </row>
    <row r="313" ht="15.75" customHeight="1">
      <c r="A313" s="2" t="s">
        <v>220</v>
      </c>
      <c r="B313" s="2">
        <f t="shared" si="1"/>
        <v>0</v>
      </c>
    </row>
    <row r="314" ht="15.75" customHeight="1">
      <c r="A314" s="2" t="s">
        <v>221</v>
      </c>
      <c r="B314" s="2">
        <f t="shared" si="1"/>
        <v>0</v>
      </c>
    </row>
    <row r="315" ht="15.75" customHeight="1">
      <c r="A315" s="2" t="s">
        <v>7</v>
      </c>
      <c r="B315" s="2">
        <f t="shared" si="1"/>
        <v>0</v>
      </c>
    </row>
    <row r="316" ht="15.75" customHeight="1">
      <c r="A316" s="2" t="s">
        <v>222</v>
      </c>
      <c r="B316" s="2">
        <f t="shared" si="1"/>
        <v>0</v>
      </c>
    </row>
    <row r="317" ht="15.75" customHeight="1">
      <c r="A317" s="2" t="s">
        <v>37</v>
      </c>
      <c r="B317" s="2">
        <f t="shared" si="1"/>
        <v>0</v>
      </c>
    </row>
    <row r="318" ht="15.75" customHeight="1">
      <c r="A318" s="2" t="s">
        <v>216</v>
      </c>
      <c r="B318" s="2">
        <f t="shared" si="1"/>
        <v>0</v>
      </c>
    </row>
    <row r="319" ht="15.75" customHeight="1">
      <c r="A319" s="2" t="s">
        <v>223</v>
      </c>
      <c r="B319" s="2">
        <f t="shared" si="1"/>
        <v>0</v>
      </c>
    </row>
    <row r="320" ht="15.75" customHeight="1">
      <c r="A320" s="2" t="s">
        <v>224</v>
      </c>
      <c r="B320" s="2">
        <f t="shared" si="1"/>
        <v>0</v>
      </c>
    </row>
    <row r="321" ht="15.75" customHeight="1">
      <c r="A321" s="2" t="s">
        <v>225</v>
      </c>
      <c r="B321" s="2">
        <f t="shared" si="1"/>
        <v>0</v>
      </c>
    </row>
    <row r="322" ht="15.75" customHeight="1">
      <c r="A322" s="2" t="s">
        <v>226</v>
      </c>
      <c r="B322" s="2">
        <f t="shared" si="1"/>
        <v>0</v>
      </c>
    </row>
    <row r="323" ht="15.75" customHeight="1">
      <c r="A323" s="2" t="s">
        <v>227</v>
      </c>
      <c r="B323" s="2">
        <f t="shared" si="1"/>
        <v>0</v>
      </c>
    </row>
    <row r="324" ht="15.75" customHeight="1">
      <c r="A324" s="2" t="s">
        <v>7</v>
      </c>
      <c r="B324" s="2">
        <f t="shared" si="1"/>
        <v>0</v>
      </c>
    </row>
    <row r="325" ht="15.75" customHeight="1">
      <c r="A325" s="2" t="s">
        <v>228</v>
      </c>
      <c r="B325" s="2">
        <f t="shared" si="1"/>
        <v>0</v>
      </c>
    </row>
    <row r="326" ht="15.75" customHeight="1">
      <c r="A326" s="2" t="s">
        <v>229</v>
      </c>
      <c r="B326" s="2">
        <f t="shared" si="1"/>
        <v>0</v>
      </c>
    </row>
    <row r="327" ht="15.75" customHeight="1">
      <c r="A327" s="2" t="s">
        <v>230</v>
      </c>
      <c r="B327" s="2">
        <f t="shared" si="1"/>
        <v>0</v>
      </c>
    </row>
    <row r="328" ht="15.75" customHeight="1">
      <c r="A328" s="2" t="s">
        <v>37</v>
      </c>
      <c r="B328" s="2">
        <f t="shared" si="1"/>
        <v>0</v>
      </c>
    </row>
    <row r="329" ht="15.75" customHeight="1">
      <c r="A329" s="2" t="s">
        <v>231</v>
      </c>
      <c r="B329" s="2">
        <f t="shared" si="1"/>
        <v>0</v>
      </c>
    </row>
    <row r="330" ht="15.75" customHeight="1">
      <c r="A330" s="1" t="s">
        <v>53</v>
      </c>
      <c r="B330" s="2">
        <f t="shared" si="1"/>
        <v>0</v>
      </c>
    </row>
    <row r="331" ht="15.75" customHeight="1">
      <c r="A331" s="1" t="s">
        <v>1</v>
      </c>
      <c r="B331" s="2">
        <f t="shared" si="1"/>
        <v>0</v>
      </c>
    </row>
    <row r="332" ht="15.75" customHeight="1">
      <c r="A332" s="1">
        <v>1.0</v>
      </c>
      <c r="B332" s="1">
        <f t="shared" si="1"/>
        <v>1</v>
      </c>
    </row>
    <row r="333" ht="15.75" customHeight="1">
      <c r="A333" s="2" t="s">
        <v>232</v>
      </c>
      <c r="B333" s="2">
        <f t="shared" si="1"/>
        <v>0</v>
      </c>
    </row>
    <row r="334" ht="15.75" customHeight="1">
      <c r="A334" s="2" t="s">
        <v>233</v>
      </c>
      <c r="B334" s="2">
        <f t="shared" si="1"/>
        <v>0</v>
      </c>
    </row>
    <row r="335" ht="15.75" customHeight="1">
      <c r="A335" s="2" t="s">
        <v>234</v>
      </c>
      <c r="B335" s="2">
        <f t="shared" si="1"/>
        <v>0</v>
      </c>
    </row>
    <row r="336" ht="15.75" customHeight="1">
      <c r="A336" s="2" t="s">
        <v>235</v>
      </c>
      <c r="B336" s="2">
        <f t="shared" si="1"/>
        <v>0</v>
      </c>
    </row>
    <row r="337" ht="15.75" customHeight="1">
      <c r="A337" s="2" t="s">
        <v>7</v>
      </c>
      <c r="B337" s="2">
        <f t="shared" si="1"/>
        <v>0</v>
      </c>
    </row>
    <row r="338" ht="15.75" customHeight="1">
      <c r="A338" s="2" t="s">
        <v>236</v>
      </c>
      <c r="B338" s="2">
        <f t="shared" si="1"/>
        <v>0</v>
      </c>
    </row>
    <row r="339" ht="15.75" customHeight="1">
      <c r="A339" s="2" t="s">
        <v>37</v>
      </c>
      <c r="B339" s="2">
        <f t="shared" si="1"/>
        <v>0</v>
      </c>
    </row>
    <row r="340" ht="15.75" customHeight="1">
      <c r="A340" s="2" t="s">
        <v>66</v>
      </c>
      <c r="B340" s="2">
        <f t="shared" si="1"/>
        <v>0</v>
      </c>
    </row>
    <row r="341" ht="15.75" customHeight="1">
      <c r="A341" s="1" t="s">
        <v>0</v>
      </c>
      <c r="B341" s="2">
        <f t="shared" si="1"/>
        <v>0</v>
      </c>
    </row>
    <row r="342" ht="15.75" customHeight="1">
      <c r="A342" s="1" t="s">
        <v>1</v>
      </c>
      <c r="B342" s="2">
        <f t="shared" si="1"/>
        <v>0</v>
      </c>
    </row>
    <row r="343" ht="15.75" customHeight="1">
      <c r="A343" s="1">
        <v>1.0</v>
      </c>
      <c r="B343" s="1">
        <f t="shared" si="1"/>
        <v>1</v>
      </c>
    </row>
    <row r="344" ht="15.75" customHeight="1">
      <c r="A344" s="2" t="s">
        <v>237</v>
      </c>
      <c r="B344" s="2">
        <f t="shared" si="1"/>
        <v>0</v>
      </c>
    </row>
    <row r="345" ht="15.75" customHeight="1">
      <c r="A345" s="2" t="s">
        <v>238</v>
      </c>
      <c r="B345" s="2">
        <f t="shared" si="1"/>
        <v>0</v>
      </c>
    </row>
    <row r="346" ht="15.75" customHeight="1">
      <c r="A346" s="2" t="s">
        <v>239</v>
      </c>
      <c r="B346" s="2">
        <f t="shared" si="1"/>
        <v>0</v>
      </c>
    </row>
    <row r="347" ht="15.75" customHeight="1">
      <c r="A347" s="2" t="s">
        <v>240</v>
      </c>
      <c r="B347" s="2">
        <f t="shared" si="1"/>
        <v>0</v>
      </c>
    </row>
    <row r="348" ht="15.75" customHeight="1">
      <c r="A348" s="2" t="s">
        <v>7</v>
      </c>
      <c r="B348" s="2">
        <f t="shared" si="1"/>
        <v>0</v>
      </c>
    </row>
    <row r="349" ht="15.75" customHeight="1">
      <c r="A349" s="2" t="s">
        <v>241</v>
      </c>
      <c r="B349" s="2">
        <f t="shared" si="1"/>
        <v>0</v>
      </c>
    </row>
    <row r="350" ht="15.75" customHeight="1">
      <c r="A350" s="2" t="s">
        <v>9</v>
      </c>
      <c r="B350" s="2">
        <f t="shared" si="1"/>
        <v>0</v>
      </c>
    </row>
    <row r="351" ht="15.75" customHeight="1">
      <c r="A351" s="2" t="s">
        <v>89</v>
      </c>
      <c r="B351" s="2">
        <f t="shared" si="1"/>
        <v>0</v>
      </c>
    </row>
    <row r="352" ht="15.75" customHeight="1">
      <c r="A352" s="2" t="s">
        <v>242</v>
      </c>
      <c r="B352" s="2">
        <f t="shared" si="1"/>
        <v>0</v>
      </c>
    </row>
    <row r="353" ht="15.75" customHeight="1">
      <c r="A353" s="2" t="s">
        <v>243</v>
      </c>
      <c r="B353" s="2">
        <f t="shared" si="1"/>
        <v>0</v>
      </c>
    </row>
    <row r="354" ht="15.75" customHeight="1">
      <c r="A354" s="2" t="s">
        <v>244</v>
      </c>
      <c r="B354" s="2">
        <f t="shared" si="1"/>
        <v>0</v>
      </c>
    </row>
    <row r="355" ht="15.75" customHeight="1">
      <c r="A355" s="2" t="s">
        <v>245</v>
      </c>
      <c r="B355" s="2">
        <f t="shared" si="1"/>
        <v>0</v>
      </c>
    </row>
    <row r="356" ht="15.75" customHeight="1">
      <c r="A356" s="2" t="s">
        <v>7</v>
      </c>
      <c r="B356" s="2">
        <f t="shared" si="1"/>
        <v>0</v>
      </c>
    </row>
    <row r="357" ht="15.75" customHeight="1">
      <c r="A357" s="2" t="s">
        <v>246</v>
      </c>
      <c r="B357" s="2">
        <f t="shared" si="1"/>
        <v>0</v>
      </c>
    </row>
    <row r="358" ht="15.75" customHeight="1">
      <c r="A358" s="2" t="s">
        <v>9</v>
      </c>
      <c r="B358" s="2">
        <f t="shared" si="1"/>
        <v>0</v>
      </c>
    </row>
    <row r="359" ht="15.75" customHeight="1">
      <c r="A359" s="2" t="s">
        <v>31</v>
      </c>
      <c r="B359" s="2">
        <f t="shared" si="1"/>
        <v>0</v>
      </c>
    </row>
    <row r="360" ht="15.75" customHeight="1">
      <c r="A360" s="2" t="s">
        <v>247</v>
      </c>
      <c r="B360" s="2">
        <f t="shared" si="1"/>
        <v>0</v>
      </c>
    </row>
    <row r="361" ht="15.75" customHeight="1">
      <c r="A361" s="2" t="s">
        <v>248</v>
      </c>
      <c r="B361" s="2">
        <f t="shared" si="1"/>
        <v>0</v>
      </c>
    </row>
    <row r="362" ht="15.75" customHeight="1">
      <c r="A362" s="2" t="s">
        <v>249</v>
      </c>
      <c r="B362" s="2">
        <f t="shared" si="1"/>
        <v>0</v>
      </c>
    </row>
    <row r="363" ht="15.75" customHeight="1">
      <c r="A363" s="2" t="s">
        <v>250</v>
      </c>
      <c r="B363" s="2">
        <f t="shared" si="1"/>
        <v>0</v>
      </c>
    </row>
    <row r="364" ht="15.75" customHeight="1">
      <c r="A364" s="2" t="s">
        <v>50</v>
      </c>
      <c r="B364" s="2">
        <f t="shared" si="1"/>
        <v>0</v>
      </c>
    </row>
    <row r="365" ht="15.75" customHeight="1">
      <c r="A365" s="2" t="s">
        <v>7</v>
      </c>
      <c r="B365" s="2">
        <f t="shared" si="1"/>
        <v>0</v>
      </c>
    </row>
    <row r="366" ht="15.75" customHeight="1">
      <c r="A366" s="2" t="s">
        <v>251</v>
      </c>
      <c r="B366" s="2">
        <f t="shared" si="1"/>
        <v>0</v>
      </c>
    </row>
    <row r="367" ht="15.75" customHeight="1">
      <c r="A367" s="2" t="s">
        <v>252</v>
      </c>
      <c r="B367" s="2">
        <f t="shared" si="1"/>
        <v>0</v>
      </c>
    </row>
    <row r="368" ht="15.75" customHeight="1">
      <c r="A368" s="2" t="s">
        <v>253</v>
      </c>
      <c r="B368" s="2">
        <f t="shared" si="1"/>
        <v>0</v>
      </c>
    </row>
    <row r="369" ht="15.75" customHeight="1">
      <c r="A369" s="2" t="s">
        <v>254</v>
      </c>
      <c r="B369" s="2">
        <f t="shared" si="1"/>
        <v>0</v>
      </c>
    </row>
    <row r="370" ht="15.75" customHeight="1">
      <c r="A370" s="2" t="s">
        <v>9</v>
      </c>
      <c r="B370" s="2">
        <f t="shared" si="1"/>
        <v>0</v>
      </c>
    </row>
    <row r="371" ht="15.75" customHeight="1">
      <c r="A371" s="2" t="s">
        <v>255</v>
      </c>
      <c r="B371" s="2">
        <f t="shared" si="1"/>
        <v>0</v>
      </c>
    </row>
    <row r="372" ht="15.75" customHeight="1">
      <c r="A372" s="2" t="s">
        <v>256</v>
      </c>
      <c r="B372" s="2">
        <f t="shared" si="1"/>
        <v>0</v>
      </c>
    </row>
    <row r="373" ht="15.75" customHeight="1">
      <c r="A373" s="2" t="s">
        <v>257</v>
      </c>
      <c r="B373" s="2">
        <f t="shared" si="1"/>
        <v>0</v>
      </c>
    </row>
    <row r="374" ht="15.75" customHeight="1">
      <c r="A374" s="2" t="s">
        <v>258</v>
      </c>
      <c r="B374" s="2">
        <f t="shared" si="1"/>
        <v>0</v>
      </c>
    </row>
    <row r="375" ht="15.75" customHeight="1">
      <c r="A375" s="2" t="s">
        <v>259</v>
      </c>
      <c r="B375" s="2">
        <f t="shared" si="1"/>
        <v>0</v>
      </c>
    </row>
    <row r="376" ht="15.75" customHeight="1">
      <c r="A376" s="2" t="s">
        <v>44</v>
      </c>
      <c r="B376" s="2">
        <f t="shared" si="1"/>
        <v>0</v>
      </c>
    </row>
    <row r="377" ht="15.75" customHeight="1">
      <c r="A377" s="2" t="s">
        <v>260</v>
      </c>
      <c r="B377" s="2">
        <f t="shared" si="1"/>
        <v>0</v>
      </c>
    </row>
    <row r="378" ht="15.75" customHeight="1">
      <c r="A378" s="2" t="s">
        <v>37</v>
      </c>
      <c r="B378" s="2">
        <f t="shared" si="1"/>
        <v>0</v>
      </c>
    </row>
    <row r="379" ht="15.75" customHeight="1">
      <c r="A379" s="2" t="s">
        <v>261</v>
      </c>
      <c r="B379" s="2">
        <f t="shared" si="1"/>
        <v>0</v>
      </c>
    </row>
    <row r="380" ht="15.75" customHeight="1">
      <c r="A380" s="2" t="s">
        <v>262</v>
      </c>
      <c r="B380" s="2">
        <f t="shared" si="1"/>
        <v>0</v>
      </c>
    </row>
    <row r="381" ht="15.75" customHeight="1">
      <c r="A381" s="2" t="s">
        <v>263</v>
      </c>
      <c r="B381" s="2">
        <f t="shared" si="1"/>
        <v>0</v>
      </c>
    </row>
    <row r="382" ht="15.75" customHeight="1">
      <c r="A382" s="2" t="s">
        <v>264</v>
      </c>
      <c r="B382" s="2">
        <f t="shared" si="1"/>
        <v>0</v>
      </c>
    </row>
    <row r="383" ht="15.75" customHeight="1">
      <c r="A383" s="2" t="s">
        <v>265</v>
      </c>
      <c r="B383" s="2">
        <f t="shared" si="1"/>
        <v>0</v>
      </c>
    </row>
    <row r="384" ht="15.75" customHeight="1">
      <c r="A384" s="2" t="s">
        <v>266</v>
      </c>
      <c r="B384" s="2">
        <f t="shared" si="1"/>
        <v>0</v>
      </c>
    </row>
    <row r="385" ht="15.75" customHeight="1">
      <c r="A385" s="2" t="s">
        <v>7</v>
      </c>
      <c r="B385" s="2">
        <f t="shared" si="1"/>
        <v>0</v>
      </c>
    </row>
    <row r="386" ht="15.75" customHeight="1">
      <c r="A386" s="2" t="s">
        <v>267</v>
      </c>
      <c r="B386" s="2">
        <f t="shared" si="1"/>
        <v>0</v>
      </c>
    </row>
    <row r="387" ht="15.75" customHeight="1">
      <c r="A387" s="2" t="s">
        <v>268</v>
      </c>
      <c r="B387" s="2">
        <f t="shared" si="1"/>
        <v>0</v>
      </c>
    </row>
    <row r="388" ht="15.75" customHeight="1">
      <c r="A388" s="2" t="s">
        <v>37</v>
      </c>
      <c r="B388" s="2">
        <f t="shared" si="1"/>
        <v>0</v>
      </c>
    </row>
    <row r="389" ht="15.75" customHeight="1">
      <c r="A389" s="2" t="s">
        <v>52</v>
      </c>
      <c r="B389" s="2">
        <f t="shared" si="1"/>
        <v>0</v>
      </c>
    </row>
    <row r="390" ht="15.75" customHeight="1">
      <c r="A390" s="1" t="s">
        <v>0</v>
      </c>
      <c r="B390" s="2">
        <f t="shared" si="1"/>
        <v>0</v>
      </c>
    </row>
    <row r="391" ht="15.75" customHeight="1">
      <c r="A391" s="1" t="s">
        <v>1</v>
      </c>
      <c r="B391" s="2">
        <f t="shared" si="1"/>
        <v>0</v>
      </c>
    </row>
    <row r="392" ht="15.75" customHeight="1">
      <c r="A392" s="1">
        <v>2.0</v>
      </c>
      <c r="B392" s="1">
        <f t="shared" si="1"/>
        <v>2</v>
      </c>
    </row>
    <row r="393" ht="15.75" customHeight="1">
      <c r="A393" s="2" t="s">
        <v>269</v>
      </c>
      <c r="B393" s="2">
        <f t="shared" si="1"/>
        <v>0</v>
      </c>
    </row>
    <row r="394" ht="15.75" customHeight="1">
      <c r="A394" s="2" t="s">
        <v>270</v>
      </c>
      <c r="B394" s="2">
        <f t="shared" si="1"/>
        <v>0</v>
      </c>
    </row>
    <row r="395" ht="15.75" customHeight="1">
      <c r="A395" s="2" t="s">
        <v>271</v>
      </c>
      <c r="B395" s="2">
        <f t="shared" si="1"/>
        <v>0</v>
      </c>
    </row>
    <row r="396" ht="15.75" customHeight="1">
      <c r="A396" s="2" t="s">
        <v>272</v>
      </c>
      <c r="B396" s="2">
        <f t="shared" si="1"/>
        <v>0</v>
      </c>
    </row>
    <row r="397" ht="15.75" customHeight="1">
      <c r="A397" s="2" t="s">
        <v>273</v>
      </c>
      <c r="B397" s="2">
        <f t="shared" si="1"/>
        <v>0</v>
      </c>
    </row>
    <row r="398" ht="15.75" customHeight="1">
      <c r="A398" s="2" t="s">
        <v>7</v>
      </c>
      <c r="B398" s="2">
        <f t="shared" si="1"/>
        <v>0</v>
      </c>
    </row>
    <row r="399" ht="15.75" customHeight="1">
      <c r="A399" s="2" t="s">
        <v>274</v>
      </c>
      <c r="B399" s="2">
        <f t="shared" si="1"/>
        <v>0</v>
      </c>
    </row>
    <row r="400" ht="15.75" customHeight="1">
      <c r="A400" s="2" t="s">
        <v>37</v>
      </c>
      <c r="B400" s="2">
        <f t="shared" si="1"/>
        <v>0</v>
      </c>
    </row>
    <row r="401" ht="15.75" customHeight="1">
      <c r="A401" s="2" t="s">
        <v>275</v>
      </c>
      <c r="B401" s="2">
        <f t="shared" si="1"/>
        <v>0</v>
      </c>
    </row>
    <row r="402" ht="15.75" customHeight="1">
      <c r="A402" s="2" t="s">
        <v>276</v>
      </c>
      <c r="B402" s="2">
        <f t="shared" si="1"/>
        <v>0</v>
      </c>
    </row>
    <row r="403" ht="15.75" customHeight="1">
      <c r="A403" s="2" t="s">
        <v>277</v>
      </c>
      <c r="B403" s="2">
        <f t="shared" si="1"/>
        <v>0</v>
      </c>
    </row>
    <row r="404" ht="15.75" customHeight="1">
      <c r="A404" s="2" t="s">
        <v>278</v>
      </c>
      <c r="B404" s="2">
        <f t="shared" si="1"/>
        <v>0</v>
      </c>
    </row>
    <row r="405" ht="15.75" customHeight="1">
      <c r="A405" s="2" t="s">
        <v>279</v>
      </c>
      <c r="B405" s="2">
        <f t="shared" si="1"/>
        <v>0</v>
      </c>
    </row>
    <row r="406" ht="15.75" customHeight="1">
      <c r="A406" s="2" t="s">
        <v>280</v>
      </c>
      <c r="B406" s="2">
        <f t="shared" si="1"/>
        <v>0</v>
      </c>
    </row>
    <row r="407" ht="15.75" customHeight="1">
      <c r="A407" s="2" t="s">
        <v>7</v>
      </c>
      <c r="B407" s="2">
        <f t="shared" si="1"/>
        <v>0</v>
      </c>
    </row>
    <row r="408" ht="15.75" customHeight="1">
      <c r="A408" s="2" t="s">
        <v>281</v>
      </c>
      <c r="B408" s="2">
        <f t="shared" si="1"/>
        <v>0</v>
      </c>
    </row>
    <row r="409" ht="15.75" customHeight="1">
      <c r="A409" s="2" t="s">
        <v>282</v>
      </c>
      <c r="B409" s="2">
        <f t="shared" si="1"/>
        <v>0</v>
      </c>
    </row>
    <row r="410" ht="15.75" customHeight="1">
      <c r="A410" s="2" t="s">
        <v>283</v>
      </c>
      <c r="B410" s="2">
        <f t="shared" si="1"/>
        <v>0</v>
      </c>
    </row>
    <row r="411" ht="15.75" customHeight="1">
      <c r="A411" s="2" t="s">
        <v>37</v>
      </c>
      <c r="B411" s="2">
        <f t="shared" si="1"/>
        <v>0</v>
      </c>
    </row>
    <row r="412" ht="15.75" customHeight="1">
      <c r="A412" s="2" t="s">
        <v>284</v>
      </c>
      <c r="B412" s="2">
        <f t="shared" si="1"/>
        <v>0</v>
      </c>
    </row>
    <row r="413" ht="15.75" customHeight="1">
      <c r="A413" s="2" t="s">
        <v>285</v>
      </c>
      <c r="B413" s="2">
        <f t="shared" si="1"/>
        <v>0</v>
      </c>
    </row>
    <row r="414" ht="15.75" customHeight="1">
      <c r="A414" s="2" t="s">
        <v>286</v>
      </c>
      <c r="B414" s="2">
        <f t="shared" si="1"/>
        <v>0</v>
      </c>
    </row>
    <row r="415" ht="15.75" customHeight="1">
      <c r="A415" s="2" t="s">
        <v>287</v>
      </c>
      <c r="B415" s="2">
        <f t="shared" si="1"/>
        <v>0</v>
      </c>
    </row>
    <row r="416" ht="15.75" customHeight="1">
      <c r="A416" s="2" t="s">
        <v>288</v>
      </c>
      <c r="B416" s="2">
        <f t="shared" si="1"/>
        <v>0</v>
      </c>
    </row>
    <row r="417" ht="15.75" customHeight="1">
      <c r="A417" s="2" t="s">
        <v>289</v>
      </c>
      <c r="B417" s="2">
        <f t="shared" si="1"/>
        <v>0</v>
      </c>
    </row>
    <row r="418" ht="15.75" customHeight="1">
      <c r="A418" s="2" t="s">
        <v>7</v>
      </c>
      <c r="B418" s="2">
        <f t="shared" si="1"/>
        <v>0</v>
      </c>
    </row>
    <row r="419" ht="15.75" customHeight="1">
      <c r="A419" s="2" t="s">
        <v>290</v>
      </c>
      <c r="B419" s="2">
        <f t="shared" si="1"/>
        <v>0</v>
      </c>
    </row>
    <row r="420" ht="15.75" customHeight="1">
      <c r="A420" s="2" t="s">
        <v>37</v>
      </c>
      <c r="B420" s="2">
        <f t="shared" si="1"/>
        <v>0</v>
      </c>
    </row>
    <row r="421" ht="15.75" customHeight="1">
      <c r="A421" s="2" t="s">
        <v>291</v>
      </c>
      <c r="B421" s="2">
        <f t="shared" si="1"/>
        <v>0</v>
      </c>
    </row>
    <row r="422" ht="15.75" customHeight="1">
      <c r="A422" s="1" t="s">
        <v>53</v>
      </c>
      <c r="B422" s="2">
        <f t="shared" si="1"/>
        <v>0</v>
      </c>
    </row>
    <row r="423" ht="15.75" customHeight="1">
      <c r="A423" s="1" t="s">
        <v>1</v>
      </c>
      <c r="B423" s="2">
        <f t="shared" si="1"/>
        <v>0</v>
      </c>
    </row>
    <row r="424" ht="15.75" customHeight="1">
      <c r="A424" s="1">
        <v>1.0</v>
      </c>
      <c r="B424" s="1">
        <f t="shared" si="1"/>
        <v>1</v>
      </c>
    </row>
    <row r="425" ht="15.75" customHeight="1">
      <c r="A425" s="2" t="s">
        <v>292</v>
      </c>
      <c r="B425" s="2">
        <f t="shared" si="1"/>
        <v>0</v>
      </c>
    </row>
    <row r="426" ht="15.75" customHeight="1">
      <c r="A426" s="2" t="s">
        <v>293</v>
      </c>
      <c r="B426" s="2">
        <f t="shared" si="1"/>
        <v>0</v>
      </c>
    </row>
    <row r="427" ht="15.75" customHeight="1">
      <c r="A427" s="2" t="s">
        <v>294</v>
      </c>
      <c r="B427" s="2">
        <f t="shared" si="1"/>
        <v>0</v>
      </c>
    </row>
    <row r="428" ht="15.75" customHeight="1">
      <c r="A428" s="2" t="s">
        <v>295</v>
      </c>
      <c r="B428" s="2">
        <f t="shared" si="1"/>
        <v>0</v>
      </c>
    </row>
    <row r="429" ht="15.75" customHeight="1">
      <c r="A429" s="2" t="s">
        <v>296</v>
      </c>
      <c r="B429" s="2">
        <f t="shared" si="1"/>
        <v>0</v>
      </c>
    </row>
    <row r="430" ht="15.75" customHeight="1">
      <c r="A430" s="2" t="s">
        <v>7</v>
      </c>
      <c r="B430" s="2">
        <f t="shared" si="1"/>
        <v>0</v>
      </c>
    </row>
    <row r="431" ht="15.75" customHeight="1">
      <c r="A431" s="2" t="s">
        <v>297</v>
      </c>
      <c r="B431" s="2">
        <f t="shared" si="1"/>
        <v>0</v>
      </c>
    </row>
    <row r="432" ht="15.75" customHeight="1">
      <c r="A432" s="2" t="s">
        <v>298</v>
      </c>
      <c r="B432" s="2">
        <f t="shared" si="1"/>
        <v>0</v>
      </c>
    </row>
    <row r="433" ht="15.75" customHeight="1">
      <c r="A433" s="2" t="s">
        <v>299</v>
      </c>
      <c r="B433" s="2">
        <f t="shared" si="1"/>
        <v>0</v>
      </c>
    </row>
    <row r="434" ht="15.75" customHeight="1">
      <c r="A434" s="2" t="s">
        <v>300</v>
      </c>
      <c r="B434" s="2">
        <f t="shared" si="1"/>
        <v>0</v>
      </c>
    </row>
    <row r="435" ht="15.75" customHeight="1">
      <c r="A435" s="2" t="s">
        <v>37</v>
      </c>
      <c r="B435" s="2">
        <f t="shared" si="1"/>
        <v>0</v>
      </c>
    </row>
    <row r="436" ht="15.75" customHeight="1">
      <c r="A436" s="2" t="s">
        <v>301</v>
      </c>
      <c r="B436" s="2">
        <f t="shared" si="1"/>
        <v>0</v>
      </c>
    </row>
    <row r="437" ht="15.75" customHeight="1">
      <c r="A437" s="2" t="s">
        <v>302</v>
      </c>
      <c r="B437" s="2">
        <f t="shared" si="1"/>
        <v>0</v>
      </c>
    </row>
    <row r="438" ht="15.75" customHeight="1">
      <c r="A438" s="2" t="s">
        <v>303</v>
      </c>
      <c r="B438" s="2">
        <f t="shared" si="1"/>
        <v>0</v>
      </c>
    </row>
    <row r="439" ht="15.75" customHeight="1">
      <c r="A439" s="2" t="s">
        <v>304</v>
      </c>
      <c r="B439" s="2">
        <f t="shared" si="1"/>
        <v>0</v>
      </c>
    </row>
    <row r="440" ht="15.75" customHeight="1">
      <c r="A440" s="2" t="s">
        <v>305</v>
      </c>
      <c r="B440" s="2">
        <f t="shared" si="1"/>
        <v>0</v>
      </c>
    </row>
    <row r="441" ht="15.75" customHeight="1">
      <c r="A441" s="2" t="s">
        <v>7</v>
      </c>
      <c r="B441" s="2">
        <f t="shared" si="1"/>
        <v>0</v>
      </c>
    </row>
    <row r="442" ht="15.75" customHeight="1">
      <c r="A442" s="2" t="s">
        <v>306</v>
      </c>
      <c r="B442" s="2">
        <f t="shared" si="1"/>
        <v>0</v>
      </c>
    </row>
    <row r="443" ht="15.75" customHeight="1">
      <c r="A443" s="2" t="s">
        <v>37</v>
      </c>
      <c r="B443" s="2">
        <f t="shared" si="1"/>
        <v>0</v>
      </c>
    </row>
    <row r="444" ht="15.75" customHeight="1">
      <c r="A444" s="2" t="s">
        <v>130</v>
      </c>
      <c r="B444" s="2">
        <f t="shared" si="1"/>
        <v>0</v>
      </c>
    </row>
    <row r="445" ht="15.75" customHeight="1">
      <c r="A445" s="1" t="s">
        <v>53</v>
      </c>
      <c r="B445" s="2">
        <f t="shared" si="1"/>
        <v>0</v>
      </c>
    </row>
    <row r="446" ht="15.75" customHeight="1">
      <c r="A446" s="1" t="s">
        <v>1</v>
      </c>
      <c r="B446" s="2">
        <f t="shared" si="1"/>
        <v>0</v>
      </c>
    </row>
    <row r="447" ht="15.75" customHeight="1">
      <c r="A447" s="1">
        <v>1.0</v>
      </c>
      <c r="B447" s="1">
        <f t="shared" si="1"/>
        <v>1</v>
      </c>
    </row>
    <row r="448" ht="15.75" customHeight="1">
      <c r="A448" s="2" t="s">
        <v>307</v>
      </c>
      <c r="B448" s="2">
        <f t="shared" si="1"/>
        <v>0</v>
      </c>
    </row>
    <row r="449" ht="15.75" customHeight="1">
      <c r="A449" s="2" t="s">
        <v>308</v>
      </c>
      <c r="B449" s="2">
        <f t="shared" si="1"/>
        <v>0</v>
      </c>
    </row>
    <row r="450" ht="15.75" customHeight="1">
      <c r="A450" s="2" t="s">
        <v>309</v>
      </c>
      <c r="B450" s="2">
        <f t="shared" si="1"/>
        <v>0</v>
      </c>
    </row>
    <row r="451" ht="15.75" customHeight="1">
      <c r="A451" s="2" t="s">
        <v>310</v>
      </c>
      <c r="B451" s="2">
        <f t="shared" si="1"/>
        <v>0</v>
      </c>
    </row>
    <row r="452" ht="15.75" customHeight="1">
      <c r="A452" s="2" t="s">
        <v>311</v>
      </c>
      <c r="B452" s="2">
        <f t="shared" si="1"/>
        <v>0</v>
      </c>
    </row>
    <row r="453" ht="15.75" customHeight="1">
      <c r="A453" s="2" t="s">
        <v>7</v>
      </c>
      <c r="B453" s="2">
        <f t="shared" si="1"/>
        <v>0</v>
      </c>
    </row>
    <row r="454" ht="15.75" customHeight="1">
      <c r="A454" s="2" t="s">
        <v>312</v>
      </c>
      <c r="B454" s="2">
        <f t="shared" si="1"/>
        <v>0</v>
      </c>
    </row>
    <row r="455" ht="15.75" customHeight="1">
      <c r="A455" s="2" t="s">
        <v>313</v>
      </c>
      <c r="B455" s="2">
        <f t="shared" si="1"/>
        <v>0</v>
      </c>
    </row>
    <row r="456" ht="15.75" customHeight="1">
      <c r="A456" s="2" t="s">
        <v>314</v>
      </c>
      <c r="B456" s="2">
        <f t="shared" si="1"/>
        <v>0</v>
      </c>
    </row>
    <row r="457" ht="15.75" customHeight="1">
      <c r="A457" s="2" t="s">
        <v>315</v>
      </c>
      <c r="B457" s="2">
        <f t="shared" si="1"/>
        <v>0</v>
      </c>
    </row>
    <row r="458" ht="15.75" customHeight="1">
      <c r="A458" s="2" t="s">
        <v>9</v>
      </c>
      <c r="B458" s="2">
        <f t="shared" si="1"/>
        <v>0</v>
      </c>
    </row>
    <row r="459" ht="15.75" customHeight="1">
      <c r="A459" s="2" t="s">
        <v>123</v>
      </c>
      <c r="B459" s="2">
        <f t="shared" si="1"/>
        <v>0</v>
      </c>
    </row>
    <row r="460" ht="15.75" customHeight="1">
      <c r="A460" s="2" t="s">
        <v>316</v>
      </c>
      <c r="B460" s="2">
        <f t="shared" si="1"/>
        <v>0</v>
      </c>
    </row>
    <row r="461" ht="15.75" customHeight="1">
      <c r="A461" s="2" t="s">
        <v>317</v>
      </c>
      <c r="B461" s="2">
        <f t="shared" si="1"/>
        <v>0</v>
      </c>
    </row>
    <row r="462" ht="15.75" customHeight="1">
      <c r="A462" s="2" t="s">
        <v>318</v>
      </c>
      <c r="B462" s="2">
        <f t="shared" si="1"/>
        <v>0</v>
      </c>
    </row>
    <row r="463" ht="15.75" customHeight="1">
      <c r="A463" s="2" t="s">
        <v>319</v>
      </c>
      <c r="B463" s="2">
        <f t="shared" si="1"/>
        <v>0</v>
      </c>
    </row>
    <row r="464" ht="15.75" customHeight="1">
      <c r="A464" s="2" t="s">
        <v>320</v>
      </c>
      <c r="B464" s="2">
        <f t="shared" si="1"/>
        <v>0</v>
      </c>
    </row>
    <row r="465" ht="15.75" customHeight="1">
      <c r="A465" s="2" t="s">
        <v>7</v>
      </c>
      <c r="B465" s="2">
        <f t="shared" si="1"/>
        <v>0</v>
      </c>
    </row>
    <row r="466" ht="15.75" customHeight="1">
      <c r="A466" s="2" t="s">
        <v>321</v>
      </c>
      <c r="B466" s="2">
        <f t="shared" si="1"/>
        <v>0</v>
      </c>
    </row>
    <row r="467" ht="15.75" customHeight="1">
      <c r="A467" s="2" t="s">
        <v>9</v>
      </c>
      <c r="B467" s="2">
        <f t="shared" si="1"/>
        <v>0</v>
      </c>
    </row>
    <row r="468" ht="15.75" customHeight="1">
      <c r="A468" s="2" t="s">
        <v>10</v>
      </c>
      <c r="B468" s="2">
        <f t="shared" si="1"/>
        <v>0</v>
      </c>
    </row>
    <row r="469" ht="15.75" customHeight="1">
      <c r="A469" s="2" t="s">
        <v>322</v>
      </c>
      <c r="B469" s="2">
        <f t="shared" si="1"/>
        <v>0</v>
      </c>
    </row>
    <row r="470" ht="15.75" customHeight="1">
      <c r="A470" s="2" t="s">
        <v>323</v>
      </c>
      <c r="B470" s="2">
        <f t="shared" si="1"/>
        <v>0</v>
      </c>
    </row>
    <row r="471" ht="15.75" customHeight="1">
      <c r="A471" s="2" t="s">
        <v>324</v>
      </c>
      <c r="B471" s="2">
        <f t="shared" si="1"/>
        <v>0</v>
      </c>
    </row>
    <row r="472" ht="15.75" customHeight="1">
      <c r="A472" s="2" t="s">
        <v>325</v>
      </c>
      <c r="B472" s="2">
        <f t="shared" si="1"/>
        <v>0</v>
      </c>
    </row>
    <row r="473" ht="15.75" customHeight="1">
      <c r="A473" s="2" t="s">
        <v>326</v>
      </c>
      <c r="B473" s="2">
        <f t="shared" si="1"/>
        <v>0</v>
      </c>
    </row>
    <row r="474" ht="15.75" customHeight="1">
      <c r="A474" s="2">
        <f>8801717068255</f>
        <v>8801717068255</v>
      </c>
      <c r="B474" s="2">
        <f t="shared" si="1"/>
        <v>8801717068255</v>
      </c>
    </row>
    <row r="475" ht="15.75" customHeight="1">
      <c r="A475" s="2" t="s">
        <v>7</v>
      </c>
      <c r="B475" s="2">
        <f t="shared" si="1"/>
        <v>0</v>
      </c>
    </row>
    <row r="476" ht="15.75" customHeight="1">
      <c r="A476" s="2" t="s">
        <v>327</v>
      </c>
      <c r="B476" s="2">
        <f t="shared" si="1"/>
        <v>0</v>
      </c>
    </row>
    <row r="477" ht="15.75" customHeight="1">
      <c r="A477" s="2" t="s">
        <v>328</v>
      </c>
      <c r="B477" s="2">
        <f t="shared" si="1"/>
        <v>0</v>
      </c>
    </row>
    <row r="478" ht="15.75" customHeight="1">
      <c r="A478" s="2" t="s">
        <v>37</v>
      </c>
      <c r="B478" s="2">
        <f t="shared" si="1"/>
        <v>0</v>
      </c>
    </row>
    <row r="479" ht="15.75" customHeight="1">
      <c r="A479" s="2" t="s">
        <v>116</v>
      </c>
      <c r="B479" s="2">
        <f t="shared" si="1"/>
        <v>0</v>
      </c>
    </row>
    <row r="480" ht="15.75" customHeight="1">
      <c r="A480" s="2" t="s">
        <v>329</v>
      </c>
      <c r="B480" s="2">
        <f t="shared" si="1"/>
        <v>0</v>
      </c>
    </row>
    <row r="481" ht="15.75" customHeight="1">
      <c r="A481" s="2" t="s">
        <v>330</v>
      </c>
      <c r="B481" s="2">
        <f t="shared" si="1"/>
        <v>0</v>
      </c>
    </row>
    <row r="482" ht="15.75" customHeight="1">
      <c r="A482" s="2" t="s">
        <v>331</v>
      </c>
      <c r="B482" s="2">
        <f t="shared" si="1"/>
        <v>0</v>
      </c>
    </row>
    <row r="483" ht="15.75" customHeight="1">
      <c r="A483" s="2" t="s">
        <v>332</v>
      </c>
      <c r="B483" s="2">
        <f t="shared" si="1"/>
        <v>0</v>
      </c>
    </row>
    <row r="484" ht="15.75" customHeight="1">
      <c r="A484" s="2" t="s">
        <v>7</v>
      </c>
      <c r="B484" s="2">
        <f t="shared" si="1"/>
        <v>0</v>
      </c>
    </row>
    <row r="485" ht="15.75" customHeight="1">
      <c r="A485" s="2" t="s">
        <v>333</v>
      </c>
      <c r="B485" s="2">
        <f t="shared" si="1"/>
        <v>0</v>
      </c>
    </row>
    <row r="486" ht="15.75" customHeight="1">
      <c r="A486" s="2" t="s">
        <v>37</v>
      </c>
      <c r="B486" s="2">
        <f t="shared" si="1"/>
        <v>0</v>
      </c>
    </row>
    <row r="487" ht="15.75" customHeight="1">
      <c r="A487" s="2" t="s">
        <v>334</v>
      </c>
      <c r="B487" s="2">
        <f t="shared" si="1"/>
        <v>0</v>
      </c>
    </row>
    <row r="488" ht="15.75" customHeight="1">
      <c r="A488" s="2" t="s">
        <v>335</v>
      </c>
      <c r="B488" s="2">
        <f t="shared" si="1"/>
        <v>0</v>
      </c>
    </row>
    <row r="489" ht="15.75" customHeight="1">
      <c r="A489" s="2" t="s">
        <v>336</v>
      </c>
      <c r="B489" s="2">
        <f t="shared" si="1"/>
        <v>0</v>
      </c>
    </row>
    <row r="490" ht="15.75" customHeight="1">
      <c r="A490" s="2" t="s">
        <v>337</v>
      </c>
      <c r="B490" s="2">
        <f t="shared" si="1"/>
        <v>0</v>
      </c>
    </row>
    <row r="491" ht="15.75" customHeight="1">
      <c r="A491" s="2" t="s">
        <v>338</v>
      </c>
      <c r="B491" s="2">
        <f t="shared" si="1"/>
        <v>0</v>
      </c>
    </row>
    <row r="492" ht="15.75" customHeight="1">
      <c r="A492" s="2" t="s">
        <v>7</v>
      </c>
      <c r="B492" s="2">
        <f t="shared" si="1"/>
        <v>0</v>
      </c>
    </row>
    <row r="493" ht="15.75" customHeight="1">
      <c r="A493" s="2" t="s">
        <v>339</v>
      </c>
      <c r="B493" s="2">
        <f t="shared" si="1"/>
        <v>0</v>
      </c>
    </row>
    <row r="494" ht="15.75" customHeight="1">
      <c r="A494" s="2" t="s">
        <v>340</v>
      </c>
      <c r="B494" s="2">
        <f t="shared" si="1"/>
        <v>0</v>
      </c>
    </row>
    <row r="495" ht="15.75" customHeight="1">
      <c r="A495" s="2" t="s">
        <v>37</v>
      </c>
      <c r="B495" s="2">
        <f t="shared" si="1"/>
        <v>0</v>
      </c>
    </row>
    <row r="496" ht="15.75" customHeight="1">
      <c r="A496" s="2" t="s">
        <v>261</v>
      </c>
      <c r="B496" s="2">
        <f t="shared" si="1"/>
        <v>0</v>
      </c>
    </row>
    <row r="497" ht="15.75" customHeight="1">
      <c r="A497" s="1" t="s">
        <v>53</v>
      </c>
      <c r="B497" s="2">
        <f t="shared" si="1"/>
        <v>0</v>
      </c>
    </row>
    <row r="498" ht="15.75" customHeight="1">
      <c r="A498" s="1" t="s">
        <v>1</v>
      </c>
      <c r="B498" s="2">
        <f t="shared" si="1"/>
        <v>0</v>
      </c>
    </row>
    <row r="499" ht="15.75" customHeight="1">
      <c r="A499" s="1">
        <v>2.0</v>
      </c>
      <c r="B499" s="1">
        <f t="shared" si="1"/>
        <v>2</v>
      </c>
    </row>
    <row r="500" ht="15.75" customHeight="1">
      <c r="A500" s="1" t="s">
        <v>53</v>
      </c>
      <c r="B500" s="2">
        <f t="shared" si="1"/>
        <v>0</v>
      </c>
    </row>
    <row r="501" ht="15.75" customHeight="1">
      <c r="A501" s="1" t="s">
        <v>1</v>
      </c>
      <c r="B501" s="2">
        <f t="shared" si="1"/>
        <v>0</v>
      </c>
    </row>
    <row r="502" ht="15.75" customHeight="1">
      <c r="A502" s="1">
        <v>1.0</v>
      </c>
      <c r="B502" s="1">
        <f t="shared" si="1"/>
        <v>1</v>
      </c>
    </row>
    <row r="503" ht="15.75" customHeight="1">
      <c r="A503" s="2" t="s">
        <v>341</v>
      </c>
      <c r="B503" s="2">
        <f t="shared" si="1"/>
        <v>0</v>
      </c>
    </row>
    <row r="504" ht="15.75" customHeight="1">
      <c r="A504" s="2" t="s">
        <v>342</v>
      </c>
      <c r="B504" s="2">
        <f t="shared" si="1"/>
        <v>0</v>
      </c>
    </row>
    <row r="505" ht="15.75" customHeight="1">
      <c r="A505" s="2" t="s">
        <v>343</v>
      </c>
      <c r="B505" s="2">
        <f t="shared" si="1"/>
        <v>0</v>
      </c>
    </row>
    <row r="506" ht="15.75" customHeight="1">
      <c r="A506" s="2" t="s">
        <v>344</v>
      </c>
      <c r="B506" s="2">
        <f t="shared" si="1"/>
        <v>0</v>
      </c>
    </row>
    <row r="507" ht="15.75" customHeight="1">
      <c r="A507" s="2" t="s">
        <v>7</v>
      </c>
      <c r="B507" s="2">
        <f t="shared" si="1"/>
        <v>0</v>
      </c>
    </row>
    <row r="508" ht="15.75" customHeight="1">
      <c r="A508" s="2" t="s">
        <v>345</v>
      </c>
      <c r="B508" s="2">
        <f t="shared" si="1"/>
        <v>0</v>
      </c>
    </row>
    <row r="509" ht="15.75" customHeight="1">
      <c r="A509" s="2" t="s">
        <v>9</v>
      </c>
      <c r="B509" s="2">
        <f t="shared" si="1"/>
        <v>0</v>
      </c>
    </row>
    <row r="510" ht="15.75" customHeight="1">
      <c r="A510" s="2" t="s">
        <v>346</v>
      </c>
      <c r="B510" s="2">
        <f t="shared" si="1"/>
        <v>0</v>
      </c>
    </row>
    <row r="511" ht="15.75" customHeight="1">
      <c r="A511" s="2" t="s">
        <v>347</v>
      </c>
      <c r="B511" s="2">
        <f t="shared" si="1"/>
        <v>0</v>
      </c>
    </row>
    <row r="512" ht="15.75" customHeight="1">
      <c r="A512" s="2" t="s">
        <v>348</v>
      </c>
      <c r="B512" s="2">
        <f t="shared" si="1"/>
        <v>0</v>
      </c>
    </row>
    <row r="513" ht="15.75" customHeight="1">
      <c r="A513" s="2" t="s">
        <v>349</v>
      </c>
      <c r="B513" s="2">
        <f t="shared" si="1"/>
        <v>0</v>
      </c>
    </row>
    <row r="514" ht="15.75" customHeight="1">
      <c r="A514" s="2" t="s">
        <v>350</v>
      </c>
      <c r="B514" s="2">
        <f t="shared" si="1"/>
        <v>0</v>
      </c>
    </row>
    <row r="515" ht="15.75" customHeight="1">
      <c r="A515" s="2" t="s">
        <v>351</v>
      </c>
      <c r="B515" s="2">
        <f t="shared" si="1"/>
        <v>0</v>
      </c>
    </row>
    <row r="516" ht="15.75" customHeight="1">
      <c r="A516" s="2" t="s">
        <v>7</v>
      </c>
      <c r="B516" s="2">
        <f t="shared" si="1"/>
        <v>0</v>
      </c>
    </row>
    <row r="517" ht="15.75" customHeight="1">
      <c r="A517" s="2" t="s">
        <v>352</v>
      </c>
      <c r="B517" s="2">
        <f t="shared" si="1"/>
        <v>0</v>
      </c>
    </row>
    <row r="518" ht="15.75" customHeight="1">
      <c r="A518" s="2" t="s">
        <v>37</v>
      </c>
      <c r="B518" s="2">
        <f t="shared" si="1"/>
        <v>0</v>
      </c>
    </row>
    <row r="519" ht="15.75" customHeight="1">
      <c r="A519" s="2" t="s">
        <v>89</v>
      </c>
      <c r="B519" s="2">
        <f t="shared" si="1"/>
        <v>0</v>
      </c>
    </row>
    <row r="520" ht="15.75" customHeight="1">
      <c r="A520" s="2" t="s">
        <v>353</v>
      </c>
      <c r="B520" s="2">
        <f t="shared" si="1"/>
        <v>0</v>
      </c>
    </row>
    <row r="521" ht="15.75" customHeight="1">
      <c r="A521" s="2" t="s">
        <v>354</v>
      </c>
      <c r="B521" s="2">
        <f t="shared" si="1"/>
        <v>0</v>
      </c>
    </row>
    <row r="522" ht="15.75" customHeight="1">
      <c r="A522" s="2" t="s">
        <v>355</v>
      </c>
      <c r="B522" s="2">
        <f t="shared" si="1"/>
        <v>0</v>
      </c>
    </row>
    <row r="523" ht="15.75" customHeight="1">
      <c r="A523" s="2" t="s">
        <v>356</v>
      </c>
      <c r="B523" s="2">
        <f t="shared" si="1"/>
        <v>0</v>
      </c>
    </row>
    <row r="524" ht="15.75" customHeight="1">
      <c r="A524" s="2" t="s">
        <v>357</v>
      </c>
      <c r="B524" s="2">
        <f t="shared" si="1"/>
        <v>0</v>
      </c>
    </row>
    <row r="525" ht="15.75" customHeight="1">
      <c r="A525" s="2" t="s">
        <v>7</v>
      </c>
      <c r="B525" s="2">
        <f t="shared" si="1"/>
        <v>0</v>
      </c>
    </row>
    <row r="526" ht="15.75" customHeight="1">
      <c r="A526" s="2" t="s">
        <v>358</v>
      </c>
      <c r="B526" s="2">
        <f t="shared" si="1"/>
        <v>0</v>
      </c>
    </row>
    <row r="527" ht="15.75" customHeight="1">
      <c r="A527" s="2" t="s">
        <v>37</v>
      </c>
      <c r="B527" s="2">
        <f t="shared" si="1"/>
        <v>0</v>
      </c>
    </row>
    <row r="528" ht="15.75" customHeight="1">
      <c r="A528" s="2" t="s">
        <v>359</v>
      </c>
      <c r="B528" s="2">
        <f t="shared" si="1"/>
        <v>0</v>
      </c>
    </row>
    <row r="529" ht="15.75" customHeight="1">
      <c r="A529" s="1" t="s">
        <v>360</v>
      </c>
      <c r="B529" s="2">
        <f t="shared" si="1"/>
        <v>0</v>
      </c>
    </row>
    <row r="530" ht="15.75" customHeight="1">
      <c r="A530" s="1" t="s">
        <v>1</v>
      </c>
      <c r="B530" s="2">
        <f t="shared" si="1"/>
        <v>0</v>
      </c>
    </row>
    <row r="531" ht="15.75" customHeight="1">
      <c r="A531" s="1">
        <v>1.0</v>
      </c>
      <c r="B531" s="1">
        <f t="shared" si="1"/>
        <v>1</v>
      </c>
    </row>
    <row r="532" ht="15.75" customHeight="1">
      <c r="A532" s="2" t="s">
        <v>361</v>
      </c>
      <c r="B532" s="2">
        <f t="shared" si="1"/>
        <v>0</v>
      </c>
    </row>
    <row r="533" ht="15.75" customHeight="1">
      <c r="A533" s="2" t="s">
        <v>362</v>
      </c>
      <c r="B533" s="2">
        <f t="shared" si="1"/>
        <v>0</v>
      </c>
    </row>
    <row r="534" ht="15.75" customHeight="1">
      <c r="A534" s="2" t="s">
        <v>363</v>
      </c>
      <c r="B534" s="2">
        <f t="shared" si="1"/>
        <v>0</v>
      </c>
    </row>
    <row r="535" ht="15.75" customHeight="1">
      <c r="A535" s="2" t="s">
        <v>364</v>
      </c>
      <c r="B535" s="2">
        <f t="shared" si="1"/>
        <v>0</v>
      </c>
    </row>
    <row r="536" ht="15.75" customHeight="1">
      <c r="A536" s="2" t="s">
        <v>365</v>
      </c>
      <c r="B536" s="2">
        <f t="shared" si="1"/>
        <v>0</v>
      </c>
    </row>
    <row r="537" ht="15.75" customHeight="1">
      <c r="A537" s="2" t="s">
        <v>7</v>
      </c>
      <c r="B537" s="2">
        <f t="shared" si="1"/>
        <v>0</v>
      </c>
    </row>
    <row r="538" ht="15.75" customHeight="1">
      <c r="A538" s="2" t="s">
        <v>366</v>
      </c>
      <c r="B538" s="2">
        <f t="shared" si="1"/>
        <v>0</v>
      </c>
    </row>
    <row r="539" ht="15.75" customHeight="1">
      <c r="A539" s="2" t="s">
        <v>367</v>
      </c>
      <c r="B539" s="2">
        <f t="shared" si="1"/>
        <v>0</v>
      </c>
    </row>
    <row r="540" ht="15.75" customHeight="1">
      <c r="A540" s="2" t="s">
        <v>368</v>
      </c>
      <c r="B540" s="2">
        <f t="shared" si="1"/>
        <v>0</v>
      </c>
    </row>
    <row r="541" ht="15.75" customHeight="1">
      <c r="A541" s="2" t="s">
        <v>9</v>
      </c>
      <c r="B541" s="2">
        <f t="shared" si="1"/>
        <v>0</v>
      </c>
    </row>
    <row r="542" ht="15.75" customHeight="1">
      <c r="A542" s="2" t="s">
        <v>369</v>
      </c>
      <c r="B542" s="2">
        <f t="shared" si="1"/>
        <v>0</v>
      </c>
    </row>
    <row r="543" ht="15.75" customHeight="1">
      <c r="A543" s="2" t="s">
        <v>370</v>
      </c>
      <c r="B543" s="2">
        <f t="shared" si="1"/>
        <v>0</v>
      </c>
    </row>
    <row r="544" ht="15.75" customHeight="1">
      <c r="A544" s="2" t="s">
        <v>371</v>
      </c>
      <c r="B544" s="2">
        <f t="shared" si="1"/>
        <v>0</v>
      </c>
    </row>
    <row r="545" ht="15.75" customHeight="1">
      <c r="A545" s="2" t="s">
        <v>372</v>
      </c>
      <c r="B545" s="2">
        <f t="shared" si="1"/>
        <v>0</v>
      </c>
    </row>
    <row r="546" ht="15.75" customHeight="1">
      <c r="A546" s="2" t="s">
        <v>373</v>
      </c>
      <c r="B546" s="2">
        <f t="shared" si="1"/>
        <v>0</v>
      </c>
    </row>
    <row r="547" ht="15.75" customHeight="1">
      <c r="A547" s="2" t="s">
        <v>7</v>
      </c>
      <c r="B547" s="2">
        <f t="shared" si="1"/>
        <v>0</v>
      </c>
    </row>
    <row r="548" ht="15.75" customHeight="1">
      <c r="A548" s="2" t="s">
        <v>374</v>
      </c>
      <c r="B548" s="2">
        <f t="shared" si="1"/>
        <v>0</v>
      </c>
    </row>
    <row r="549" ht="15.75" customHeight="1">
      <c r="A549" s="2" t="s">
        <v>37</v>
      </c>
      <c r="B549" s="2">
        <f t="shared" si="1"/>
        <v>0</v>
      </c>
    </row>
    <row r="550" ht="15.75" customHeight="1">
      <c r="A550" s="2" t="s">
        <v>375</v>
      </c>
      <c r="B550" s="2">
        <f t="shared" si="1"/>
        <v>0</v>
      </c>
    </row>
    <row r="551" ht="15.75" customHeight="1">
      <c r="A551" s="2" t="s">
        <v>376</v>
      </c>
      <c r="B551" s="2">
        <f t="shared" si="1"/>
        <v>0</v>
      </c>
    </row>
    <row r="552" ht="15.75" customHeight="1">
      <c r="A552" s="2" t="s">
        <v>377</v>
      </c>
      <c r="B552" s="2">
        <f t="shared" si="1"/>
        <v>0</v>
      </c>
    </row>
    <row r="553" ht="15.75" customHeight="1">
      <c r="A553" s="2" t="s">
        <v>378</v>
      </c>
      <c r="B553" s="2">
        <f t="shared" si="1"/>
        <v>0</v>
      </c>
    </row>
    <row r="554" ht="15.75" customHeight="1">
      <c r="A554" s="2" t="s">
        <v>379</v>
      </c>
      <c r="B554" s="2">
        <f t="shared" si="1"/>
        <v>0</v>
      </c>
    </row>
    <row r="555" ht="15.75" customHeight="1">
      <c r="A555" s="2" t="s">
        <v>380</v>
      </c>
      <c r="B555" s="2">
        <f t="shared" si="1"/>
        <v>0</v>
      </c>
    </row>
    <row r="556" ht="15.75" customHeight="1">
      <c r="A556" s="2" t="s">
        <v>7</v>
      </c>
      <c r="B556" s="2">
        <f t="shared" si="1"/>
        <v>0</v>
      </c>
    </row>
    <row r="557" ht="15.75" customHeight="1">
      <c r="A557" s="2" t="s">
        <v>381</v>
      </c>
      <c r="B557" s="2">
        <f t="shared" si="1"/>
        <v>0</v>
      </c>
    </row>
    <row r="558" ht="15.75" customHeight="1">
      <c r="A558" s="2" t="s">
        <v>37</v>
      </c>
      <c r="B558" s="2">
        <f t="shared" si="1"/>
        <v>0</v>
      </c>
    </row>
    <row r="559" ht="15.75" customHeight="1">
      <c r="A559" s="2" t="s">
        <v>161</v>
      </c>
      <c r="B559" s="2">
        <f t="shared" si="1"/>
        <v>0</v>
      </c>
    </row>
    <row r="560" ht="15.75" customHeight="1">
      <c r="A560" s="1" t="s">
        <v>53</v>
      </c>
      <c r="B560" s="2">
        <f t="shared" si="1"/>
        <v>0</v>
      </c>
    </row>
    <row r="561" ht="15.75" customHeight="1">
      <c r="A561" s="1" t="s">
        <v>1</v>
      </c>
      <c r="B561" s="2">
        <f t="shared" si="1"/>
        <v>0</v>
      </c>
    </row>
    <row r="562" ht="15.75" customHeight="1">
      <c r="A562" s="1">
        <v>1.0</v>
      </c>
      <c r="B562" s="1">
        <f t="shared" si="1"/>
        <v>1</v>
      </c>
    </row>
    <row r="563" ht="15.75" customHeight="1">
      <c r="A563" s="2" t="s">
        <v>382</v>
      </c>
      <c r="B563" s="2">
        <f t="shared" si="1"/>
        <v>0</v>
      </c>
    </row>
    <row r="564" ht="15.75" customHeight="1">
      <c r="A564" s="2" t="s">
        <v>383</v>
      </c>
      <c r="B564" s="2">
        <f t="shared" si="1"/>
        <v>0</v>
      </c>
    </row>
    <row r="565" ht="15.75" customHeight="1">
      <c r="A565" s="2" t="s">
        <v>384</v>
      </c>
      <c r="B565" s="2">
        <f t="shared" si="1"/>
        <v>0</v>
      </c>
    </row>
    <row r="566" ht="15.75" customHeight="1">
      <c r="A566" s="2" t="s">
        <v>385</v>
      </c>
      <c r="B566" s="2">
        <f t="shared" si="1"/>
        <v>0</v>
      </c>
    </row>
    <row r="567" ht="15.75" customHeight="1">
      <c r="A567" s="2" t="s">
        <v>386</v>
      </c>
      <c r="B567" s="2">
        <f t="shared" si="1"/>
        <v>0</v>
      </c>
    </row>
    <row r="568" ht="15.75" customHeight="1">
      <c r="A568" s="2" t="s">
        <v>7</v>
      </c>
      <c r="B568" s="2">
        <f t="shared" si="1"/>
        <v>0</v>
      </c>
    </row>
    <row r="569" ht="15.75" customHeight="1">
      <c r="A569" s="2" t="s">
        <v>387</v>
      </c>
      <c r="B569" s="2">
        <f t="shared" si="1"/>
        <v>0</v>
      </c>
    </row>
    <row r="570" ht="15.75" customHeight="1">
      <c r="A570" s="2" t="s">
        <v>9</v>
      </c>
      <c r="B570" s="2">
        <f t="shared" si="1"/>
        <v>0</v>
      </c>
    </row>
    <row r="571" ht="15.75" customHeight="1">
      <c r="A571" s="2" t="s">
        <v>388</v>
      </c>
      <c r="B571" s="2">
        <f t="shared" si="1"/>
        <v>0</v>
      </c>
    </row>
    <row r="572" ht="15.75" customHeight="1">
      <c r="A572" s="1" t="s">
        <v>53</v>
      </c>
      <c r="B572" s="2">
        <f t="shared" si="1"/>
        <v>0</v>
      </c>
    </row>
    <row r="573" ht="15.75" customHeight="1">
      <c r="A573" s="1" t="s">
        <v>1</v>
      </c>
      <c r="B573" s="2">
        <f t="shared" si="1"/>
        <v>0</v>
      </c>
    </row>
    <row r="574" ht="15.75" customHeight="1">
      <c r="A574" s="1">
        <v>1.0</v>
      </c>
      <c r="B574" s="1">
        <f t="shared" si="1"/>
        <v>1</v>
      </c>
    </row>
    <row r="575" ht="15.75" customHeight="1">
      <c r="A575" s="2" t="s">
        <v>389</v>
      </c>
      <c r="B575" s="2">
        <f t="shared" si="1"/>
        <v>0</v>
      </c>
    </row>
    <row r="576" ht="15.75" customHeight="1">
      <c r="A576" s="2" t="s">
        <v>390</v>
      </c>
      <c r="B576" s="2">
        <f t="shared" si="1"/>
        <v>0</v>
      </c>
    </row>
    <row r="577" ht="15.75" customHeight="1">
      <c r="A577" s="2" t="s">
        <v>391</v>
      </c>
      <c r="B577" s="2">
        <f t="shared" si="1"/>
        <v>0</v>
      </c>
    </row>
    <row r="578" ht="15.75" customHeight="1">
      <c r="A578" s="2" t="s">
        <v>392</v>
      </c>
      <c r="B578" s="2">
        <f t="shared" si="1"/>
        <v>0</v>
      </c>
    </row>
    <row r="579" ht="15.75" customHeight="1">
      <c r="A579" s="2" t="s">
        <v>393</v>
      </c>
      <c r="B579" s="2">
        <f t="shared" si="1"/>
        <v>0</v>
      </c>
    </row>
    <row r="580" ht="15.75" customHeight="1">
      <c r="A580" s="2" t="s">
        <v>7</v>
      </c>
      <c r="B580" s="2">
        <f t="shared" si="1"/>
        <v>0</v>
      </c>
    </row>
    <row r="581" ht="15.75" customHeight="1">
      <c r="A581" s="2" t="s">
        <v>394</v>
      </c>
      <c r="B581" s="2">
        <f t="shared" si="1"/>
        <v>0</v>
      </c>
    </row>
    <row r="582" ht="15.75" customHeight="1">
      <c r="A582" s="2" t="s">
        <v>9</v>
      </c>
      <c r="B582" s="2">
        <f t="shared" si="1"/>
        <v>0</v>
      </c>
    </row>
    <row r="583" ht="15.75" customHeight="1">
      <c r="A583" s="2" t="s">
        <v>216</v>
      </c>
      <c r="B583" s="2">
        <f t="shared" si="1"/>
        <v>0</v>
      </c>
    </row>
    <row r="584" ht="15.75" customHeight="1">
      <c r="A584" s="2" t="s">
        <v>395</v>
      </c>
      <c r="B584" s="2">
        <f t="shared" si="1"/>
        <v>0</v>
      </c>
    </row>
    <row r="585" ht="15.75" customHeight="1">
      <c r="A585" s="2" t="s">
        <v>396</v>
      </c>
      <c r="B585" s="2">
        <f t="shared" si="1"/>
        <v>0</v>
      </c>
    </row>
    <row r="586" ht="15.75" customHeight="1">
      <c r="A586" s="2" t="s">
        <v>397</v>
      </c>
      <c r="B586" s="2">
        <f t="shared" si="1"/>
        <v>0</v>
      </c>
    </row>
    <row r="587" ht="15.75" customHeight="1">
      <c r="A587" s="2" t="s">
        <v>398</v>
      </c>
      <c r="B587" s="2">
        <f t="shared" si="1"/>
        <v>0</v>
      </c>
    </row>
    <row r="588" ht="15.75" customHeight="1">
      <c r="A588" s="2" t="s">
        <v>399</v>
      </c>
      <c r="B588" s="2">
        <f t="shared" si="1"/>
        <v>0</v>
      </c>
    </row>
    <row r="589" ht="15.75" customHeight="1">
      <c r="A589" s="2" t="s">
        <v>7</v>
      </c>
      <c r="B589" s="2">
        <f t="shared" si="1"/>
        <v>0</v>
      </c>
    </row>
    <row r="590" ht="15.75" customHeight="1">
      <c r="A590" s="2" t="s">
        <v>400</v>
      </c>
      <c r="B590" s="2">
        <f t="shared" si="1"/>
        <v>0</v>
      </c>
    </row>
    <row r="591" ht="15.75" customHeight="1">
      <c r="A591" s="2" t="s">
        <v>9</v>
      </c>
      <c r="B591" s="2">
        <f t="shared" si="1"/>
        <v>0</v>
      </c>
    </row>
    <row r="592" ht="15.75" customHeight="1">
      <c r="A592" s="2" t="s">
        <v>401</v>
      </c>
      <c r="B592" s="2">
        <f t="shared" si="1"/>
        <v>0</v>
      </c>
    </row>
    <row r="593" ht="15.75" customHeight="1">
      <c r="A593" s="2" t="s">
        <v>402</v>
      </c>
      <c r="B593" s="2">
        <f t="shared" si="1"/>
        <v>0</v>
      </c>
    </row>
    <row r="594" ht="15.75" customHeight="1">
      <c r="A594" s="2" t="s">
        <v>403</v>
      </c>
      <c r="B594" s="2">
        <f t="shared" si="1"/>
        <v>0</v>
      </c>
    </row>
    <row r="595" ht="15.75" customHeight="1">
      <c r="A595" s="2" t="s">
        <v>404</v>
      </c>
      <c r="B595" s="2">
        <f t="shared" si="1"/>
        <v>0</v>
      </c>
    </row>
    <row r="596" ht="15.75" customHeight="1">
      <c r="A596" s="2" t="s">
        <v>405</v>
      </c>
      <c r="B596" s="2">
        <f t="shared" si="1"/>
        <v>0</v>
      </c>
    </row>
    <row r="597" ht="15.75" customHeight="1">
      <c r="A597" s="2" t="s">
        <v>406</v>
      </c>
      <c r="B597" s="2">
        <f t="shared" si="1"/>
        <v>0</v>
      </c>
    </row>
    <row r="598" ht="15.75" customHeight="1">
      <c r="A598" s="2" t="s">
        <v>7</v>
      </c>
      <c r="B598" s="2">
        <f t="shared" si="1"/>
        <v>0</v>
      </c>
    </row>
    <row r="599" ht="15.75" customHeight="1">
      <c r="A599" s="2" t="s">
        <v>407</v>
      </c>
      <c r="B599" s="2">
        <f t="shared" si="1"/>
        <v>0</v>
      </c>
    </row>
    <row r="600" ht="15.75" customHeight="1">
      <c r="A600" s="2" t="s">
        <v>408</v>
      </c>
      <c r="B600" s="2">
        <f t="shared" si="1"/>
        <v>0</v>
      </c>
    </row>
    <row r="601" ht="15.75" customHeight="1">
      <c r="A601" s="2" t="s">
        <v>409</v>
      </c>
      <c r="B601" s="2">
        <f t="shared" si="1"/>
        <v>0</v>
      </c>
    </row>
    <row r="602" ht="15.75" customHeight="1">
      <c r="A602" s="2" t="s">
        <v>9</v>
      </c>
      <c r="B602" s="2">
        <f t="shared" si="1"/>
        <v>0</v>
      </c>
    </row>
    <row r="603" ht="15.75" customHeight="1">
      <c r="A603" s="2" t="s">
        <v>410</v>
      </c>
      <c r="B603" s="2">
        <f t="shared" si="1"/>
        <v>0</v>
      </c>
    </row>
    <row r="604" ht="15.75" customHeight="1">
      <c r="A604" s="2" t="s">
        <v>411</v>
      </c>
      <c r="B604" s="2">
        <f t="shared" si="1"/>
        <v>0</v>
      </c>
    </row>
    <row r="605" ht="15.75" customHeight="1">
      <c r="A605" s="2" t="s">
        <v>412</v>
      </c>
      <c r="B605" s="2">
        <f t="shared" si="1"/>
        <v>0</v>
      </c>
    </row>
    <row r="606" ht="15.75" customHeight="1">
      <c r="A606" s="2" t="s">
        <v>413</v>
      </c>
      <c r="B606" s="2">
        <f t="shared" si="1"/>
        <v>0</v>
      </c>
    </row>
    <row r="607" ht="15.75" customHeight="1">
      <c r="A607" s="2" t="s">
        <v>414</v>
      </c>
      <c r="B607" s="2">
        <f t="shared" si="1"/>
        <v>0</v>
      </c>
    </row>
    <row r="608" ht="15.75" customHeight="1">
      <c r="A608" s="2" t="s">
        <v>415</v>
      </c>
      <c r="B608" s="2">
        <f t="shared" si="1"/>
        <v>0</v>
      </c>
    </row>
    <row r="609" ht="15.75" customHeight="1">
      <c r="A609" s="2" t="s">
        <v>44</v>
      </c>
      <c r="B609" s="2">
        <f t="shared" si="1"/>
        <v>0</v>
      </c>
    </row>
    <row r="610" ht="15.75" customHeight="1">
      <c r="A610" s="2" t="s">
        <v>416</v>
      </c>
      <c r="B610" s="2">
        <f t="shared" si="1"/>
        <v>0</v>
      </c>
    </row>
    <row r="611" ht="15.75" customHeight="1">
      <c r="A611" s="2" t="s">
        <v>417</v>
      </c>
      <c r="B611" s="2">
        <f t="shared" si="1"/>
        <v>0</v>
      </c>
    </row>
    <row r="612" ht="15.75" customHeight="1">
      <c r="A612" s="2" t="s">
        <v>418</v>
      </c>
      <c r="B612" s="2">
        <f t="shared" si="1"/>
        <v>0</v>
      </c>
    </row>
    <row r="613" ht="15.75" customHeight="1">
      <c r="A613" s="2" t="s">
        <v>9</v>
      </c>
      <c r="B613" s="2">
        <f t="shared" si="1"/>
        <v>0</v>
      </c>
    </row>
    <row r="614" ht="15.75" customHeight="1">
      <c r="A614" s="2" t="s">
        <v>419</v>
      </c>
      <c r="B614" s="2">
        <f t="shared" si="1"/>
        <v>0</v>
      </c>
    </row>
    <row r="615" ht="15.75" customHeight="1">
      <c r="A615" s="1" t="s">
        <v>53</v>
      </c>
      <c r="B615" s="2">
        <f t="shared" si="1"/>
        <v>0</v>
      </c>
    </row>
    <row r="616" ht="15.75" customHeight="1">
      <c r="A616" s="1" t="s">
        <v>1</v>
      </c>
      <c r="B616" s="2">
        <f t="shared" si="1"/>
        <v>0</v>
      </c>
    </row>
    <row r="617" ht="15.75" customHeight="1">
      <c r="A617" s="1">
        <v>1.0</v>
      </c>
      <c r="B617" s="1">
        <f t="shared" si="1"/>
        <v>1</v>
      </c>
    </row>
    <row r="618" ht="15.75" customHeight="1">
      <c r="A618" s="2" t="s">
        <v>420</v>
      </c>
      <c r="B618" s="2">
        <f t="shared" si="1"/>
        <v>0</v>
      </c>
    </row>
    <row r="619" ht="15.75" customHeight="1">
      <c r="A619" s="2" t="s">
        <v>421</v>
      </c>
      <c r="B619" s="2">
        <f t="shared" si="1"/>
        <v>0</v>
      </c>
    </row>
    <row r="620" ht="15.75" customHeight="1">
      <c r="A620" s="2" t="s">
        <v>422</v>
      </c>
      <c r="B620" s="2">
        <f t="shared" si="1"/>
        <v>0</v>
      </c>
    </row>
    <row r="621" ht="15.75" customHeight="1">
      <c r="A621" s="2" t="s">
        <v>423</v>
      </c>
      <c r="B621" s="2">
        <f t="shared" si="1"/>
        <v>0</v>
      </c>
    </row>
    <row r="622" ht="15.75" customHeight="1">
      <c r="A622" s="2" t="s">
        <v>7</v>
      </c>
      <c r="B622" s="2">
        <f t="shared" si="1"/>
        <v>0</v>
      </c>
    </row>
    <row r="623" ht="15.75" customHeight="1">
      <c r="A623" s="2" t="s">
        <v>424</v>
      </c>
      <c r="B623" s="2">
        <f t="shared" si="1"/>
        <v>0</v>
      </c>
    </row>
    <row r="624" ht="15.75" customHeight="1">
      <c r="A624" s="2" t="s">
        <v>425</v>
      </c>
      <c r="B624" s="2">
        <f t="shared" si="1"/>
        <v>0</v>
      </c>
    </row>
    <row r="625" ht="15.75" customHeight="1">
      <c r="A625" s="2" t="s">
        <v>9</v>
      </c>
      <c r="B625" s="2">
        <f t="shared" si="1"/>
        <v>0</v>
      </c>
    </row>
    <row r="626" ht="15.75" customHeight="1">
      <c r="A626" s="2" t="s">
        <v>426</v>
      </c>
      <c r="B626" s="2">
        <f t="shared" si="1"/>
        <v>0</v>
      </c>
    </row>
    <row r="627" ht="15.75" customHeight="1">
      <c r="A627" s="2" t="s">
        <v>427</v>
      </c>
      <c r="B627" s="2">
        <f t="shared" si="1"/>
        <v>0</v>
      </c>
    </row>
    <row r="628" ht="15.75" customHeight="1">
      <c r="A628" s="2" t="s">
        <v>428</v>
      </c>
      <c r="B628" s="2">
        <f t="shared" si="1"/>
        <v>0</v>
      </c>
    </row>
    <row r="629" ht="15.75" customHeight="1">
      <c r="A629" s="2" t="s">
        <v>429</v>
      </c>
      <c r="B629" s="2">
        <f t="shared" si="1"/>
        <v>0</v>
      </c>
    </row>
    <row r="630" ht="15.75" customHeight="1">
      <c r="A630" s="2" t="s">
        <v>430</v>
      </c>
      <c r="B630" s="2">
        <f t="shared" si="1"/>
        <v>0</v>
      </c>
    </row>
    <row r="631" ht="15.75" customHeight="1">
      <c r="A631" s="2" t="s">
        <v>50</v>
      </c>
      <c r="B631" s="2">
        <f t="shared" si="1"/>
        <v>0</v>
      </c>
    </row>
    <row r="632" ht="15.75" customHeight="1">
      <c r="A632" s="2" t="s">
        <v>7</v>
      </c>
      <c r="B632" s="2">
        <f t="shared" si="1"/>
        <v>0</v>
      </c>
    </row>
    <row r="633" ht="15.75" customHeight="1">
      <c r="A633" s="2" t="s">
        <v>431</v>
      </c>
      <c r="B633" s="2">
        <f t="shared" si="1"/>
        <v>0</v>
      </c>
    </row>
    <row r="634" ht="15.75" customHeight="1">
      <c r="A634" s="2" t="s">
        <v>9</v>
      </c>
      <c r="B634" s="2">
        <f t="shared" si="1"/>
        <v>0</v>
      </c>
    </row>
    <row r="635" ht="15.75" customHeight="1">
      <c r="A635" s="2" t="s">
        <v>432</v>
      </c>
      <c r="B635" s="2">
        <f t="shared" si="1"/>
        <v>0</v>
      </c>
    </row>
    <row r="636" ht="15.75" customHeight="1">
      <c r="A636" s="2" t="s">
        <v>433</v>
      </c>
      <c r="B636" s="2">
        <f t="shared" si="1"/>
        <v>0</v>
      </c>
    </row>
    <row r="637" ht="15.75" customHeight="1">
      <c r="A637" s="2" t="s">
        <v>434</v>
      </c>
      <c r="B637" s="2">
        <f t="shared" si="1"/>
        <v>0</v>
      </c>
    </row>
    <row r="638" ht="15.75" customHeight="1">
      <c r="A638" s="2" t="s">
        <v>435</v>
      </c>
      <c r="B638" s="2">
        <f t="shared" si="1"/>
        <v>0</v>
      </c>
    </row>
    <row r="639" ht="15.75" customHeight="1">
      <c r="A639" s="2" t="s">
        <v>436</v>
      </c>
      <c r="B639" s="2">
        <f t="shared" si="1"/>
        <v>0</v>
      </c>
    </row>
    <row r="640" ht="15.75" customHeight="1">
      <c r="A640" s="2" t="s">
        <v>7</v>
      </c>
      <c r="B640" s="2">
        <f t="shared" si="1"/>
        <v>0</v>
      </c>
    </row>
    <row r="641" ht="15.75" customHeight="1">
      <c r="A641" s="2" t="s">
        <v>437</v>
      </c>
      <c r="B641" s="2">
        <f t="shared" si="1"/>
        <v>0</v>
      </c>
    </row>
    <row r="642" ht="15.75" customHeight="1">
      <c r="A642" s="2" t="s">
        <v>9</v>
      </c>
      <c r="B642" s="2">
        <f t="shared" si="1"/>
        <v>0</v>
      </c>
    </row>
    <row r="643" ht="15.75" customHeight="1">
      <c r="A643" s="2" t="s">
        <v>130</v>
      </c>
      <c r="B643" s="2">
        <f t="shared" si="1"/>
        <v>0</v>
      </c>
    </row>
    <row r="644" ht="15.75" customHeight="1">
      <c r="A644" s="2" t="s">
        <v>438</v>
      </c>
      <c r="B644" s="2">
        <f t="shared" si="1"/>
        <v>0</v>
      </c>
    </row>
    <row r="645" ht="15.75" customHeight="1">
      <c r="A645" s="2" t="s">
        <v>439</v>
      </c>
      <c r="B645" s="2">
        <f t="shared" si="1"/>
        <v>0</v>
      </c>
    </row>
    <row r="646" ht="15.75" customHeight="1">
      <c r="A646" s="2" t="s">
        <v>440</v>
      </c>
      <c r="B646" s="2">
        <f t="shared" si="1"/>
        <v>0</v>
      </c>
    </row>
    <row r="647" ht="15.75" customHeight="1">
      <c r="A647" s="2" t="s">
        <v>441</v>
      </c>
      <c r="B647" s="2">
        <f t="shared" si="1"/>
        <v>0</v>
      </c>
    </row>
    <row r="648" ht="15.75" customHeight="1">
      <c r="A648" s="2" t="s">
        <v>44</v>
      </c>
      <c r="B648" s="2">
        <f t="shared" si="1"/>
        <v>0</v>
      </c>
    </row>
    <row r="649" ht="15.75" customHeight="1">
      <c r="A649" s="2" t="s">
        <v>442</v>
      </c>
      <c r="B649" s="2">
        <f t="shared" si="1"/>
        <v>0</v>
      </c>
    </row>
    <row r="650" ht="15.75" customHeight="1">
      <c r="A650" s="2" t="s">
        <v>37</v>
      </c>
      <c r="B650" s="2">
        <f t="shared" si="1"/>
        <v>0</v>
      </c>
    </row>
    <row r="651" ht="15.75" customHeight="1">
      <c r="A651" s="2" t="s">
        <v>146</v>
      </c>
      <c r="B651" s="2">
        <f t="shared" si="1"/>
        <v>0</v>
      </c>
    </row>
    <row r="652" ht="15.75" customHeight="1">
      <c r="A652" s="2" t="s">
        <v>443</v>
      </c>
      <c r="B652" s="2">
        <f t="shared" si="1"/>
        <v>0</v>
      </c>
    </row>
    <row r="653" ht="15.75" customHeight="1">
      <c r="A653" s="2" t="s">
        <v>444</v>
      </c>
      <c r="B653" s="2">
        <f t="shared" si="1"/>
        <v>0</v>
      </c>
    </row>
    <row r="654" ht="15.75" customHeight="1">
      <c r="A654" s="2" t="s">
        <v>445</v>
      </c>
      <c r="B654" s="2">
        <f t="shared" si="1"/>
        <v>0</v>
      </c>
    </row>
    <row r="655" ht="15.75" customHeight="1">
      <c r="A655" s="2" t="s">
        <v>446</v>
      </c>
      <c r="B655" s="2">
        <f t="shared" si="1"/>
        <v>0</v>
      </c>
    </row>
    <row r="656" ht="15.75" customHeight="1">
      <c r="A656" s="2" t="s">
        <v>447</v>
      </c>
      <c r="B656" s="2">
        <f t="shared" si="1"/>
        <v>0</v>
      </c>
    </row>
    <row r="657" ht="15.75" customHeight="1">
      <c r="A657" s="2" t="s">
        <v>7</v>
      </c>
      <c r="B657" s="2">
        <f t="shared" si="1"/>
        <v>0</v>
      </c>
    </row>
    <row r="658" ht="15.75" customHeight="1">
      <c r="A658" s="2" t="s">
        <v>448</v>
      </c>
      <c r="B658" s="2">
        <f t="shared" si="1"/>
        <v>0</v>
      </c>
    </row>
    <row r="659" ht="15.75" customHeight="1">
      <c r="A659" s="2" t="s">
        <v>37</v>
      </c>
      <c r="B659" s="2">
        <f t="shared" si="1"/>
        <v>0</v>
      </c>
    </row>
    <row r="660" ht="15.75" customHeight="1">
      <c r="A660" s="2" t="s">
        <v>449</v>
      </c>
      <c r="B660" s="2">
        <f t="shared" si="1"/>
        <v>0</v>
      </c>
    </row>
    <row r="661" ht="15.75" customHeight="1">
      <c r="A661" s="1" t="s">
        <v>53</v>
      </c>
      <c r="B661" s="2">
        <f t="shared" si="1"/>
        <v>0</v>
      </c>
    </row>
    <row r="662" ht="15.75" customHeight="1">
      <c r="A662" s="1" t="s">
        <v>1</v>
      </c>
      <c r="B662" s="2">
        <f t="shared" si="1"/>
        <v>0</v>
      </c>
    </row>
    <row r="663" ht="15.75" customHeight="1">
      <c r="A663" s="1">
        <v>2.0</v>
      </c>
      <c r="B663" s="1">
        <f t="shared" si="1"/>
        <v>2</v>
      </c>
    </row>
    <row r="664" ht="15.75" customHeight="1">
      <c r="A664" s="2" t="s">
        <v>450</v>
      </c>
      <c r="B664" s="2">
        <f t="shared" si="1"/>
        <v>0</v>
      </c>
    </row>
    <row r="665" ht="15.75" customHeight="1">
      <c r="A665" s="2" t="s">
        <v>451</v>
      </c>
      <c r="B665" s="2">
        <f t="shared" si="1"/>
        <v>0</v>
      </c>
    </row>
    <row r="666" ht="15.75" customHeight="1">
      <c r="A666" s="2" t="s">
        <v>452</v>
      </c>
      <c r="B666" s="2">
        <f t="shared" si="1"/>
        <v>0</v>
      </c>
    </row>
    <row r="667" ht="15.75" customHeight="1">
      <c r="A667" s="2" t="s">
        <v>453</v>
      </c>
      <c r="B667" s="2">
        <f t="shared" si="1"/>
        <v>0</v>
      </c>
    </row>
    <row r="668" ht="15.75" customHeight="1">
      <c r="A668" s="2" t="s">
        <v>454</v>
      </c>
      <c r="B668" s="2">
        <f t="shared" si="1"/>
        <v>0</v>
      </c>
    </row>
    <row r="669" ht="15.75" customHeight="1">
      <c r="A669" s="2" t="s">
        <v>7</v>
      </c>
      <c r="B669" s="2">
        <f t="shared" si="1"/>
        <v>0</v>
      </c>
    </row>
    <row r="670" ht="15.75" customHeight="1">
      <c r="A670" s="2" t="s">
        <v>455</v>
      </c>
      <c r="B670" s="2">
        <f t="shared" si="1"/>
        <v>0</v>
      </c>
    </row>
    <row r="671" ht="15.75" customHeight="1">
      <c r="A671" s="2" t="s">
        <v>456</v>
      </c>
      <c r="B671" s="2">
        <f t="shared" si="1"/>
        <v>0</v>
      </c>
    </row>
    <row r="672" ht="15.75" customHeight="1">
      <c r="A672" s="2" t="s">
        <v>37</v>
      </c>
      <c r="B672" s="2">
        <f t="shared" si="1"/>
        <v>0</v>
      </c>
    </row>
    <row r="673" ht="15.75" customHeight="1">
      <c r="A673" s="2" t="s">
        <v>457</v>
      </c>
      <c r="B673" s="2">
        <f t="shared" si="1"/>
        <v>0</v>
      </c>
    </row>
    <row r="674" ht="15.75" customHeight="1">
      <c r="A674" s="2" t="s">
        <v>458</v>
      </c>
      <c r="B674" s="2">
        <f t="shared" si="1"/>
        <v>0</v>
      </c>
    </row>
    <row r="675" ht="15.75" customHeight="1">
      <c r="A675" s="2" t="s">
        <v>459</v>
      </c>
      <c r="B675" s="2">
        <f t="shared" si="1"/>
        <v>0</v>
      </c>
    </row>
    <row r="676" ht="15.75" customHeight="1">
      <c r="A676" s="2" t="s">
        <v>460</v>
      </c>
      <c r="B676" s="2">
        <f t="shared" si="1"/>
        <v>0</v>
      </c>
    </row>
    <row r="677" ht="15.75" customHeight="1">
      <c r="A677" s="2" t="s">
        <v>461</v>
      </c>
      <c r="B677" s="2">
        <f t="shared" si="1"/>
        <v>0</v>
      </c>
    </row>
    <row r="678" ht="15.75" customHeight="1">
      <c r="A678" s="2" t="s">
        <v>7</v>
      </c>
      <c r="B678" s="2">
        <f t="shared" si="1"/>
        <v>0</v>
      </c>
    </row>
    <row r="679" ht="15.75" customHeight="1">
      <c r="A679" s="2" t="s">
        <v>462</v>
      </c>
      <c r="B679" s="2">
        <f t="shared" si="1"/>
        <v>0</v>
      </c>
    </row>
    <row r="680" ht="15.75" customHeight="1">
      <c r="A680" s="2" t="s">
        <v>37</v>
      </c>
      <c r="B680" s="2">
        <f t="shared" si="1"/>
        <v>0</v>
      </c>
    </row>
    <row r="681" ht="15.75" customHeight="1">
      <c r="A681" s="2" t="s">
        <v>66</v>
      </c>
      <c r="B681" s="2">
        <f t="shared" si="1"/>
        <v>0</v>
      </c>
    </row>
    <row r="682" ht="15.75" customHeight="1">
      <c r="A682" s="2" t="s">
        <v>463</v>
      </c>
      <c r="B682" s="2">
        <f t="shared" si="1"/>
        <v>0</v>
      </c>
    </row>
    <row r="683" ht="15.75" customHeight="1">
      <c r="A683" s="2" t="s">
        <v>464</v>
      </c>
      <c r="B683" s="2">
        <f t="shared" si="1"/>
        <v>0</v>
      </c>
    </row>
    <row r="684" ht="15.75" customHeight="1">
      <c r="A684" s="2" t="s">
        <v>465</v>
      </c>
      <c r="B684" s="2">
        <f t="shared" si="1"/>
        <v>0</v>
      </c>
    </row>
    <row r="685" ht="15.75" customHeight="1">
      <c r="A685" s="2" t="s">
        <v>466</v>
      </c>
      <c r="B685" s="2">
        <f t="shared" si="1"/>
        <v>0</v>
      </c>
    </row>
    <row r="686" ht="15.75" customHeight="1">
      <c r="A686" s="2" t="s">
        <v>467</v>
      </c>
      <c r="B686" s="2">
        <f t="shared" si="1"/>
        <v>0</v>
      </c>
    </row>
    <row r="687" ht="15.75" customHeight="1">
      <c r="A687" s="2" t="s">
        <v>7</v>
      </c>
      <c r="B687" s="2">
        <f t="shared" si="1"/>
        <v>0</v>
      </c>
    </row>
    <row r="688" ht="15.75" customHeight="1">
      <c r="A688" s="2" t="s">
        <v>468</v>
      </c>
      <c r="B688" s="2">
        <f t="shared" si="1"/>
        <v>0</v>
      </c>
    </row>
    <row r="689" ht="15.75" customHeight="1">
      <c r="A689" s="2" t="s">
        <v>37</v>
      </c>
      <c r="B689" s="2">
        <f t="shared" si="1"/>
        <v>0</v>
      </c>
    </row>
    <row r="690" ht="15.75" customHeight="1">
      <c r="A690" s="2" t="s">
        <v>161</v>
      </c>
      <c r="B690" s="2">
        <f t="shared" si="1"/>
        <v>0</v>
      </c>
    </row>
    <row r="691" ht="15.75" customHeight="1">
      <c r="A691" s="1" t="s">
        <v>53</v>
      </c>
      <c r="B691" s="2">
        <f t="shared" si="1"/>
        <v>0</v>
      </c>
    </row>
    <row r="692" ht="15.75" customHeight="1">
      <c r="A692" s="1" t="s">
        <v>1</v>
      </c>
      <c r="B692" s="2">
        <f t="shared" si="1"/>
        <v>0</v>
      </c>
    </row>
    <row r="693" ht="15.75" customHeight="1">
      <c r="A693" s="1">
        <v>1.0</v>
      </c>
      <c r="B693" s="1">
        <f t="shared" si="1"/>
        <v>1</v>
      </c>
    </row>
    <row r="694" ht="15.75" customHeight="1">
      <c r="A694" s="2" t="s">
        <v>469</v>
      </c>
      <c r="B694" s="2">
        <f t="shared" si="1"/>
        <v>0</v>
      </c>
    </row>
    <row r="695" ht="15.75" customHeight="1">
      <c r="A695" s="2" t="s">
        <v>470</v>
      </c>
      <c r="B695" s="2">
        <f t="shared" si="1"/>
        <v>0</v>
      </c>
    </row>
    <row r="696" ht="15.75" customHeight="1">
      <c r="A696" s="2" t="s">
        <v>471</v>
      </c>
      <c r="B696" s="2">
        <f t="shared" si="1"/>
        <v>0</v>
      </c>
    </row>
    <row r="697" ht="15.75" customHeight="1">
      <c r="A697" s="2" t="s">
        <v>472</v>
      </c>
      <c r="B697" s="2">
        <f t="shared" si="1"/>
        <v>0</v>
      </c>
    </row>
    <row r="698" ht="15.75" customHeight="1">
      <c r="A698" s="2" t="s">
        <v>7</v>
      </c>
      <c r="B698" s="2">
        <f t="shared" si="1"/>
        <v>0</v>
      </c>
    </row>
    <row r="699" ht="15.75" customHeight="1">
      <c r="A699" s="2" t="s">
        <v>473</v>
      </c>
      <c r="B699" s="2">
        <f t="shared" si="1"/>
        <v>0</v>
      </c>
    </row>
    <row r="700" ht="15.75" customHeight="1">
      <c r="A700" s="2" t="s">
        <v>474</v>
      </c>
      <c r="B700" s="2">
        <f t="shared" si="1"/>
        <v>0</v>
      </c>
    </row>
    <row r="701" ht="15.75" customHeight="1">
      <c r="A701" s="2" t="s">
        <v>475</v>
      </c>
      <c r="B701" s="2">
        <f t="shared" si="1"/>
        <v>0</v>
      </c>
    </row>
    <row r="702" ht="15.75" customHeight="1">
      <c r="A702" s="2" t="s">
        <v>9</v>
      </c>
      <c r="B702" s="2">
        <f t="shared" si="1"/>
        <v>0</v>
      </c>
    </row>
    <row r="703" ht="15.75" customHeight="1">
      <c r="A703" s="2" t="s">
        <v>476</v>
      </c>
      <c r="B703" s="2">
        <f t="shared" si="1"/>
        <v>0</v>
      </c>
    </row>
    <row r="704" ht="15.75" customHeight="1">
      <c r="A704" s="2" t="s">
        <v>477</v>
      </c>
      <c r="B704" s="2">
        <f t="shared" si="1"/>
        <v>0</v>
      </c>
    </row>
    <row r="705" ht="15.75" customHeight="1">
      <c r="A705" s="2" t="s">
        <v>478</v>
      </c>
      <c r="B705" s="2">
        <f t="shared" si="1"/>
        <v>0</v>
      </c>
    </row>
    <row r="706" ht="15.75" customHeight="1">
      <c r="A706" s="2" t="s">
        <v>479</v>
      </c>
      <c r="B706" s="2">
        <f t="shared" si="1"/>
        <v>0</v>
      </c>
    </row>
    <row r="707" ht="15.75" customHeight="1">
      <c r="A707" s="2" t="s">
        <v>480</v>
      </c>
      <c r="B707" s="2">
        <f t="shared" si="1"/>
        <v>0</v>
      </c>
    </row>
    <row r="708" ht="15.75" customHeight="1">
      <c r="A708" s="2" t="s">
        <v>7</v>
      </c>
      <c r="B708" s="2">
        <f t="shared" si="1"/>
        <v>0</v>
      </c>
    </row>
    <row r="709" ht="15.75" customHeight="1">
      <c r="A709" s="2" t="s">
        <v>481</v>
      </c>
      <c r="B709" s="2">
        <f t="shared" si="1"/>
        <v>0</v>
      </c>
    </row>
    <row r="710" ht="15.75" customHeight="1">
      <c r="A710" s="2" t="s">
        <v>9</v>
      </c>
      <c r="B710" s="2">
        <f t="shared" si="1"/>
        <v>0</v>
      </c>
    </row>
    <row r="711" ht="15.75" customHeight="1">
      <c r="A711" s="2" t="s">
        <v>31</v>
      </c>
      <c r="B711" s="2">
        <f t="shared" si="1"/>
        <v>0</v>
      </c>
    </row>
    <row r="712" ht="15.75" customHeight="1">
      <c r="A712" s="2" t="s">
        <v>482</v>
      </c>
      <c r="B712" s="2">
        <f t="shared" si="1"/>
        <v>0</v>
      </c>
    </row>
    <row r="713" ht="15.75" customHeight="1">
      <c r="A713" s="2" t="s">
        <v>483</v>
      </c>
      <c r="B713" s="2">
        <f t="shared" si="1"/>
        <v>0</v>
      </c>
    </row>
    <row r="714" ht="15.75" customHeight="1">
      <c r="A714" s="2" t="s">
        <v>484</v>
      </c>
      <c r="B714" s="2">
        <f t="shared" si="1"/>
        <v>0</v>
      </c>
    </row>
    <row r="715" ht="15.75" customHeight="1">
      <c r="A715" s="2" t="s">
        <v>485</v>
      </c>
      <c r="B715" s="2">
        <f t="shared" si="1"/>
        <v>0</v>
      </c>
    </row>
    <row r="716" ht="15.75" customHeight="1">
      <c r="A716" s="2" t="s">
        <v>7</v>
      </c>
      <c r="B716" s="2">
        <f t="shared" si="1"/>
        <v>0</v>
      </c>
    </row>
    <row r="717" ht="15.75" customHeight="1">
      <c r="A717" s="2" t="s">
        <v>486</v>
      </c>
      <c r="B717" s="2">
        <f t="shared" si="1"/>
        <v>0</v>
      </c>
    </row>
    <row r="718" ht="15.75" customHeight="1">
      <c r="A718" s="2" t="s">
        <v>487</v>
      </c>
      <c r="B718" s="2">
        <f t="shared" si="1"/>
        <v>0</v>
      </c>
    </row>
    <row r="719" ht="15.75" customHeight="1">
      <c r="A719" s="2" t="s">
        <v>9</v>
      </c>
      <c r="B719" s="2">
        <f t="shared" si="1"/>
        <v>0</v>
      </c>
    </row>
    <row r="720" ht="15.75" customHeight="1">
      <c r="A720" s="2" t="s">
        <v>52</v>
      </c>
      <c r="B720" s="2">
        <f t="shared" si="1"/>
        <v>0</v>
      </c>
    </row>
    <row r="721" ht="15.75" customHeight="1">
      <c r="A721" s="2" t="s">
        <v>482</v>
      </c>
      <c r="B721" s="2">
        <f t="shared" si="1"/>
        <v>0</v>
      </c>
    </row>
    <row r="722" ht="15.75" customHeight="1">
      <c r="A722" s="2" t="s">
        <v>488</v>
      </c>
      <c r="B722" s="2">
        <f t="shared" si="1"/>
        <v>0</v>
      </c>
    </row>
    <row r="723" ht="15.75" customHeight="1">
      <c r="A723" s="2" t="s">
        <v>489</v>
      </c>
      <c r="B723" s="2">
        <f t="shared" si="1"/>
        <v>0</v>
      </c>
    </row>
    <row r="724" ht="15.75" customHeight="1">
      <c r="A724" s="2" t="s">
        <v>490</v>
      </c>
      <c r="B724" s="2">
        <f t="shared" si="1"/>
        <v>0</v>
      </c>
    </row>
    <row r="725" ht="15.75" customHeight="1">
      <c r="A725" s="2" t="s">
        <v>7</v>
      </c>
      <c r="B725" s="2">
        <f t="shared" si="1"/>
        <v>0</v>
      </c>
    </row>
    <row r="726" ht="15.75" customHeight="1">
      <c r="A726" s="2" t="s">
        <v>491</v>
      </c>
      <c r="B726" s="2">
        <f t="shared" si="1"/>
        <v>0</v>
      </c>
    </row>
    <row r="727" ht="15.75" customHeight="1">
      <c r="A727" s="2" t="s">
        <v>9</v>
      </c>
      <c r="B727" s="2">
        <f t="shared" si="1"/>
        <v>0</v>
      </c>
    </row>
    <row r="728" ht="15.75" customHeight="1">
      <c r="A728" s="2" t="s">
        <v>110</v>
      </c>
      <c r="B728" s="2">
        <f t="shared" si="1"/>
        <v>0</v>
      </c>
    </row>
    <row r="729" ht="15.75" customHeight="1">
      <c r="A729" s="2" t="s">
        <v>492</v>
      </c>
      <c r="B729" s="2">
        <f t="shared" si="1"/>
        <v>0</v>
      </c>
    </row>
    <row r="730" ht="15.75" customHeight="1">
      <c r="A730" s="2" t="s">
        <v>493</v>
      </c>
      <c r="B730" s="2">
        <f t="shared" si="1"/>
        <v>0</v>
      </c>
    </row>
    <row r="731" ht="15.75" customHeight="1">
      <c r="A731" s="2" t="s">
        <v>494</v>
      </c>
      <c r="B731" s="2">
        <f t="shared" si="1"/>
        <v>0</v>
      </c>
    </row>
    <row r="732" ht="15.75" customHeight="1">
      <c r="A732" s="2" t="s">
        <v>495</v>
      </c>
      <c r="B732" s="2">
        <f t="shared" si="1"/>
        <v>0</v>
      </c>
    </row>
    <row r="733" ht="15.75" customHeight="1">
      <c r="A733" s="2" t="s">
        <v>496</v>
      </c>
      <c r="B733" s="2">
        <f t="shared" si="1"/>
        <v>0</v>
      </c>
    </row>
    <row r="734" ht="15.75" customHeight="1">
      <c r="A734" s="2" t="s">
        <v>7</v>
      </c>
      <c r="B734" s="2">
        <f t="shared" si="1"/>
        <v>0</v>
      </c>
    </row>
    <row r="735" ht="15.75" customHeight="1">
      <c r="A735" s="2" t="s">
        <v>497</v>
      </c>
      <c r="B735" s="2">
        <f t="shared" si="1"/>
        <v>0</v>
      </c>
    </row>
    <row r="736" ht="15.75" customHeight="1">
      <c r="A736" s="2" t="s">
        <v>9</v>
      </c>
      <c r="B736" s="2">
        <f t="shared" si="1"/>
        <v>0</v>
      </c>
    </row>
    <row r="737" ht="15.75" customHeight="1">
      <c r="A737" s="2" t="s">
        <v>130</v>
      </c>
      <c r="B737" s="2">
        <f t="shared" si="1"/>
        <v>0</v>
      </c>
    </row>
    <row r="738" ht="15.75" customHeight="1">
      <c r="A738" s="1" t="s">
        <v>53</v>
      </c>
      <c r="B738" s="2">
        <f t="shared" si="1"/>
        <v>0</v>
      </c>
    </row>
    <row r="739" ht="15.75" customHeight="1">
      <c r="A739" s="1" t="s">
        <v>1</v>
      </c>
      <c r="B739" s="2">
        <f t="shared" si="1"/>
        <v>0</v>
      </c>
    </row>
    <row r="740" ht="15.75" customHeight="1">
      <c r="A740" s="1">
        <v>2.0</v>
      </c>
      <c r="B740" s="1">
        <f t="shared" si="1"/>
        <v>2</v>
      </c>
    </row>
    <row r="741" ht="15.75" customHeight="1">
      <c r="A741" s="2" t="s">
        <v>498</v>
      </c>
      <c r="B741" s="2">
        <f t="shared" si="1"/>
        <v>0</v>
      </c>
    </row>
    <row r="742" ht="15.75" customHeight="1">
      <c r="A742" s="2" t="s">
        <v>499</v>
      </c>
      <c r="B742" s="2">
        <f t="shared" si="1"/>
        <v>0</v>
      </c>
    </row>
    <row r="743" ht="15.75" customHeight="1">
      <c r="A743" s="2" t="s">
        <v>500</v>
      </c>
      <c r="B743" s="2">
        <f t="shared" si="1"/>
        <v>0</v>
      </c>
    </row>
    <row r="744" ht="15.75" customHeight="1">
      <c r="A744" s="2" t="s">
        <v>501</v>
      </c>
      <c r="B744" s="2">
        <f t="shared" si="1"/>
        <v>0</v>
      </c>
    </row>
    <row r="745" ht="15.75" customHeight="1">
      <c r="A745" s="2" t="s">
        <v>7</v>
      </c>
      <c r="B745" s="2">
        <f t="shared" si="1"/>
        <v>0</v>
      </c>
    </row>
    <row r="746" ht="15.75" customHeight="1">
      <c r="A746" s="2" t="s">
        <v>502</v>
      </c>
      <c r="B746" s="2">
        <f t="shared" si="1"/>
        <v>0</v>
      </c>
    </row>
    <row r="747" ht="15.75" customHeight="1">
      <c r="A747" s="2" t="s">
        <v>9</v>
      </c>
      <c r="B747" s="2">
        <f t="shared" si="1"/>
        <v>0</v>
      </c>
    </row>
    <row r="748" ht="15.75" customHeight="1">
      <c r="A748" s="2" t="s">
        <v>130</v>
      </c>
      <c r="B748" s="2">
        <f t="shared" si="1"/>
        <v>0</v>
      </c>
    </row>
    <row r="749" ht="15.75" customHeight="1">
      <c r="A749" s="2" t="s">
        <v>503</v>
      </c>
      <c r="B749" s="2">
        <f t="shared" si="1"/>
        <v>0</v>
      </c>
    </row>
    <row r="750" ht="15.75" customHeight="1">
      <c r="A750" s="2" t="s">
        <v>504</v>
      </c>
      <c r="B750" s="2">
        <f t="shared" si="1"/>
        <v>0</v>
      </c>
    </row>
    <row r="751" ht="15.75" customHeight="1">
      <c r="A751" s="2" t="s">
        <v>505</v>
      </c>
      <c r="B751" s="2">
        <f t="shared" si="1"/>
        <v>0</v>
      </c>
    </row>
    <row r="752" ht="15.75" customHeight="1">
      <c r="A752" s="2" t="s">
        <v>506</v>
      </c>
      <c r="B752" s="2">
        <f t="shared" si="1"/>
        <v>0</v>
      </c>
    </row>
    <row r="753" ht="15.75" customHeight="1">
      <c r="A753" s="2" t="s">
        <v>7</v>
      </c>
      <c r="B753" s="2">
        <f t="shared" si="1"/>
        <v>0</v>
      </c>
    </row>
    <row r="754" ht="15.75" customHeight="1">
      <c r="A754" s="2" t="s">
        <v>507</v>
      </c>
      <c r="B754" s="2">
        <f t="shared" si="1"/>
        <v>0</v>
      </c>
    </row>
    <row r="755" ht="15.75" customHeight="1">
      <c r="A755" s="2" t="s">
        <v>9</v>
      </c>
      <c r="B755" s="2">
        <f t="shared" si="1"/>
        <v>0</v>
      </c>
    </row>
    <row r="756" ht="15.75" customHeight="1">
      <c r="A756" s="2" t="s">
        <v>508</v>
      </c>
      <c r="B756" s="2">
        <f t="shared" si="1"/>
        <v>0</v>
      </c>
    </row>
    <row r="757" ht="15.75" customHeight="1">
      <c r="A757" s="2" t="s">
        <v>509</v>
      </c>
      <c r="B757" s="2">
        <f t="shared" si="1"/>
        <v>0</v>
      </c>
    </row>
    <row r="758" ht="15.75" customHeight="1">
      <c r="A758" s="2" t="s">
        <v>510</v>
      </c>
      <c r="B758" s="2">
        <f t="shared" si="1"/>
        <v>0</v>
      </c>
    </row>
    <row r="759" ht="15.75" customHeight="1">
      <c r="A759" s="2" t="s">
        <v>511</v>
      </c>
      <c r="B759" s="2">
        <f t="shared" si="1"/>
        <v>0</v>
      </c>
    </row>
    <row r="760" ht="15.75" customHeight="1">
      <c r="A760" s="2" t="s">
        <v>512</v>
      </c>
      <c r="B760" s="2">
        <f t="shared" si="1"/>
        <v>0</v>
      </c>
    </row>
    <row r="761" ht="15.75" customHeight="1">
      <c r="A761" s="2" t="s">
        <v>7</v>
      </c>
      <c r="B761" s="2">
        <f t="shared" si="1"/>
        <v>0</v>
      </c>
    </row>
    <row r="762" ht="15.75" customHeight="1">
      <c r="A762" s="2" t="s">
        <v>513</v>
      </c>
      <c r="B762" s="2">
        <f t="shared" si="1"/>
        <v>0</v>
      </c>
    </row>
    <row r="763" ht="15.75" customHeight="1">
      <c r="A763" s="2" t="s">
        <v>9</v>
      </c>
      <c r="B763" s="2">
        <f t="shared" si="1"/>
        <v>0</v>
      </c>
    </row>
    <row r="764" ht="15.75" customHeight="1">
      <c r="A764" s="2" t="s">
        <v>31</v>
      </c>
      <c r="B764" s="2">
        <f t="shared" si="1"/>
        <v>0</v>
      </c>
    </row>
    <row r="765" ht="15.75" customHeight="1">
      <c r="A765" s="2" t="s">
        <v>514</v>
      </c>
      <c r="B765" s="2">
        <f t="shared" si="1"/>
        <v>0</v>
      </c>
    </row>
    <row r="766" ht="15.75" customHeight="1">
      <c r="A766" s="2" t="s">
        <v>515</v>
      </c>
      <c r="B766" s="2">
        <f t="shared" si="1"/>
        <v>0</v>
      </c>
    </row>
    <row r="767" ht="15.75" customHeight="1">
      <c r="A767" s="2" t="s">
        <v>516</v>
      </c>
      <c r="B767" s="2">
        <f t="shared" si="1"/>
        <v>0</v>
      </c>
    </row>
    <row r="768" ht="15.75" customHeight="1">
      <c r="A768" s="2" t="s">
        <v>517</v>
      </c>
      <c r="B768" s="2">
        <f t="shared" si="1"/>
        <v>0</v>
      </c>
    </row>
    <row r="769" ht="15.75" customHeight="1">
      <c r="A769" s="2" t="s">
        <v>7</v>
      </c>
      <c r="B769" s="2">
        <f t="shared" si="1"/>
        <v>0</v>
      </c>
    </row>
    <row r="770" ht="15.75" customHeight="1">
      <c r="A770" s="2" t="s">
        <v>518</v>
      </c>
      <c r="B770" s="2">
        <f t="shared" si="1"/>
        <v>0</v>
      </c>
    </row>
    <row r="771" ht="15.75" customHeight="1">
      <c r="A771" s="2" t="s">
        <v>9</v>
      </c>
      <c r="B771" s="2">
        <f t="shared" si="1"/>
        <v>0</v>
      </c>
    </row>
    <row r="772" ht="15.75" customHeight="1">
      <c r="A772" s="2" t="s">
        <v>31</v>
      </c>
      <c r="B772" s="2">
        <f t="shared" si="1"/>
        <v>0</v>
      </c>
    </row>
    <row r="773" ht="15.75" customHeight="1">
      <c r="A773" s="2" t="s">
        <v>519</v>
      </c>
      <c r="B773" s="2">
        <f t="shared" si="1"/>
        <v>0</v>
      </c>
    </row>
    <row r="774" ht="15.75" customHeight="1">
      <c r="A774" s="2" t="s">
        <v>520</v>
      </c>
      <c r="B774" s="2">
        <f t="shared" si="1"/>
        <v>0</v>
      </c>
    </row>
    <row r="775" ht="15.75" customHeight="1">
      <c r="A775" s="2" t="s">
        <v>521</v>
      </c>
      <c r="B775" s="2">
        <f t="shared" si="1"/>
        <v>0</v>
      </c>
    </row>
    <row r="776" ht="15.75" customHeight="1">
      <c r="A776" s="2" t="s">
        <v>522</v>
      </c>
      <c r="B776" s="2">
        <f t="shared" si="1"/>
        <v>0</v>
      </c>
    </row>
    <row r="777" ht="15.75" customHeight="1">
      <c r="A777" s="2" t="s">
        <v>523</v>
      </c>
      <c r="B777" s="2">
        <f t="shared" si="1"/>
        <v>0</v>
      </c>
    </row>
    <row r="778" ht="15.75" customHeight="1">
      <c r="A778" s="2" t="s">
        <v>7</v>
      </c>
      <c r="B778" s="2">
        <f t="shared" si="1"/>
        <v>0</v>
      </c>
    </row>
    <row r="779" ht="15.75" customHeight="1">
      <c r="A779" s="2" t="s">
        <v>524</v>
      </c>
      <c r="B779" s="2">
        <f t="shared" si="1"/>
        <v>0</v>
      </c>
    </row>
    <row r="780" ht="15.75" customHeight="1">
      <c r="A780" s="2" t="s">
        <v>9</v>
      </c>
      <c r="B780" s="2">
        <f t="shared" si="1"/>
        <v>0</v>
      </c>
    </row>
    <row r="781" ht="15.75" customHeight="1">
      <c r="A781" s="2" t="s">
        <v>476</v>
      </c>
      <c r="B781" s="2">
        <f t="shared" si="1"/>
        <v>0</v>
      </c>
    </row>
    <row r="782" ht="15.75" customHeight="1">
      <c r="A782" s="1" t="s">
        <v>53</v>
      </c>
      <c r="B782" s="2">
        <f t="shared" si="1"/>
        <v>0</v>
      </c>
    </row>
    <row r="783" ht="15.75" customHeight="1">
      <c r="A783" s="1" t="s">
        <v>1</v>
      </c>
      <c r="B783" s="2">
        <f t="shared" si="1"/>
        <v>0</v>
      </c>
    </row>
    <row r="784" ht="15.75" customHeight="1">
      <c r="A784" s="1">
        <v>3.0</v>
      </c>
      <c r="B784" s="1">
        <f t="shared" si="1"/>
        <v>3</v>
      </c>
    </row>
    <row r="785" ht="15.75" customHeight="1">
      <c r="A785" s="2" t="s">
        <v>525</v>
      </c>
      <c r="B785" s="2">
        <f t="shared" si="1"/>
        <v>0</v>
      </c>
    </row>
    <row r="786" ht="15.75" customHeight="1">
      <c r="A786" s="2" t="s">
        <v>526</v>
      </c>
      <c r="B786" s="2">
        <f t="shared" si="1"/>
        <v>0</v>
      </c>
    </row>
    <row r="787" ht="15.75" customHeight="1">
      <c r="A787" s="2" t="s">
        <v>527</v>
      </c>
      <c r="B787" s="2">
        <f t="shared" si="1"/>
        <v>0</v>
      </c>
    </row>
    <row r="788" ht="15.75" customHeight="1">
      <c r="A788" s="2" t="s">
        <v>528</v>
      </c>
      <c r="B788" s="2">
        <f t="shared" si="1"/>
        <v>0</v>
      </c>
    </row>
    <row r="789" ht="15.75" customHeight="1">
      <c r="A789" s="2" t="s">
        <v>7</v>
      </c>
      <c r="B789" s="2">
        <f t="shared" si="1"/>
        <v>0</v>
      </c>
    </row>
    <row r="790" ht="15.75" customHeight="1">
      <c r="A790" s="2" t="s">
        <v>529</v>
      </c>
      <c r="B790" s="2">
        <f t="shared" si="1"/>
        <v>0</v>
      </c>
    </row>
    <row r="791" ht="15.75" customHeight="1">
      <c r="A791" s="2" t="s">
        <v>9</v>
      </c>
      <c r="B791" s="2">
        <f t="shared" si="1"/>
        <v>0</v>
      </c>
    </row>
    <row r="792" ht="15.75" customHeight="1">
      <c r="A792" s="2" t="s">
        <v>530</v>
      </c>
      <c r="B792" s="2">
        <f t="shared" si="1"/>
        <v>0</v>
      </c>
    </row>
    <row r="793" ht="15.75" customHeight="1">
      <c r="A793" s="2" t="s">
        <v>531</v>
      </c>
      <c r="B793" s="2">
        <f t="shared" si="1"/>
        <v>0</v>
      </c>
    </row>
    <row r="794" ht="15.75" customHeight="1">
      <c r="A794" s="2" t="s">
        <v>532</v>
      </c>
      <c r="B794" s="2">
        <f t="shared" si="1"/>
        <v>0</v>
      </c>
    </row>
    <row r="795" ht="15.75" customHeight="1">
      <c r="A795" s="2" t="s">
        <v>533</v>
      </c>
      <c r="B795" s="2">
        <f t="shared" si="1"/>
        <v>0</v>
      </c>
    </row>
    <row r="796" ht="15.75" customHeight="1">
      <c r="A796" s="2" t="s">
        <v>534</v>
      </c>
      <c r="B796" s="2">
        <f t="shared" si="1"/>
        <v>0</v>
      </c>
    </row>
    <row r="797" ht="15.75" customHeight="1">
      <c r="A797" s="2" t="s">
        <v>535</v>
      </c>
      <c r="B797" s="2">
        <f t="shared" si="1"/>
        <v>0</v>
      </c>
    </row>
    <row r="798" ht="15.75" customHeight="1">
      <c r="A798" s="2" t="s">
        <v>44</v>
      </c>
      <c r="B798" s="2">
        <f t="shared" si="1"/>
        <v>0</v>
      </c>
    </row>
    <row r="799" ht="15.75" customHeight="1">
      <c r="A799" s="2" t="s">
        <v>536</v>
      </c>
      <c r="B799" s="2">
        <f t="shared" si="1"/>
        <v>0</v>
      </c>
    </row>
    <row r="800" ht="15.75" customHeight="1">
      <c r="A800" s="2" t="s">
        <v>537</v>
      </c>
      <c r="B800" s="2">
        <f t="shared" si="1"/>
        <v>0</v>
      </c>
    </row>
    <row r="801" ht="15.75" customHeight="1">
      <c r="A801" s="2" t="s">
        <v>9</v>
      </c>
      <c r="B801" s="2">
        <f t="shared" si="1"/>
        <v>0</v>
      </c>
    </row>
    <row r="802" ht="15.75" customHeight="1">
      <c r="A802" s="2" t="s">
        <v>538</v>
      </c>
      <c r="B802" s="2">
        <f t="shared" si="1"/>
        <v>0</v>
      </c>
    </row>
    <row r="803" ht="15.75" customHeight="1">
      <c r="A803" s="2" t="s">
        <v>539</v>
      </c>
      <c r="B803" s="2">
        <f t="shared" si="1"/>
        <v>0</v>
      </c>
    </row>
    <row r="804" ht="15.75" customHeight="1">
      <c r="A804" s="2" t="s">
        <v>540</v>
      </c>
      <c r="B804" s="2">
        <f t="shared" si="1"/>
        <v>0</v>
      </c>
    </row>
    <row r="805" ht="15.75" customHeight="1">
      <c r="A805" s="2" t="s">
        <v>541</v>
      </c>
      <c r="B805" s="2">
        <f t="shared" si="1"/>
        <v>0</v>
      </c>
    </row>
    <row r="806" ht="15.75" customHeight="1">
      <c r="A806" s="2" t="s">
        <v>542</v>
      </c>
      <c r="B806" s="2">
        <f t="shared" si="1"/>
        <v>0</v>
      </c>
    </row>
    <row r="807" ht="15.75" customHeight="1">
      <c r="A807" s="2" t="s">
        <v>7</v>
      </c>
      <c r="B807" s="2">
        <f t="shared" si="1"/>
        <v>0</v>
      </c>
    </row>
    <row r="808" ht="15.75" customHeight="1">
      <c r="A808" s="2" t="s">
        <v>543</v>
      </c>
      <c r="B808" s="2">
        <f t="shared" si="1"/>
        <v>0</v>
      </c>
    </row>
    <row r="809" ht="15.75" customHeight="1">
      <c r="A809" s="2" t="s">
        <v>9</v>
      </c>
      <c r="B809" s="2">
        <f t="shared" si="1"/>
        <v>0</v>
      </c>
    </row>
    <row r="810" ht="15.75" customHeight="1">
      <c r="A810" s="2" t="s">
        <v>476</v>
      </c>
      <c r="B810" s="2">
        <f t="shared" si="1"/>
        <v>0</v>
      </c>
    </row>
    <row r="811" ht="15.75" customHeight="1">
      <c r="A811" s="2" t="s">
        <v>544</v>
      </c>
      <c r="B811" s="2">
        <f t="shared" si="1"/>
        <v>0</v>
      </c>
    </row>
    <row r="812" ht="15.75" customHeight="1">
      <c r="A812" s="2" t="s">
        <v>545</v>
      </c>
      <c r="B812" s="2">
        <f t="shared" si="1"/>
        <v>0</v>
      </c>
    </row>
    <row r="813" ht="15.75" customHeight="1">
      <c r="A813" s="2" t="s">
        <v>546</v>
      </c>
      <c r="B813" s="2">
        <f t="shared" si="1"/>
        <v>0</v>
      </c>
    </row>
    <row r="814" ht="15.75" customHeight="1">
      <c r="A814" s="2" t="s">
        <v>547</v>
      </c>
      <c r="B814" s="2">
        <f t="shared" si="1"/>
        <v>0</v>
      </c>
    </row>
    <row r="815" ht="15.75" customHeight="1">
      <c r="A815" s="2" t="s">
        <v>548</v>
      </c>
      <c r="B815" s="2">
        <f t="shared" si="1"/>
        <v>0</v>
      </c>
    </row>
    <row r="816" ht="15.75" customHeight="1">
      <c r="A816" s="2" t="s">
        <v>7</v>
      </c>
      <c r="B816" s="2">
        <f t="shared" si="1"/>
        <v>0</v>
      </c>
    </row>
    <row r="817" ht="15.75" customHeight="1">
      <c r="A817" s="2" t="s">
        <v>549</v>
      </c>
      <c r="B817" s="2">
        <f t="shared" si="1"/>
        <v>0</v>
      </c>
    </row>
    <row r="818" ht="15.75" customHeight="1">
      <c r="A818" s="2" t="s">
        <v>9</v>
      </c>
      <c r="B818" s="2">
        <f t="shared" si="1"/>
        <v>0</v>
      </c>
    </row>
    <row r="819" ht="15.75" customHeight="1">
      <c r="A819" s="2" t="s">
        <v>550</v>
      </c>
      <c r="B819" s="2">
        <f t="shared" si="1"/>
        <v>0</v>
      </c>
    </row>
    <row r="820" ht="15.75" customHeight="1">
      <c r="A820" s="2" t="s">
        <v>551</v>
      </c>
      <c r="B820" s="2">
        <f t="shared" si="1"/>
        <v>0</v>
      </c>
    </row>
    <row r="821" ht="15.75" customHeight="1">
      <c r="A821" s="2" t="s">
        <v>552</v>
      </c>
      <c r="B821" s="2">
        <f t="shared" si="1"/>
        <v>0</v>
      </c>
    </row>
    <row r="822" ht="15.75" customHeight="1">
      <c r="A822" s="2" t="s">
        <v>553</v>
      </c>
      <c r="B822" s="2">
        <f t="shared" si="1"/>
        <v>0</v>
      </c>
    </row>
    <row r="823" ht="15.75" customHeight="1">
      <c r="A823" s="2" t="s">
        <v>554</v>
      </c>
      <c r="B823" s="2">
        <f t="shared" si="1"/>
        <v>0</v>
      </c>
    </row>
    <row r="824" ht="15.75" customHeight="1">
      <c r="A824" s="2" t="s">
        <v>7</v>
      </c>
      <c r="B824" s="2">
        <f t="shared" si="1"/>
        <v>0</v>
      </c>
    </row>
    <row r="825" ht="15.75" customHeight="1">
      <c r="A825" s="2" t="s">
        <v>555</v>
      </c>
      <c r="B825" s="2">
        <f t="shared" si="1"/>
        <v>0</v>
      </c>
    </row>
    <row r="826" ht="15.75" customHeight="1">
      <c r="A826" s="2" t="s">
        <v>37</v>
      </c>
      <c r="B826" s="2">
        <f t="shared" si="1"/>
        <v>0</v>
      </c>
    </row>
    <row r="827" ht="15.75" customHeight="1">
      <c r="A827" s="2" t="s">
        <v>52</v>
      </c>
      <c r="B827" s="2">
        <f t="shared" si="1"/>
        <v>0</v>
      </c>
    </row>
    <row r="828" ht="15.75" customHeight="1">
      <c r="A828" s="1" t="s">
        <v>53</v>
      </c>
      <c r="B828" s="2">
        <f t="shared" si="1"/>
        <v>0</v>
      </c>
    </row>
    <row r="829" ht="15.75" customHeight="1">
      <c r="A829" s="1" t="s">
        <v>1</v>
      </c>
      <c r="B829" s="2">
        <f t="shared" si="1"/>
        <v>0</v>
      </c>
    </row>
    <row r="830" ht="15.75" customHeight="1">
      <c r="A830" s="1">
        <v>4.0</v>
      </c>
      <c r="B830" s="1">
        <f t="shared" si="1"/>
        <v>4</v>
      </c>
    </row>
    <row r="831" ht="15.75" customHeight="1">
      <c r="A831" s="2" t="s">
        <v>556</v>
      </c>
      <c r="B831" s="2">
        <f t="shared" si="1"/>
        <v>0</v>
      </c>
    </row>
    <row r="832" ht="15.75" customHeight="1">
      <c r="A832" s="2" t="s">
        <v>557</v>
      </c>
      <c r="B832" s="2">
        <f t="shared" si="1"/>
        <v>0</v>
      </c>
    </row>
    <row r="833" ht="15.75" customHeight="1">
      <c r="A833" s="2" t="s">
        <v>558</v>
      </c>
      <c r="B833" s="2">
        <f t="shared" si="1"/>
        <v>0</v>
      </c>
    </row>
    <row r="834" ht="15.75" customHeight="1">
      <c r="A834" s="2" t="s">
        <v>559</v>
      </c>
      <c r="B834" s="2">
        <f t="shared" si="1"/>
        <v>0</v>
      </c>
    </row>
    <row r="835" ht="15.75" customHeight="1">
      <c r="A835" s="2" t="s">
        <v>560</v>
      </c>
      <c r="B835" s="2">
        <f t="shared" si="1"/>
        <v>0</v>
      </c>
    </row>
    <row r="836" ht="15.75" customHeight="1">
      <c r="A836" s="2" t="s">
        <v>7</v>
      </c>
      <c r="B836" s="2">
        <f t="shared" si="1"/>
        <v>0</v>
      </c>
    </row>
    <row r="837" ht="15.75" customHeight="1">
      <c r="A837" s="2" t="s">
        <v>561</v>
      </c>
      <c r="B837" s="2">
        <f t="shared" si="1"/>
        <v>0</v>
      </c>
    </row>
    <row r="838" ht="15.75" customHeight="1">
      <c r="A838" s="2" t="s">
        <v>37</v>
      </c>
      <c r="B838" s="2">
        <f t="shared" si="1"/>
        <v>0</v>
      </c>
    </row>
    <row r="839" ht="15.75" customHeight="1">
      <c r="A839" s="2" t="s">
        <v>562</v>
      </c>
      <c r="B839" s="2">
        <f t="shared" si="1"/>
        <v>0</v>
      </c>
    </row>
    <row r="840" ht="15.75" customHeight="1">
      <c r="A840" s="2" t="s">
        <v>563</v>
      </c>
      <c r="B840" s="2">
        <f t="shared" si="1"/>
        <v>0</v>
      </c>
    </row>
    <row r="841" ht="15.75" customHeight="1">
      <c r="A841" s="2" t="s">
        <v>564</v>
      </c>
      <c r="B841" s="2">
        <f t="shared" si="1"/>
        <v>0</v>
      </c>
    </row>
    <row r="842" ht="15.75" customHeight="1">
      <c r="A842" s="2" t="s">
        <v>565</v>
      </c>
      <c r="B842" s="2">
        <f t="shared" si="1"/>
        <v>0</v>
      </c>
    </row>
    <row r="843" ht="15.75" customHeight="1">
      <c r="A843" s="2" t="s">
        <v>566</v>
      </c>
      <c r="B843" s="2">
        <f t="shared" si="1"/>
        <v>0</v>
      </c>
    </row>
    <row r="844" ht="15.75" customHeight="1">
      <c r="A844" s="2" t="s">
        <v>567</v>
      </c>
      <c r="B844" s="2">
        <f t="shared" si="1"/>
        <v>0</v>
      </c>
    </row>
    <row r="845" ht="15.75" customHeight="1">
      <c r="A845" s="2" t="s">
        <v>568</v>
      </c>
      <c r="B845" s="2">
        <f t="shared" si="1"/>
        <v>0</v>
      </c>
    </row>
    <row r="846" ht="15.75" customHeight="1">
      <c r="A846" s="2" t="s">
        <v>44</v>
      </c>
      <c r="B846" s="2">
        <f t="shared" si="1"/>
        <v>0</v>
      </c>
    </row>
    <row r="847" ht="15.75" customHeight="1">
      <c r="A847" s="2" t="s">
        <v>569</v>
      </c>
      <c r="B847" s="2">
        <f t="shared" si="1"/>
        <v>0</v>
      </c>
    </row>
    <row r="848" ht="15.75" customHeight="1">
      <c r="A848" s="2" t="s">
        <v>37</v>
      </c>
      <c r="B848" s="2">
        <f t="shared" si="1"/>
        <v>0</v>
      </c>
    </row>
    <row r="849" ht="15.75" customHeight="1">
      <c r="A849" s="2" t="s">
        <v>31</v>
      </c>
      <c r="B849" s="2">
        <f t="shared" si="1"/>
        <v>0</v>
      </c>
    </row>
    <row r="850" ht="15.75" customHeight="1">
      <c r="A850" s="2" t="s">
        <v>570</v>
      </c>
      <c r="B850" s="2">
        <f t="shared" si="1"/>
        <v>0</v>
      </c>
    </row>
    <row r="851" ht="15.75" customHeight="1">
      <c r="A851" s="2" t="s">
        <v>571</v>
      </c>
      <c r="B851" s="2">
        <f t="shared" si="1"/>
        <v>0</v>
      </c>
    </row>
    <row r="852" ht="15.75" customHeight="1">
      <c r="A852" s="2" t="s">
        <v>572</v>
      </c>
      <c r="B852" s="2">
        <f t="shared" si="1"/>
        <v>0</v>
      </c>
    </row>
    <row r="853" ht="15.75" customHeight="1">
      <c r="A853" s="2" t="s">
        <v>573</v>
      </c>
      <c r="B853" s="2">
        <f t="shared" si="1"/>
        <v>0</v>
      </c>
    </row>
    <row r="854" ht="15.75" customHeight="1">
      <c r="A854" s="2" t="s">
        <v>574</v>
      </c>
      <c r="B854" s="2">
        <f t="shared" si="1"/>
        <v>0</v>
      </c>
    </row>
    <row r="855" ht="15.75" customHeight="1">
      <c r="A855" s="2" t="s">
        <v>7</v>
      </c>
      <c r="B855" s="2">
        <f t="shared" si="1"/>
        <v>0</v>
      </c>
    </row>
    <row r="856" ht="15.75" customHeight="1">
      <c r="A856" s="2" t="s">
        <v>575</v>
      </c>
      <c r="B856" s="2">
        <f t="shared" si="1"/>
        <v>0</v>
      </c>
    </row>
    <row r="857" ht="15.75" customHeight="1">
      <c r="A857" s="2" t="s">
        <v>37</v>
      </c>
      <c r="B857" s="2">
        <f t="shared" si="1"/>
        <v>0</v>
      </c>
    </row>
    <row r="858" ht="15.75" customHeight="1">
      <c r="A858" s="2" t="s">
        <v>576</v>
      </c>
      <c r="B858" s="2">
        <f t="shared" si="1"/>
        <v>0</v>
      </c>
    </row>
    <row r="859" ht="15.75" customHeight="1">
      <c r="A859" s="2" t="s">
        <v>577</v>
      </c>
      <c r="B859" s="2">
        <f t="shared" si="1"/>
        <v>0</v>
      </c>
    </row>
    <row r="860" ht="15.75" customHeight="1">
      <c r="A860" s="2" t="s">
        <v>578</v>
      </c>
      <c r="B860" s="2">
        <f t="shared" si="1"/>
        <v>0</v>
      </c>
    </row>
    <row r="861" ht="15.75" customHeight="1">
      <c r="A861" s="2" t="s">
        <v>579</v>
      </c>
      <c r="B861" s="2">
        <f t="shared" si="1"/>
        <v>0</v>
      </c>
    </row>
    <row r="862" ht="15.75" customHeight="1">
      <c r="A862" s="2" t="s">
        <v>580</v>
      </c>
      <c r="B862" s="2">
        <f t="shared" si="1"/>
        <v>0</v>
      </c>
    </row>
    <row r="863" ht="15.75" customHeight="1">
      <c r="A863" s="2" t="s">
        <v>581</v>
      </c>
      <c r="B863" s="2">
        <f t="shared" si="1"/>
        <v>0</v>
      </c>
    </row>
    <row r="864" ht="15.75" customHeight="1">
      <c r="A864" s="2" t="s">
        <v>7</v>
      </c>
      <c r="B864" s="2">
        <f t="shared" si="1"/>
        <v>0</v>
      </c>
    </row>
    <row r="865" ht="15.75" customHeight="1">
      <c r="A865" s="2" t="s">
        <v>582</v>
      </c>
      <c r="B865" s="2">
        <f t="shared" si="1"/>
        <v>0</v>
      </c>
    </row>
    <row r="866" ht="15.75" customHeight="1">
      <c r="A866" s="2" t="s">
        <v>37</v>
      </c>
      <c r="B866" s="2">
        <f t="shared" si="1"/>
        <v>0</v>
      </c>
    </row>
    <row r="867" ht="15.75" customHeight="1">
      <c r="A867" s="2" t="s">
        <v>52</v>
      </c>
      <c r="B867" s="2">
        <f t="shared" si="1"/>
        <v>0</v>
      </c>
    </row>
    <row r="868" ht="15.75" customHeight="1">
      <c r="A868" s="2" t="s">
        <v>583</v>
      </c>
      <c r="B868" s="2">
        <f t="shared" si="1"/>
        <v>0</v>
      </c>
    </row>
    <row r="869" ht="15.75" customHeight="1">
      <c r="A869" s="2" t="s">
        <v>584</v>
      </c>
      <c r="B869" s="2">
        <f t="shared" si="1"/>
        <v>0</v>
      </c>
    </row>
    <row r="870" ht="15.75" customHeight="1">
      <c r="A870" s="2" t="s">
        <v>585</v>
      </c>
      <c r="B870" s="2">
        <f t="shared" si="1"/>
        <v>0</v>
      </c>
    </row>
    <row r="871" ht="15.75" customHeight="1">
      <c r="A871" s="2" t="s">
        <v>586</v>
      </c>
      <c r="B871" s="2">
        <f t="shared" si="1"/>
        <v>0</v>
      </c>
    </row>
    <row r="872" ht="15.75" customHeight="1">
      <c r="A872" s="2" t="s">
        <v>587</v>
      </c>
      <c r="B872" s="2">
        <f t="shared" si="1"/>
        <v>0</v>
      </c>
    </row>
    <row r="873" ht="15.75" customHeight="1">
      <c r="A873" s="2" t="s">
        <v>7</v>
      </c>
      <c r="B873" s="2">
        <f t="shared" si="1"/>
        <v>0</v>
      </c>
    </row>
    <row r="874" ht="15.75" customHeight="1">
      <c r="A874" s="2" t="s">
        <v>588</v>
      </c>
      <c r="B874" s="2">
        <f t="shared" si="1"/>
        <v>0</v>
      </c>
    </row>
    <row r="875" ht="15.75" customHeight="1">
      <c r="A875" s="2" t="s">
        <v>37</v>
      </c>
      <c r="B875" s="2">
        <f t="shared" si="1"/>
        <v>0</v>
      </c>
    </row>
    <row r="876" ht="15.75" customHeight="1">
      <c r="A876" s="2" t="s">
        <v>589</v>
      </c>
      <c r="B876" s="2">
        <f t="shared" si="1"/>
        <v>0</v>
      </c>
    </row>
    <row r="877" ht="15.75" customHeight="1">
      <c r="A877" s="1" t="s">
        <v>53</v>
      </c>
      <c r="B877" s="2">
        <f t="shared" si="1"/>
        <v>0</v>
      </c>
    </row>
    <row r="878" ht="15.75" customHeight="1">
      <c r="A878" s="1" t="s">
        <v>1</v>
      </c>
      <c r="B878" s="2">
        <f t="shared" si="1"/>
        <v>0</v>
      </c>
    </row>
    <row r="879" ht="15.75" customHeight="1">
      <c r="A879" s="1">
        <v>5.0</v>
      </c>
      <c r="B879" s="1">
        <f t="shared" si="1"/>
        <v>5</v>
      </c>
    </row>
    <row r="880" ht="15.75" customHeight="1">
      <c r="A880" s="2" t="s">
        <v>590</v>
      </c>
      <c r="B880" s="2">
        <f t="shared" si="1"/>
        <v>0</v>
      </c>
    </row>
    <row r="881" ht="15.75" customHeight="1">
      <c r="A881" s="2" t="s">
        <v>591</v>
      </c>
      <c r="B881" s="2">
        <f t="shared" si="1"/>
        <v>0</v>
      </c>
    </row>
    <row r="882" ht="15.75" customHeight="1">
      <c r="A882" s="2" t="s">
        <v>592</v>
      </c>
      <c r="B882" s="2">
        <f t="shared" si="1"/>
        <v>0</v>
      </c>
    </row>
    <row r="883" ht="15.75" customHeight="1">
      <c r="A883" s="2" t="s">
        <v>593</v>
      </c>
      <c r="B883" s="2">
        <f t="shared" si="1"/>
        <v>0</v>
      </c>
    </row>
    <row r="884" ht="15.75" customHeight="1">
      <c r="A884" s="2" t="s">
        <v>594</v>
      </c>
      <c r="B884" s="2">
        <f t="shared" si="1"/>
        <v>0</v>
      </c>
    </row>
    <row r="885" ht="15.75" customHeight="1">
      <c r="A885" s="2" t="s">
        <v>7</v>
      </c>
      <c r="B885" s="2">
        <f t="shared" si="1"/>
        <v>0</v>
      </c>
    </row>
    <row r="886" ht="15.75" customHeight="1">
      <c r="A886" s="2" t="s">
        <v>595</v>
      </c>
      <c r="B886" s="2">
        <f t="shared" si="1"/>
        <v>0</v>
      </c>
    </row>
    <row r="887" ht="15.75" customHeight="1">
      <c r="A887" s="2" t="s">
        <v>37</v>
      </c>
      <c r="B887" s="2">
        <f t="shared" si="1"/>
        <v>0</v>
      </c>
    </row>
    <row r="888" ht="15.75" customHeight="1">
      <c r="A888" s="2" t="s">
        <v>596</v>
      </c>
      <c r="B888" s="2">
        <f t="shared" si="1"/>
        <v>0</v>
      </c>
    </row>
    <row r="889" ht="15.75" customHeight="1">
      <c r="A889" s="2" t="s">
        <v>597</v>
      </c>
      <c r="B889" s="2">
        <f t="shared" si="1"/>
        <v>0</v>
      </c>
    </row>
    <row r="890" ht="15.75" customHeight="1">
      <c r="A890" s="2" t="s">
        <v>598</v>
      </c>
      <c r="B890" s="2">
        <f t="shared" si="1"/>
        <v>0</v>
      </c>
    </row>
    <row r="891" ht="15.75" customHeight="1">
      <c r="A891" s="2" t="s">
        <v>599</v>
      </c>
      <c r="B891" s="2">
        <f t="shared" si="1"/>
        <v>0</v>
      </c>
    </row>
    <row r="892" ht="15.75" customHeight="1">
      <c r="A892" s="2" t="s">
        <v>600</v>
      </c>
      <c r="B892" s="2">
        <f t="shared" si="1"/>
        <v>0</v>
      </c>
    </row>
    <row r="893" ht="15.75" customHeight="1">
      <c r="A893" s="2" t="s">
        <v>50</v>
      </c>
      <c r="B893" s="2">
        <f t="shared" si="1"/>
        <v>0</v>
      </c>
    </row>
    <row r="894" ht="15.75" customHeight="1">
      <c r="A894" s="2" t="s">
        <v>7</v>
      </c>
      <c r="B894" s="2">
        <f t="shared" si="1"/>
        <v>0</v>
      </c>
    </row>
    <row r="895" ht="15.75" customHeight="1">
      <c r="A895" s="2" t="s">
        <v>601</v>
      </c>
      <c r="B895" s="2">
        <f t="shared" si="1"/>
        <v>0</v>
      </c>
    </row>
    <row r="896" ht="15.75" customHeight="1">
      <c r="A896" s="2" t="s">
        <v>602</v>
      </c>
      <c r="B896" s="2">
        <f t="shared" si="1"/>
        <v>0</v>
      </c>
    </row>
    <row r="897" ht="15.75" customHeight="1">
      <c r="A897" s="2" t="s">
        <v>37</v>
      </c>
      <c r="B897" s="2">
        <f t="shared" si="1"/>
        <v>0</v>
      </c>
    </row>
    <row r="898" ht="15.75" customHeight="1">
      <c r="A898" s="2" t="s">
        <v>603</v>
      </c>
      <c r="B898" s="2">
        <f t="shared" si="1"/>
        <v>0</v>
      </c>
    </row>
    <row r="899" ht="15.75" customHeight="1">
      <c r="A899" s="2" t="s">
        <v>604</v>
      </c>
      <c r="B899" s="2">
        <f t="shared" si="1"/>
        <v>0</v>
      </c>
    </row>
    <row r="900" ht="15.75" customHeight="1">
      <c r="A900" s="2" t="s">
        <v>605</v>
      </c>
      <c r="B900" s="2">
        <f t="shared" si="1"/>
        <v>0</v>
      </c>
    </row>
    <row r="901" ht="15.75" customHeight="1">
      <c r="A901" s="2" t="s">
        <v>606</v>
      </c>
      <c r="B901" s="2">
        <f t="shared" si="1"/>
        <v>0</v>
      </c>
    </row>
    <row r="902" ht="15.75" customHeight="1">
      <c r="A902" s="2" t="s">
        <v>607</v>
      </c>
      <c r="B902" s="2">
        <f t="shared" si="1"/>
        <v>0</v>
      </c>
    </row>
    <row r="903" ht="15.75" customHeight="1">
      <c r="A903" s="2" t="s">
        <v>608</v>
      </c>
      <c r="B903" s="2">
        <f t="shared" si="1"/>
        <v>0</v>
      </c>
    </row>
    <row r="904" ht="15.75" customHeight="1">
      <c r="A904" s="2" t="s">
        <v>7</v>
      </c>
      <c r="B904" s="2">
        <f t="shared" si="1"/>
        <v>0</v>
      </c>
    </row>
    <row r="905" ht="15.75" customHeight="1">
      <c r="A905" s="2" t="s">
        <v>609</v>
      </c>
      <c r="B905" s="2">
        <f t="shared" si="1"/>
        <v>0</v>
      </c>
    </row>
    <row r="906" ht="15.75" customHeight="1">
      <c r="A906" s="2" t="s">
        <v>610</v>
      </c>
      <c r="B906" s="2">
        <f t="shared" si="1"/>
        <v>0</v>
      </c>
    </row>
    <row r="907" ht="15.75" customHeight="1">
      <c r="A907" s="2" t="s">
        <v>37</v>
      </c>
      <c r="B907" s="2">
        <f t="shared" si="1"/>
        <v>0</v>
      </c>
    </row>
    <row r="908" ht="15.75" customHeight="1">
      <c r="A908" s="2" t="s">
        <v>161</v>
      </c>
      <c r="B908" s="2">
        <f t="shared" si="1"/>
        <v>0</v>
      </c>
    </row>
    <row r="909" ht="15.75" customHeight="1">
      <c r="A909" s="1" t="s">
        <v>53</v>
      </c>
      <c r="B909" s="2">
        <f t="shared" si="1"/>
        <v>0</v>
      </c>
    </row>
    <row r="910" ht="15.75" customHeight="1">
      <c r="A910" s="1" t="s">
        <v>1</v>
      </c>
      <c r="B910" s="2">
        <f t="shared" si="1"/>
        <v>0</v>
      </c>
    </row>
    <row r="911" ht="15.75" customHeight="1">
      <c r="A911" s="1">
        <v>1.0</v>
      </c>
      <c r="B911" s="1">
        <f t="shared" si="1"/>
        <v>1</v>
      </c>
    </row>
    <row r="912" ht="15.75" customHeight="1">
      <c r="A912" s="2" t="s">
        <v>611</v>
      </c>
      <c r="B912" s="2">
        <f t="shared" si="1"/>
        <v>0</v>
      </c>
    </row>
    <row r="913" ht="15.75" customHeight="1">
      <c r="A913" s="2" t="s">
        <v>612</v>
      </c>
      <c r="B913" s="2">
        <f t="shared" si="1"/>
        <v>0</v>
      </c>
    </row>
    <row r="914" ht="15.75" customHeight="1">
      <c r="A914" s="2" t="s">
        <v>613</v>
      </c>
      <c r="B914" s="2">
        <f t="shared" si="1"/>
        <v>0</v>
      </c>
    </row>
    <row r="915" ht="15.75" customHeight="1">
      <c r="A915" s="2" t="s">
        <v>614</v>
      </c>
      <c r="B915" s="2">
        <f t="shared" si="1"/>
        <v>0</v>
      </c>
    </row>
    <row r="916" ht="15.75" customHeight="1">
      <c r="A916" s="2" t="s">
        <v>7</v>
      </c>
      <c r="B916" s="2">
        <f t="shared" si="1"/>
        <v>0</v>
      </c>
    </row>
    <row r="917" ht="15.75" customHeight="1">
      <c r="A917" s="2" t="s">
        <v>615</v>
      </c>
      <c r="B917" s="2">
        <f t="shared" si="1"/>
        <v>0</v>
      </c>
    </row>
    <row r="918" ht="15.75" customHeight="1">
      <c r="A918" s="2" t="s">
        <v>9</v>
      </c>
      <c r="B918" s="2">
        <f t="shared" si="1"/>
        <v>0</v>
      </c>
    </row>
    <row r="919" ht="15.75" customHeight="1">
      <c r="A919" s="2" t="s">
        <v>216</v>
      </c>
      <c r="B919" s="2">
        <f t="shared" si="1"/>
        <v>0</v>
      </c>
    </row>
    <row r="920" ht="15.75" customHeight="1">
      <c r="A920" s="2" t="s">
        <v>616</v>
      </c>
      <c r="B920" s="2">
        <f t="shared" si="1"/>
        <v>0</v>
      </c>
    </row>
    <row r="921" ht="15.75" customHeight="1">
      <c r="A921" s="2" t="s">
        <v>617</v>
      </c>
      <c r="B921" s="2">
        <f t="shared" si="1"/>
        <v>0</v>
      </c>
    </row>
    <row r="922" ht="15.75" customHeight="1">
      <c r="A922" s="2" t="s">
        <v>618</v>
      </c>
      <c r="B922" s="2">
        <f t="shared" si="1"/>
        <v>0</v>
      </c>
    </row>
    <row r="923" ht="15.75" customHeight="1">
      <c r="A923" s="2" t="s">
        <v>619</v>
      </c>
      <c r="B923" s="2">
        <f t="shared" si="1"/>
        <v>0</v>
      </c>
    </row>
    <row r="924" ht="15.75" customHeight="1">
      <c r="A924" s="2" t="s">
        <v>7</v>
      </c>
      <c r="B924" s="2">
        <f t="shared" si="1"/>
        <v>0</v>
      </c>
    </row>
    <row r="925" ht="15.75" customHeight="1">
      <c r="A925" s="2" t="s">
        <v>620</v>
      </c>
      <c r="B925" s="2">
        <f t="shared" si="1"/>
        <v>0</v>
      </c>
    </row>
    <row r="926" ht="15.75" customHeight="1">
      <c r="A926" s="2" t="s">
        <v>9</v>
      </c>
      <c r="B926" s="2">
        <f t="shared" si="1"/>
        <v>0</v>
      </c>
    </row>
    <row r="927" ht="15.75" customHeight="1">
      <c r="A927" s="2" t="s">
        <v>621</v>
      </c>
      <c r="B927" s="2">
        <f t="shared" si="1"/>
        <v>0</v>
      </c>
    </row>
    <row r="928" ht="15.75" customHeight="1">
      <c r="A928" s="2" t="s">
        <v>622</v>
      </c>
      <c r="B928" s="2">
        <f t="shared" si="1"/>
        <v>0</v>
      </c>
    </row>
    <row r="929" ht="15.75" customHeight="1">
      <c r="A929" s="2" t="s">
        <v>623</v>
      </c>
      <c r="B929" s="2">
        <f t="shared" si="1"/>
        <v>0</v>
      </c>
    </row>
    <row r="930" ht="15.75" customHeight="1">
      <c r="A930" s="2" t="s">
        <v>624</v>
      </c>
      <c r="B930" s="2">
        <f t="shared" si="1"/>
        <v>0</v>
      </c>
    </row>
    <row r="931" ht="15.75" customHeight="1">
      <c r="A931" s="2" t="s">
        <v>625</v>
      </c>
      <c r="B931" s="2">
        <f t="shared" si="1"/>
        <v>0</v>
      </c>
    </row>
    <row r="932" ht="15.75" customHeight="1">
      <c r="A932" s="2" t="s">
        <v>626</v>
      </c>
      <c r="B932" s="2">
        <f t="shared" si="1"/>
        <v>0</v>
      </c>
    </row>
    <row r="933" ht="15.75" customHeight="1">
      <c r="A933" s="2" t="s">
        <v>44</v>
      </c>
      <c r="B933" s="2">
        <f t="shared" si="1"/>
        <v>0</v>
      </c>
    </row>
    <row r="934" ht="15.75" customHeight="1">
      <c r="A934" s="2" t="s">
        <v>627</v>
      </c>
      <c r="B934" s="2">
        <f t="shared" si="1"/>
        <v>0</v>
      </c>
    </row>
    <row r="935" ht="15.75" customHeight="1">
      <c r="A935" s="2" t="s">
        <v>628</v>
      </c>
      <c r="B935" s="2">
        <f t="shared" si="1"/>
        <v>0</v>
      </c>
    </row>
    <row r="936" ht="15.75" customHeight="1">
      <c r="A936" s="2" t="s">
        <v>37</v>
      </c>
      <c r="B936" s="2">
        <f t="shared" si="1"/>
        <v>0</v>
      </c>
    </row>
    <row r="937" ht="15.75" customHeight="1">
      <c r="A937" s="2" t="s">
        <v>629</v>
      </c>
      <c r="B937" s="2">
        <f t="shared" si="1"/>
        <v>0</v>
      </c>
    </row>
    <row r="938" ht="15.75" customHeight="1">
      <c r="A938" s="2" t="s">
        <v>630</v>
      </c>
      <c r="B938" s="2">
        <f t="shared" si="1"/>
        <v>0</v>
      </c>
    </row>
    <row r="939" ht="15.75" customHeight="1">
      <c r="A939" s="2" t="s">
        <v>631</v>
      </c>
      <c r="B939" s="2">
        <f t="shared" si="1"/>
        <v>0</v>
      </c>
    </row>
    <row r="940" ht="15.75" customHeight="1">
      <c r="A940" s="2" t="s">
        <v>632</v>
      </c>
      <c r="B940" s="2">
        <f t="shared" si="1"/>
        <v>0</v>
      </c>
    </row>
    <row r="941" ht="15.75" customHeight="1">
      <c r="A941" s="2" t="s">
        <v>633</v>
      </c>
      <c r="B941" s="2">
        <f t="shared" si="1"/>
        <v>0</v>
      </c>
    </row>
    <row r="942" ht="15.75" customHeight="1">
      <c r="A942" s="2" t="s">
        <v>634</v>
      </c>
      <c r="B942" s="2">
        <f t="shared" si="1"/>
        <v>0</v>
      </c>
    </row>
    <row r="943" ht="15.75" customHeight="1">
      <c r="A943" s="2" t="s">
        <v>7</v>
      </c>
      <c r="B943" s="2">
        <f t="shared" si="1"/>
        <v>0</v>
      </c>
    </row>
    <row r="944" ht="15.75" customHeight="1">
      <c r="A944" s="2" t="s">
        <v>635</v>
      </c>
      <c r="B944" s="2">
        <f t="shared" si="1"/>
        <v>0</v>
      </c>
    </row>
    <row r="945" ht="15.75" customHeight="1">
      <c r="A945" s="2" t="s">
        <v>37</v>
      </c>
      <c r="B945" s="2">
        <f t="shared" si="1"/>
        <v>0</v>
      </c>
    </row>
    <row r="946" ht="15.75" customHeight="1">
      <c r="A946" s="2" t="s">
        <v>636</v>
      </c>
      <c r="B946" s="2">
        <f t="shared" si="1"/>
        <v>0</v>
      </c>
    </row>
    <row r="947" ht="15.75" customHeight="1">
      <c r="A947" s="2" t="s">
        <v>637</v>
      </c>
      <c r="B947" s="2">
        <f t="shared" si="1"/>
        <v>0</v>
      </c>
    </row>
    <row r="948" ht="15.75" customHeight="1">
      <c r="A948" s="2" t="s">
        <v>638</v>
      </c>
      <c r="B948" s="2">
        <f t="shared" si="1"/>
        <v>0</v>
      </c>
    </row>
    <row r="949" ht="15.75" customHeight="1">
      <c r="A949" s="2" t="s">
        <v>639</v>
      </c>
      <c r="B949" s="2">
        <f t="shared" si="1"/>
        <v>0</v>
      </c>
    </row>
    <row r="950" ht="15.75" customHeight="1">
      <c r="A950" s="2" t="s">
        <v>640</v>
      </c>
      <c r="B950" s="2">
        <f t="shared" si="1"/>
        <v>0</v>
      </c>
    </row>
    <row r="951" ht="15.75" customHeight="1">
      <c r="A951" s="2" t="s">
        <v>641</v>
      </c>
      <c r="B951" s="2">
        <f t="shared" si="1"/>
        <v>0</v>
      </c>
    </row>
    <row r="952" ht="15.75" customHeight="1">
      <c r="A952" s="2" t="s">
        <v>44</v>
      </c>
      <c r="B952" s="2">
        <f t="shared" si="1"/>
        <v>0</v>
      </c>
    </row>
    <row r="953" ht="15.75" customHeight="1">
      <c r="A953" s="2" t="s">
        <v>642</v>
      </c>
      <c r="B953" s="2">
        <f t="shared" si="1"/>
        <v>0</v>
      </c>
    </row>
    <row r="954" ht="15.75" customHeight="1">
      <c r="A954" s="2" t="s">
        <v>643</v>
      </c>
      <c r="B954" s="2">
        <f t="shared" si="1"/>
        <v>0</v>
      </c>
    </row>
    <row r="955" ht="15.75" customHeight="1">
      <c r="A955" s="2" t="s">
        <v>37</v>
      </c>
      <c r="B955" s="2">
        <f t="shared" si="1"/>
        <v>0</v>
      </c>
    </row>
    <row r="956" ht="15.75" customHeight="1">
      <c r="A956" s="2" t="s">
        <v>576</v>
      </c>
      <c r="B956" s="2">
        <f t="shared" si="1"/>
        <v>0</v>
      </c>
    </row>
    <row r="957" ht="15.75" customHeight="1">
      <c r="A957" s="1" t="s">
        <v>53</v>
      </c>
      <c r="B957" s="2">
        <f t="shared" si="1"/>
        <v>0</v>
      </c>
    </row>
    <row r="958" ht="15.75" customHeight="1">
      <c r="A958" s="1" t="s">
        <v>1</v>
      </c>
      <c r="B958" s="2">
        <f t="shared" si="1"/>
        <v>0</v>
      </c>
    </row>
    <row r="959" ht="15.75" customHeight="1">
      <c r="A959" s="1">
        <v>1.0</v>
      </c>
      <c r="B959" s="1">
        <f t="shared" si="1"/>
        <v>1</v>
      </c>
    </row>
    <row r="960" ht="15.75" customHeight="1">
      <c r="A960" s="2" t="s">
        <v>644</v>
      </c>
      <c r="B960" s="2">
        <f t="shared" si="1"/>
        <v>0</v>
      </c>
    </row>
    <row r="961" ht="15.75" customHeight="1">
      <c r="A961" s="2" t="s">
        <v>645</v>
      </c>
      <c r="B961" s="2">
        <f t="shared" si="1"/>
        <v>0</v>
      </c>
    </row>
    <row r="962" ht="15.75" customHeight="1">
      <c r="A962" s="2" t="s">
        <v>646</v>
      </c>
      <c r="B962" s="2">
        <f t="shared" si="1"/>
        <v>0</v>
      </c>
    </row>
    <row r="963" ht="15.75" customHeight="1">
      <c r="A963" s="2" t="s">
        <v>647</v>
      </c>
      <c r="B963" s="2">
        <f t="shared" si="1"/>
        <v>0</v>
      </c>
    </row>
    <row r="964" ht="15.75" customHeight="1">
      <c r="A964" s="2" t="s">
        <v>7</v>
      </c>
      <c r="B964" s="2">
        <f t="shared" si="1"/>
        <v>0</v>
      </c>
    </row>
    <row r="965" ht="15.75" customHeight="1">
      <c r="A965" s="2" t="s">
        <v>648</v>
      </c>
      <c r="B965" s="2">
        <f t="shared" si="1"/>
        <v>0</v>
      </c>
    </row>
    <row r="966" ht="15.75" customHeight="1">
      <c r="A966" s="2" t="s">
        <v>37</v>
      </c>
      <c r="B966" s="2">
        <f t="shared" si="1"/>
        <v>0</v>
      </c>
    </row>
    <row r="967" ht="15.75" customHeight="1">
      <c r="A967" s="2" t="s">
        <v>538</v>
      </c>
      <c r="B967" s="2">
        <f t="shared" si="1"/>
        <v>0</v>
      </c>
    </row>
    <row r="968" ht="15.75" customHeight="1">
      <c r="A968" s="2" t="s">
        <v>649</v>
      </c>
      <c r="B968" s="2">
        <f t="shared" si="1"/>
        <v>0</v>
      </c>
    </row>
    <row r="969" ht="15.75" customHeight="1">
      <c r="A969" s="2" t="s">
        <v>650</v>
      </c>
      <c r="B969" s="2">
        <f t="shared" si="1"/>
        <v>0</v>
      </c>
    </row>
    <row r="970" ht="15.75" customHeight="1">
      <c r="A970" s="2" t="s">
        <v>651</v>
      </c>
      <c r="B970" s="2">
        <f t="shared" si="1"/>
        <v>0</v>
      </c>
    </row>
    <row r="971" ht="15.75" customHeight="1">
      <c r="A971" s="2" t="s">
        <v>652</v>
      </c>
      <c r="B971" s="2">
        <f t="shared" si="1"/>
        <v>0</v>
      </c>
    </row>
    <row r="972" ht="15.75" customHeight="1">
      <c r="A972" s="2" t="s">
        <v>7</v>
      </c>
      <c r="B972" s="2">
        <f t="shared" si="1"/>
        <v>0</v>
      </c>
    </row>
    <row r="973" ht="15.75" customHeight="1">
      <c r="A973" s="2" t="s">
        <v>653</v>
      </c>
      <c r="B973" s="2">
        <f t="shared" si="1"/>
        <v>0</v>
      </c>
    </row>
    <row r="974" ht="15.75" customHeight="1">
      <c r="A974" s="2" t="s">
        <v>37</v>
      </c>
      <c r="B974" s="2">
        <f t="shared" si="1"/>
        <v>0</v>
      </c>
    </row>
    <row r="975" ht="15.75" customHeight="1">
      <c r="A975" s="2" t="s">
        <v>432</v>
      </c>
      <c r="B975" s="2">
        <f t="shared" si="1"/>
        <v>0</v>
      </c>
    </row>
    <row r="976" ht="15.75" customHeight="1">
      <c r="A976" s="1" t="s">
        <v>53</v>
      </c>
      <c r="B976" s="2">
        <f t="shared" si="1"/>
        <v>0</v>
      </c>
    </row>
    <row r="977" ht="15.75" customHeight="1">
      <c r="A977" s="1" t="s">
        <v>1</v>
      </c>
      <c r="B977" s="2">
        <f t="shared" si="1"/>
        <v>0</v>
      </c>
    </row>
    <row r="978" ht="15.75" customHeight="1">
      <c r="A978" s="1">
        <v>1.0</v>
      </c>
      <c r="B978" s="1">
        <f t="shared" si="1"/>
        <v>1</v>
      </c>
    </row>
    <row r="979" ht="15.75" customHeight="1">
      <c r="A979" s="2" t="s">
        <v>654</v>
      </c>
      <c r="B979" s="2">
        <f t="shared" si="1"/>
        <v>0</v>
      </c>
    </row>
    <row r="980" ht="15.75" customHeight="1">
      <c r="A980" s="2" t="s">
        <v>655</v>
      </c>
      <c r="B980" s="2">
        <f t="shared" si="1"/>
        <v>0</v>
      </c>
    </row>
    <row r="981" ht="15.75" customHeight="1">
      <c r="A981" s="2" t="s">
        <v>656</v>
      </c>
      <c r="B981" s="2">
        <f t="shared" si="1"/>
        <v>0</v>
      </c>
    </row>
    <row r="982" ht="15.75" customHeight="1">
      <c r="A982" s="2" t="s">
        <v>657</v>
      </c>
      <c r="B982" s="2">
        <f t="shared" si="1"/>
        <v>0</v>
      </c>
    </row>
    <row r="983" ht="15.75" customHeight="1">
      <c r="A983" s="2" t="s">
        <v>50</v>
      </c>
      <c r="B983" s="2">
        <f t="shared" si="1"/>
        <v>0</v>
      </c>
    </row>
    <row r="984" ht="15.75" customHeight="1">
      <c r="A984" s="2" t="s">
        <v>7</v>
      </c>
      <c r="B984" s="2">
        <f t="shared" si="1"/>
        <v>0</v>
      </c>
    </row>
    <row r="985" ht="15.75" customHeight="1">
      <c r="A985" s="2" t="s">
        <v>658</v>
      </c>
      <c r="B985" s="2">
        <f t="shared" si="1"/>
        <v>0</v>
      </c>
    </row>
    <row r="986" ht="15.75" customHeight="1">
      <c r="A986" s="2" t="s">
        <v>659</v>
      </c>
      <c r="B986" s="2">
        <f t="shared" si="1"/>
        <v>0</v>
      </c>
    </row>
    <row r="987" ht="15.75" customHeight="1">
      <c r="A987" s="2" t="s">
        <v>660</v>
      </c>
      <c r="B987" s="2">
        <f t="shared" si="1"/>
        <v>0</v>
      </c>
    </row>
    <row r="988" ht="15.75" customHeight="1">
      <c r="A988" s="2" t="s">
        <v>37</v>
      </c>
      <c r="B988" s="2">
        <f t="shared" si="1"/>
        <v>0</v>
      </c>
    </row>
    <row r="989" ht="15.75" customHeight="1">
      <c r="A989" s="2" t="s">
        <v>146</v>
      </c>
      <c r="B989" s="2">
        <f t="shared" si="1"/>
        <v>0</v>
      </c>
    </row>
    <row r="990" ht="15.75" customHeight="1">
      <c r="A990" s="2" t="s">
        <v>661</v>
      </c>
      <c r="B990" s="2">
        <f t="shared" si="1"/>
        <v>0</v>
      </c>
    </row>
    <row r="991" ht="15.75" customHeight="1">
      <c r="A991" s="2" t="s">
        <v>662</v>
      </c>
      <c r="B991" s="2">
        <f t="shared" si="1"/>
        <v>0</v>
      </c>
    </row>
    <row r="992" ht="15.75" customHeight="1">
      <c r="A992" s="2" t="s">
        <v>663</v>
      </c>
      <c r="B992" s="2">
        <f t="shared" si="1"/>
        <v>0</v>
      </c>
    </row>
    <row r="993" ht="15.75" customHeight="1">
      <c r="A993" s="2" t="s">
        <v>664</v>
      </c>
      <c r="B993" s="2">
        <f t="shared" si="1"/>
        <v>0</v>
      </c>
    </row>
    <row r="994" ht="15.75" customHeight="1">
      <c r="A994" s="2" t="s">
        <v>7</v>
      </c>
      <c r="B994" s="2">
        <f t="shared" si="1"/>
        <v>0</v>
      </c>
    </row>
    <row r="995" ht="15.75" customHeight="1">
      <c r="A995" s="2" t="s">
        <v>665</v>
      </c>
      <c r="B995" s="2">
        <f t="shared" si="1"/>
        <v>0</v>
      </c>
    </row>
    <row r="996" ht="15.75" customHeight="1">
      <c r="A996" s="2" t="s">
        <v>666</v>
      </c>
      <c r="B996" s="2">
        <f t="shared" si="1"/>
        <v>0</v>
      </c>
    </row>
    <row r="997" ht="15.75" customHeight="1">
      <c r="A997" s="2" t="s">
        <v>9</v>
      </c>
      <c r="B997" s="2">
        <f t="shared" si="1"/>
        <v>0</v>
      </c>
    </row>
    <row r="998" ht="15.75" customHeight="1">
      <c r="A998" s="2" t="s">
        <v>667</v>
      </c>
      <c r="B998" s="2">
        <f t="shared" si="1"/>
        <v>0</v>
      </c>
    </row>
    <row r="999" ht="15.75" customHeight="1">
      <c r="A999" s="2" t="s">
        <v>668</v>
      </c>
      <c r="B999" s="2">
        <f t="shared" si="1"/>
        <v>0</v>
      </c>
    </row>
    <row r="1000" ht="15.75" customHeight="1">
      <c r="A1000" s="2" t="s">
        <v>669</v>
      </c>
      <c r="B1000" s="2">
        <f t="shared" si="1"/>
        <v>0</v>
      </c>
    </row>
    <row r="1001" ht="15.75" customHeight="1">
      <c r="A1001" s="2" t="s">
        <v>670</v>
      </c>
      <c r="B1001" s="2">
        <f t="shared" si="1"/>
        <v>0</v>
      </c>
    </row>
    <row r="1002" ht="15.75" customHeight="1">
      <c r="A1002" s="2" t="s">
        <v>671</v>
      </c>
      <c r="B1002" s="2">
        <f t="shared" si="1"/>
        <v>0</v>
      </c>
    </row>
    <row r="1003" ht="15.75" customHeight="1">
      <c r="A1003" s="2" t="s">
        <v>7</v>
      </c>
      <c r="B1003" s="2">
        <f t="shared" si="1"/>
        <v>0</v>
      </c>
    </row>
    <row r="1004" ht="15.75" customHeight="1">
      <c r="A1004" s="2" t="s">
        <v>672</v>
      </c>
      <c r="B1004" s="2">
        <f t="shared" si="1"/>
        <v>0</v>
      </c>
    </row>
    <row r="1005" ht="15.75" customHeight="1">
      <c r="A1005" s="2" t="s">
        <v>673</v>
      </c>
      <c r="B1005" s="2">
        <f t="shared" si="1"/>
        <v>0</v>
      </c>
    </row>
    <row r="1006" ht="15.75" customHeight="1">
      <c r="A1006" s="2" t="s">
        <v>37</v>
      </c>
      <c r="B1006" s="2">
        <f t="shared" si="1"/>
        <v>0</v>
      </c>
    </row>
    <row r="1007" ht="15.75" customHeight="1">
      <c r="A1007" s="2" t="s">
        <v>674</v>
      </c>
      <c r="B1007" s="2">
        <f t="shared" si="1"/>
        <v>0</v>
      </c>
    </row>
    <row r="1008" ht="15.75" customHeight="1">
      <c r="A1008" s="2" t="s">
        <v>675</v>
      </c>
      <c r="B1008" s="2">
        <f t="shared" si="1"/>
        <v>0</v>
      </c>
    </row>
    <row r="1009" ht="15.75" customHeight="1">
      <c r="A1009" s="2" t="s">
        <v>676</v>
      </c>
      <c r="B1009" s="2">
        <f t="shared" si="1"/>
        <v>0</v>
      </c>
    </row>
    <row r="1010" ht="15.75" customHeight="1">
      <c r="A1010" s="2" t="s">
        <v>677</v>
      </c>
      <c r="B1010" s="2">
        <f t="shared" si="1"/>
        <v>0</v>
      </c>
    </row>
    <row r="1011" ht="15.75" customHeight="1">
      <c r="A1011" s="2" t="s">
        <v>678</v>
      </c>
      <c r="B1011" s="2">
        <f t="shared" si="1"/>
        <v>0</v>
      </c>
    </row>
    <row r="1012" ht="15.75" customHeight="1">
      <c r="A1012" s="2" t="s">
        <v>679</v>
      </c>
      <c r="B1012" s="2">
        <f t="shared" si="1"/>
        <v>0</v>
      </c>
    </row>
    <row r="1013" ht="15.75" customHeight="1">
      <c r="A1013" s="2" t="s">
        <v>7</v>
      </c>
      <c r="B1013" s="2">
        <f t="shared" si="1"/>
        <v>0</v>
      </c>
    </row>
    <row r="1014" ht="15.75" customHeight="1">
      <c r="A1014" s="2" t="s">
        <v>680</v>
      </c>
      <c r="B1014" s="2">
        <f t="shared" si="1"/>
        <v>0</v>
      </c>
    </row>
    <row r="1015" ht="15.75" customHeight="1">
      <c r="A1015" s="2" t="s">
        <v>37</v>
      </c>
      <c r="B1015" s="2">
        <f t="shared" si="1"/>
        <v>0</v>
      </c>
    </row>
    <row r="1016" ht="15.75" customHeight="1">
      <c r="A1016" s="2" t="s">
        <v>681</v>
      </c>
      <c r="B1016" s="2">
        <f t="shared" si="1"/>
        <v>0</v>
      </c>
    </row>
    <row r="1017" ht="15.75" customHeight="1">
      <c r="A1017" s="2" t="s">
        <v>682</v>
      </c>
      <c r="B1017" s="2">
        <f t="shared" si="1"/>
        <v>0</v>
      </c>
    </row>
    <row r="1018" ht="15.75" customHeight="1">
      <c r="A1018" s="2" t="s">
        <v>683</v>
      </c>
      <c r="B1018" s="2">
        <f t="shared" si="1"/>
        <v>0</v>
      </c>
    </row>
    <row r="1019" ht="15.75" customHeight="1">
      <c r="A1019" s="2" t="s">
        <v>684</v>
      </c>
      <c r="B1019" s="2">
        <f t="shared" si="1"/>
        <v>0</v>
      </c>
    </row>
    <row r="1020" ht="15.75" customHeight="1">
      <c r="A1020" s="2" t="s">
        <v>685</v>
      </c>
      <c r="B1020" s="2">
        <f t="shared" si="1"/>
        <v>0</v>
      </c>
    </row>
    <row r="1021" ht="15.75" customHeight="1">
      <c r="A1021" s="2">
        <f>8801796585535</f>
        <v>8801796585535</v>
      </c>
      <c r="B1021" s="2">
        <f t="shared" si="1"/>
        <v>8801796585535</v>
      </c>
    </row>
    <row r="1022" ht="15.75" customHeight="1">
      <c r="A1022" s="2" t="s">
        <v>686</v>
      </c>
      <c r="B1022" s="2">
        <f t="shared" si="1"/>
        <v>0</v>
      </c>
    </row>
    <row r="1023" ht="15.75" customHeight="1">
      <c r="A1023" s="2" t="s">
        <v>687</v>
      </c>
      <c r="B1023" s="2">
        <f t="shared" si="1"/>
        <v>0</v>
      </c>
    </row>
    <row r="1024" ht="15.75" customHeight="1">
      <c r="A1024" s="2" t="s">
        <v>7</v>
      </c>
      <c r="B1024" s="2">
        <f t="shared" si="1"/>
        <v>0</v>
      </c>
    </row>
    <row r="1025" ht="15.75" customHeight="1">
      <c r="A1025" s="2" t="s">
        <v>688</v>
      </c>
      <c r="B1025" s="2">
        <f t="shared" si="1"/>
        <v>0</v>
      </c>
    </row>
    <row r="1026" ht="15.75" customHeight="1">
      <c r="A1026" s="2" t="s">
        <v>37</v>
      </c>
      <c r="B1026" s="2">
        <f t="shared" si="1"/>
        <v>0</v>
      </c>
    </row>
    <row r="1027" ht="15.75" customHeight="1">
      <c r="A1027" s="2" t="s">
        <v>138</v>
      </c>
      <c r="B1027" s="2">
        <f t="shared" si="1"/>
        <v>0</v>
      </c>
    </row>
    <row r="1028" ht="15.75" customHeight="1">
      <c r="A1028" s="1" t="s">
        <v>53</v>
      </c>
      <c r="B1028" s="2">
        <f t="shared" si="1"/>
        <v>0</v>
      </c>
    </row>
    <row r="1029" ht="15.75" customHeight="1">
      <c r="A1029" s="1" t="s">
        <v>1</v>
      </c>
      <c r="B1029" s="2">
        <f t="shared" si="1"/>
        <v>0</v>
      </c>
    </row>
    <row r="1030" ht="15.75" customHeight="1">
      <c r="A1030" s="1">
        <v>2.0</v>
      </c>
      <c r="B1030" s="1">
        <f t="shared" si="1"/>
        <v>2</v>
      </c>
    </row>
    <row r="1031" ht="15.75" customHeight="1">
      <c r="A1031" s="2" t="s">
        <v>689</v>
      </c>
      <c r="B1031" s="2">
        <f t="shared" si="1"/>
        <v>0</v>
      </c>
    </row>
    <row r="1032" ht="15.75" customHeight="1">
      <c r="A1032" s="2" t="s">
        <v>690</v>
      </c>
      <c r="B1032" s="2">
        <f t="shared" si="1"/>
        <v>0</v>
      </c>
    </row>
    <row r="1033" ht="15.75" customHeight="1">
      <c r="A1033" s="2" t="s">
        <v>691</v>
      </c>
      <c r="B1033" s="2">
        <f t="shared" si="1"/>
        <v>0</v>
      </c>
    </row>
    <row r="1034" ht="15.75" customHeight="1">
      <c r="A1034" s="2" t="s">
        <v>692</v>
      </c>
      <c r="B1034" s="2">
        <f t="shared" si="1"/>
        <v>0</v>
      </c>
    </row>
    <row r="1035" ht="15.75" customHeight="1">
      <c r="A1035" s="2" t="s">
        <v>50</v>
      </c>
      <c r="B1035" s="2">
        <f t="shared" si="1"/>
        <v>0</v>
      </c>
    </row>
    <row r="1036" ht="15.75" customHeight="1">
      <c r="A1036" s="2" t="s">
        <v>7</v>
      </c>
      <c r="B1036" s="2">
        <f t="shared" si="1"/>
        <v>0</v>
      </c>
    </row>
    <row r="1037" ht="15.75" customHeight="1">
      <c r="A1037" s="2" t="s">
        <v>693</v>
      </c>
      <c r="B1037" s="2">
        <f t="shared" si="1"/>
        <v>0</v>
      </c>
    </row>
    <row r="1038" ht="15.75" customHeight="1">
      <c r="A1038" s="2" t="s">
        <v>37</v>
      </c>
      <c r="B1038" s="2">
        <f t="shared" si="1"/>
        <v>0</v>
      </c>
    </row>
    <row r="1039" ht="15.75" customHeight="1">
      <c r="A1039" s="2" t="s">
        <v>636</v>
      </c>
      <c r="B1039" s="2">
        <f t="shared" si="1"/>
        <v>0</v>
      </c>
    </row>
    <row r="1040" ht="15.75" customHeight="1">
      <c r="A1040" s="2" t="s">
        <v>694</v>
      </c>
      <c r="B1040" s="2">
        <f t="shared" si="1"/>
        <v>0</v>
      </c>
    </row>
    <row r="1041" ht="15.75" customHeight="1">
      <c r="A1041" s="2" t="s">
        <v>695</v>
      </c>
      <c r="B1041" s="2">
        <f t="shared" si="1"/>
        <v>0</v>
      </c>
    </row>
    <row r="1042" ht="15.75" customHeight="1">
      <c r="A1042" s="2" t="s">
        <v>696</v>
      </c>
      <c r="B1042" s="2">
        <f t="shared" si="1"/>
        <v>0</v>
      </c>
    </row>
    <row r="1043" ht="15.75" customHeight="1">
      <c r="A1043" s="2" t="s">
        <v>697</v>
      </c>
      <c r="B1043" s="2">
        <f t="shared" si="1"/>
        <v>0</v>
      </c>
    </row>
    <row r="1044" ht="15.75" customHeight="1">
      <c r="A1044" s="2" t="s">
        <v>698</v>
      </c>
      <c r="B1044" s="2">
        <f t="shared" si="1"/>
        <v>0</v>
      </c>
    </row>
    <row r="1045" ht="15.75" customHeight="1">
      <c r="A1045" s="2" t="s">
        <v>7</v>
      </c>
      <c r="B1045" s="2">
        <f t="shared" si="1"/>
        <v>0</v>
      </c>
    </row>
    <row r="1046" ht="15.75" customHeight="1">
      <c r="A1046" s="2" t="s">
        <v>699</v>
      </c>
      <c r="B1046" s="2">
        <f t="shared" si="1"/>
        <v>0</v>
      </c>
    </row>
    <row r="1047" ht="15.75" customHeight="1">
      <c r="A1047" s="2" t="s">
        <v>700</v>
      </c>
      <c r="B1047" s="2">
        <f t="shared" si="1"/>
        <v>0</v>
      </c>
    </row>
    <row r="1048" ht="15.75" customHeight="1">
      <c r="A1048" s="2" t="s">
        <v>37</v>
      </c>
      <c r="B1048" s="2">
        <f t="shared" si="1"/>
        <v>0</v>
      </c>
    </row>
    <row r="1049" ht="15.75" customHeight="1">
      <c r="A1049" s="2" t="s">
        <v>161</v>
      </c>
      <c r="B1049" s="2">
        <f t="shared" si="1"/>
        <v>0</v>
      </c>
    </row>
    <row r="1050" ht="15.75" customHeight="1">
      <c r="A1050" s="1" t="s">
        <v>53</v>
      </c>
      <c r="B1050" s="2">
        <f t="shared" si="1"/>
        <v>0</v>
      </c>
    </row>
    <row r="1051" ht="15.75" customHeight="1">
      <c r="A1051" s="1" t="s">
        <v>1</v>
      </c>
      <c r="B1051" s="2">
        <f t="shared" si="1"/>
        <v>0</v>
      </c>
    </row>
    <row r="1052" ht="15.75" customHeight="1">
      <c r="A1052" s="1">
        <v>1.0</v>
      </c>
      <c r="B1052" s="1">
        <f t="shared" si="1"/>
        <v>1</v>
      </c>
    </row>
    <row r="1053" ht="15.75" customHeight="1">
      <c r="A1053" s="2" t="s">
        <v>701</v>
      </c>
      <c r="B1053" s="2">
        <f t="shared" si="1"/>
        <v>0</v>
      </c>
    </row>
    <row r="1054" ht="15.75" customHeight="1">
      <c r="A1054" s="2" t="s">
        <v>702</v>
      </c>
      <c r="B1054" s="2">
        <f t="shared" si="1"/>
        <v>0</v>
      </c>
    </row>
    <row r="1055" ht="15.75" customHeight="1">
      <c r="A1055" s="2" t="s">
        <v>703</v>
      </c>
      <c r="B1055" s="2">
        <f t="shared" si="1"/>
        <v>0</v>
      </c>
    </row>
    <row r="1056" ht="15.75" customHeight="1">
      <c r="A1056" s="2" t="s">
        <v>704</v>
      </c>
      <c r="B1056" s="2">
        <f t="shared" si="1"/>
        <v>0</v>
      </c>
    </row>
    <row r="1057" ht="15.75" customHeight="1">
      <c r="A1057" s="2" t="s">
        <v>705</v>
      </c>
      <c r="B1057" s="2">
        <f t="shared" si="1"/>
        <v>0</v>
      </c>
    </row>
    <row r="1058" ht="15.75" customHeight="1">
      <c r="A1058" s="2" t="s">
        <v>7</v>
      </c>
      <c r="B1058" s="2">
        <f t="shared" si="1"/>
        <v>0</v>
      </c>
    </row>
    <row r="1059" ht="15.75" customHeight="1">
      <c r="A1059" s="2" t="s">
        <v>706</v>
      </c>
      <c r="B1059" s="2">
        <f t="shared" si="1"/>
        <v>0</v>
      </c>
    </row>
    <row r="1060" ht="15.75" customHeight="1">
      <c r="A1060" s="2" t="s">
        <v>37</v>
      </c>
      <c r="B1060" s="2">
        <f t="shared" si="1"/>
        <v>0</v>
      </c>
    </row>
    <row r="1061" ht="15.75" customHeight="1">
      <c r="A1061" s="2" t="s">
        <v>161</v>
      </c>
      <c r="B1061" s="2">
        <f t="shared" si="1"/>
        <v>0</v>
      </c>
    </row>
    <row r="1062" ht="15.75" customHeight="1">
      <c r="A1062" s="1" t="s">
        <v>0</v>
      </c>
      <c r="B1062" s="2">
        <f t="shared" si="1"/>
        <v>0</v>
      </c>
    </row>
    <row r="1063" ht="15.75" customHeight="1">
      <c r="A1063" s="1" t="s">
        <v>1</v>
      </c>
      <c r="B1063" s="2">
        <f t="shared" si="1"/>
        <v>0</v>
      </c>
    </row>
    <row r="1064" ht="15.75" customHeight="1">
      <c r="A1064" s="1">
        <v>1.0</v>
      </c>
      <c r="B1064" s="1">
        <f t="shared" si="1"/>
        <v>1</v>
      </c>
    </row>
    <row r="1065" ht="15.75" customHeight="1">
      <c r="A1065" s="2" t="s">
        <v>707</v>
      </c>
      <c r="B1065" s="2">
        <f t="shared" si="1"/>
        <v>0</v>
      </c>
    </row>
    <row r="1066" ht="15.75" customHeight="1">
      <c r="A1066" s="2" t="s">
        <v>708</v>
      </c>
      <c r="B1066" s="2">
        <f t="shared" si="1"/>
        <v>0</v>
      </c>
    </row>
    <row r="1067" ht="15.75" customHeight="1">
      <c r="A1067" s="2" t="s">
        <v>709</v>
      </c>
      <c r="B1067" s="2">
        <f t="shared" si="1"/>
        <v>0</v>
      </c>
    </row>
    <row r="1068" ht="15.75" customHeight="1">
      <c r="A1068" s="2" t="s">
        <v>710</v>
      </c>
      <c r="B1068" s="2">
        <f t="shared" si="1"/>
        <v>0</v>
      </c>
    </row>
    <row r="1069" ht="15.75" customHeight="1">
      <c r="A1069" s="2" t="s">
        <v>711</v>
      </c>
      <c r="B1069" s="2">
        <f t="shared" si="1"/>
        <v>0</v>
      </c>
    </row>
    <row r="1070" ht="15.75" customHeight="1">
      <c r="A1070" s="2" t="s">
        <v>44</v>
      </c>
      <c r="B1070" s="2">
        <f t="shared" si="1"/>
        <v>0</v>
      </c>
    </row>
    <row r="1071" ht="15.75" customHeight="1">
      <c r="A1071" s="2" t="s">
        <v>712</v>
      </c>
      <c r="B1071" s="2">
        <f t="shared" si="1"/>
        <v>0</v>
      </c>
    </row>
    <row r="1072" ht="15.75" customHeight="1">
      <c r="A1072" s="2" t="s">
        <v>9</v>
      </c>
      <c r="B1072" s="2">
        <f t="shared" si="1"/>
        <v>0</v>
      </c>
    </row>
    <row r="1073" ht="15.75" customHeight="1">
      <c r="A1073" s="2" t="s">
        <v>146</v>
      </c>
      <c r="B1073" s="2">
        <f t="shared" si="1"/>
        <v>0</v>
      </c>
    </row>
    <row r="1074" ht="15.75" customHeight="1">
      <c r="A1074" s="2" t="s">
        <v>713</v>
      </c>
      <c r="B1074" s="2">
        <f t="shared" si="1"/>
        <v>0</v>
      </c>
    </row>
    <row r="1075" ht="15.75" customHeight="1">
      <c r="A1075" s="2" t="s">
        <v>714</v>
      </c>
      <c r="B1075" s="2">
        <f t="shared" si="1"/>
        <v>0</v>
      </c>
    </row>
    <row r="1076" ht="15.75" customHeight="1">
      <c r="A1076" s="2" t="s">
        <v>715</v>
      </c>
      <c r="B1076" s="2">
        <f t="shared" si="1"/>
        <v>0</v>
      </c>
    </row>
    <row r="1077" ht="15.75" customHeight="1">
      <c r="A1077" s="2" t="s">
        <v>716</v>
      </c>
      <c r="B1077" s="2">
        <f t="shared" si="1"/>
        <v>0</v>
      </c>
    </row>
    <row r="1078" ht="15.75" customHeight="1">
      <c r="A1078" s="2" t="s">
        <v>44</v>
      </c>
      <c r="B1078" s="2">
        <f t="shared" si="1"/>
        <v>0</v>
      </c>
    </row>
    <row r="1079" ht="15.75" customHeight="1">
      <c r="A1079" s="2" t="s">
        <v>717</v>
      </c>
      <c r="B1079" s="2">
        <f t="shared" si="1"/>
        <v>0</v>
      </c>
    </row>
    <row r="1080" ht="15.75" customHeight="1">
      <c r="A1080" s="2" t="s">
        <v>9</v>
      </c>
      <c r="B1080" s="2">
        <f t="shared" si="1"/>
        <v>0</v>
      </c>
    </row>
    <row r="1081" ht="15.75" customHeight="1">
      <c r="A1081" s="2" t="s">
        <v>718</v>
      </c>
      <c r="B1081" s="2">
        <f t="shared" si="1"/>
        <v>0</v>
      </c>
    </row>
    <row r="1082" ht="15.75" customHeight="1">
      <c r="A1082" s="2" t="s">
        <v>719</v>
      </c>
      <c r="B1082" s="2">
        <f t="shared" si="1"/>
        <v>0</v>
      </c>
    </row>
    <row r="1083" ht="15.75" customHeight="1">
      <c r="A1083" s="2" t="s">
        <v>720</v>
      </c>
      <c r="B1083" s="2">
        <f t="shared" si="1"/>
        <v>0</v>
      </c>
    </row>
    <row r="1084" ht="15.75" customHeight="1">
      <c r="A1084" s="2" t="s">
        <v>721</v>
      </c>
      <c r="B1084" s="2">
        <f t="shared" si="1"/>
        <v>0</v>
      </c>
    </row>
    <row r="1085" ht="15.75" customHeight="1">
      <c r="A1085" s="2" t="s">
        <v>722</v>
      </c>
      <c r="B1085" s="2">
        <f t="shared" si="1"/>
        <v>0</v>
      </c>
    </row>
    <row r="1086" ht="15.75" customHeight="1">
      <c r="A1086" s="2" t="s">
        <v>723</v>
      </c>
      <c r="B1086" s="2">
        <f t="shared" si="1"/>
        <v>0</v>
      </c>
    </row>
    <row r="1087" ht="15.75" customHeight="1">
      <c r="A1087" s="2" t="s">
        <v>7</v>
      </c>
      <c r="B1087" s="2">
        <f t="shared" si="1"/>
        <v>0</v>
      </c>
    </row>
    <row r="1088" ht="15.75" customHeight="1">
      <c r="A1088" s="2" t="s">
        <v>724</v>
      </c>
      <c r="B1088" s="2">
        <f t="shared" si="1"/>
        <v>0</v>
      </c>
    </row>
    <row r="1089" ht="15.75" customHeight="1">
      <c r="A1089" s="2" t="s">
        <v>9</v>
      </c>
      <c r="B1089" s="2">
        <f t="shared" si="1"/>
        <v>0</v>
      </c>
    </row>
    <row r="1090" ht="15.75" customHeight="1">
      <c r="A1090" s="2" t="s">
        <v>346</v>
      </c>
      <c r="B1090" s="2">
        <f t="shared" si="1"/>
        <v>0</v>
      </c>
    </row>
    <row r="1091" ht="15.75" customHeight="1">
      <c r="A1091" s="2" t="s">
        <v>725</v>
      </c>
      <c r="B1091" s="2">
        <f t="shared" si="1"/>
        <v>0</v>
      </c>
    </row>
    <row r="1092" ht="15.75" customHeight="1">
      <c r="A1092" s="2" t="s">
        <v>726</v>
      </c>
      <c r="B1092" s="2">
        <f t="shared" si="1"/>
        <v>0</v>
      </c>
    </row>
    <row r="1093" ht="15.75" customHeight="1">
      <c r="A1093" s="2" t="s">
        <v>727</v>
      </c>
      <c r="B1093" s="2">
        <f t="shared" si="1"/>
        <v>0</v>
      </c>
    </row>
    <row r="1094" ht="15.75" customHeight="1">
      <c r="A1094" s="2" t="s">
        <v>728</v>
      </c>
      <c r="B1094" s="2">
        <f t="shared" si="1"/>
        <v>0</v>
      </c>
    </row>
    <row r="1095" ht="15.75" customHeight="1">
      <c r="A1095" s="2" t="s">
        <v>7</v>
      </c>
      <c r="B1095" s="2">
        <f t="shared" si="1"/>
        <v>0</v>
      </c>
    </row>
    <row r="1096" ht="15.75" customHeight="1">
      <c r="A1096" s="2" t="s">
        <v>729</v>
      </c>
      <c r="B1096" s="2">
        <f t="shared" si="1"/>
        <v>0</v>
      </c>
    </row>
    <row r="1097" ht="15.75" customHeight="1">
      <c r="A1097" s="2" t="s">
        <v>9</v>
      </c>
      <c r="B1097" s="2">
        <f t="shared" si="1"/>
        <v>0</v>
      </c>
    </row>
    <row r="1098" ht="15.75" customHeight="1">
      <c r="A1098" s="2" t="s">
        <v>730</v>
      </c>
      <c r="B1098" s="2">
        <f t="shared" si="1"/>
        <v>0</v>
      </c>
    </row>
    <row r="1099" ht="15.75" customHeight="1">
      <c r="A1099" s="2" t="s">
        <v>731</v>
      </c>
      <c r="B1099" s="2">
        <f t="shared" si="1"/>
        <v>0</v>
      </c>
    </row>
    <row r="1100" ht="15.75" customHeight="1">
      <c r="A1100" s="2" t="s">
        <v>732</v>
      </c>
      <c r="B1100" s="2">
        <f t="shared" si="1"/>
        <v>0</v>
      </c>
    </row>
    <row r="1101" ht="15.75" customHeight="1">
      <c r="A1101" s="2" t="s">
        <v>733</v>
      </c>
      <c r="B1101" s="2">
        <f t="shared" si="1"/>
        <v>0</v>
      </c>
    </row>
    <row r="1102" ht="15.75" customHeight="1">
      <c r="A1102" s="2" t="s">
        <v>734</v>
      </c>
      <c r="B1102" s="2">
        <f t="shared" si="1"/>
        <v>0</v>
      </c>
    </row>
    <row r="1103" ht="15.75" customHeight="1">
      <c r="A1103" s="2" t="s">
        <v>735</v>
      </c>
      <c r="B1103" s="2">
        <f t="shared" si="1"/>
        <v>0</v>
      </c>
    </row>
    <row r="1104" ht="15.75" customHeight="1">
      <c r="A1104" s="2" t="s">
        <v>7</v>
      </c>
      <c r="B1104" s="2">
        <f t="shared" si="1"/>
        <v>0</v>
      </c>
    </row>
    <row r="1105" ht="15.75" customHeight="1">
      <c r="A1105" s="2" t="s">
        <v>736</v>
      </c>
      <c r="B1105" s="2">
        <f t="shared" si="1"/>
        <v>0</v>
      </c>
    </row>
    <row r="1106" ht="15.75" customHeight="1">
      <c r="A1106" s="2" t="s">
        <v>9</v>
      </c>
      <c r="B1106" s="2">
        <f t="shared" si="1"/>
        <v>0</v>
      </c>
    </row>
    <row r="1107" ht="15.75" customHeight="1">
      <c r="A1107" s="2" t="s">
        <v>737</v>
      </c>
      <c r="B1107" s="2">
        <f t="shared" si="1"/>
        <v>0</v>
      </c>
    </row>
    <row r="1108" ht="15.75" customHeight="1">
      <c r="A1108" s="1" t="s">
        <v>0</v>
      </c>
      <c r="B1108" s="2">
        <f t="shared" si="1"/>
        <v>0</v>
      </c>
    </row>
    <row r="1109" ht="15.75" customHeight="1">
      <c r="A1109" s="1" t="s">
        <v>1</v>
      </c>
      <c r="B1109" s="2">
        <f t="shared" si="1"/>
        <v>0</v>
      </c>
    </row>
    <row r="1110" ht="15.75" customHeight="1">
      <c r="A1110" s="1">
        <v>2.0</v>
      </c>
      <c r="B1110" s="1">
        <f t="shared" si="1"/>
        <v>2</v>
      </c>
    </row>
    <row r="1111" ht="15.75" customHeight="1">
      <c r="A1111" s="2" t="s">
        <v>738</v>
      </c>
      <c r="B1111" s="2">
        <f t="shared" si="1"/>
        <v>0</v>
      </c>
    </row>
    <row r="1112" ht="15.75" customHeight="1">
      <c r="A1112" s="2" t="s">
        <v>739</v>
      </c>
      <c r="B1112" s="2">
        <f t="shared" si="1"/>
        <v>0</v>
      </c>
    </row>
    <row r="1113" ht="15.75" customHeight="1">
      <c r="A1113" s="2" t="s">
        <v>740</v>
      </c>
      <c r="B1113" s="2">
        <f t="shared" si="1"/>
        <v>0</v>
      </c>
    </row>
    <row r="1114" ht="15.75" customHeight="1">
      <c r="A1114" s="2" t="s">
        <v>741</v>
      </c>
      <c r="B1114" s="2">
        <f t="shared" si="1"/>
        <v>0</v>
      </c>
    </row>
    <row r="1115" ht="15.75" customHeight="1">
      <c r="A1115" s="2" t="s">
        <v>7</v>
      </c>
      <c r="B1115" s="2">
        <f t="shared" si="1"/>
        <v>0</v>
      </c>
    </row>
    <row r="1116" ht="15.75" customHeight="1">
      <c r="A1116" s="2" t="s">
        <v>742</v>
      </c>
      <c r="B1116" s="2">
        <f t="shared" si="1"/>
        <v>0</v>
      </c>
    </row>
    <row r="1117" ht="15.75" customHeight="1">
      <c r="A1117" s="2" t="s">
        <v>743</v>
      </c>
      <c r="B1117" s="2">
        <f t="shared" si="1"/>
        <v>0</v>
      </c>
    </row>
    <row r="1118" ht="15.75" customHeight="1">
      <c r="A1118" s="2" t="s">
        <v>9</v>
      </c>
      <c r="B1118" s="2">
        <f t="shared" si="1"/>
        <v>0</v>
      </c>
    </row>
    <row r="1119" ht="15.75" customHeight="1">
      <c r="A1119" s="2" t="s">
        <v>146</v>
      </c>
      <c r="B1119" s="2">
        <f t="shared" si="1"/>
        <v>0</v>
      </c>
    </row>
    <row r="1120" ht="15.75" customHeight="1">
      <c r="A1120" s="2" t="s">
        <v>744</v>
      </c>
      <c r="B1120" s="2">
        <f t="shared" si="1"/>
        <v>0</v>
      </c>
    </row>
    <row r="1121" ht="15.75" customHeight="1">
      <c r="A1121" s="2" t="s">
        <v>745</v>
      </c>
      <c r="B1121" s="2">
        <f t="shared" si="1"/>
        <v>0</v>
      </c>
    </row>
    <row r="1122" ht="15.75" customHeight="1">
      <c r="A1122" s="2" t="s">
        <v>746</v>
      </c>
      <c r="B1122" s="2">
        <f t="shared" si="1"/>
        <v>0</v>
      </c>
    </row>
    <row r="1123" ht="15.75" customHeight="1">
      <c r="A1123" s="2" t="s">
        <v>747</v>
      </c>
      <c r="B1123" s="2">
        <f t="shared" si="1"/>
        <v>0</v>
      </c>
    </row>
    <row r="1124" ht="15.75" customHeight="1">
      <c r="A1124" s="2" t="s">
        <v>748</v>
      </c>
      <c r="B1124" s="2">
        <f t="shared" si="1"/>
        <v>0</v>
      </c>
    </row>
    <row r="1125" ht="15.75" customHeight="1">
      <c r="A1125" s="2" t="s">
        <v>7</v>
      </c>
      <c r="B1125" s="2">
        <f t="shared" si="1"/>
        <v>0</v>
      </c>
    </row>
    <row r="1126" ht="15.75" customHeight="1">
      <c r="A1126" s="2" t="s">
        <v>749</v>
      </c>
      <c r="B1126" s="2">
        <f t="shared" si="1"/>
        <v>0</v>
      </c>
    </row>
    <row r="1127" ht="15.75" customHeight="1">
      <c r="A1127" s="2" t="s">
        <v>750</v>
      </c>
      <c r="B1127" s="2">
        <f t="shared" si="1"/>
        <v>0</v>
      </c>
    </row>
    <row r="1128" ht="15.75" customHeight="1">
      <c r="A1128" s="2" t="s">
        <v>751</v>
      </c>
      <c r="B1128" s="2">
        <f t="shared" si="1"/>
        <v>0</v>
      </c>
    </row>
    <row r="1129" ht="15.75" customHeight="1">
      <c r="A1129" s="2" t="s">
        <v>9</v>
      </c>
      <c r="B1129" s="2">
        <f t="shared" si="1"/>
        <v>0</v>
      </c>
    </row>
    <row r="1130" ht="15.75" customHeight="1">
      <c r="A1130" s="2" t="s">
        <v>752</v>
      </c>
      <c r="B1130" s="2">
        <f t="shared" si="1"/>
        <v>0</v>
      </c>
    </row>
    <row r="1131" ht="15.75" customHeight="1">
      <c r="A1131" s="2" t="s">
        <v>753</v>
      </c>
      <c r="B1131" s="2">
        <f t="shared" si="1"/>
        <v>0</v>
      </c>
    </row>
    <row r="1132" ht="15.75" customHeight="1">
      <c r="A1132" s="2" t="s">
        <v>754</v>
      </c>
      <c r="B1132" s="2">
        <f t="shared" si="1"/>
        <v>0</v>
      </c>
    </row>
    <row r="1133" ht="15.75" customHeight="1">
      <c r="A1133" s="2" t="s">
        <v>755</v>
      </c>
      <c r="B1133" s="2">
        <f t="shared" si="1"/>
        <v>0</v>
      </c>
    </row>
    <row r="1134" ht="15.75" customHeight="1">
      <c r="A1134" s="2" t="s">
        <v>756</v>
      </c>
      <c r="B1134" s="2">
        <f t="shared" si="1"/>
        <v>0</v>
      </c>
    </row>
    <row r="1135" ht="15.75" customHeight="1">
      <c r="A1135" s="2" t="s">
        <v>7</v>
      </c>
      <c r="B1135" s="2">
        <f t="shared" si="1"/>
        <v>0</v>
      </c>
    </row>
    <row r="1136" ht="15.75" customHeight="1">
      <c r="A1136" s="2" t="s">
        <v>757</v>
      </c>
      <c r="B1136" s="2">
        <f t="shared" si="1"/>
        <v>0</v>
      </c>
    </row>
    <row r="1137" ht="15.75" customHeight="1">
      <c r="A1137" s="2" t="s">
        <v>758</v>
      </c>
      <c r="B1137" s="2">
        <f t="shared" si="1"/>
        <v>0</v>
      </c>
    </row>
    <row r="1138" ht="15.75" customHeight="1">
      <c r="A1138" s="2" t="s">
        <v>9</v>
      </c>
      <c r="B1138" s="2">
        <f t="shared" si="1"/>
        <v>0</v>
      </c>
    </row>
    <row r="1139" ht="15.75" customHeight="1">
      <c r="A1139" s="2" t="s">
        <v>759</v>
      </c>
      <c r="B1139" s="2">
        <f t="shared" si="1"/>
        <v>0</v>
      </c>
    </row>
    <row r="1140" ht="15.75" customHeight="1">
      <c r="A1140" s="2" t="s">
        <v>760</v>
      </c>
      <c r="B1140" s="2">
        <f t="shared" si="1"/>
        <v>0</v>
      </c>
    </row>
    <row r="1141" ht="15.75" customHeight="1">
      <c r="A1141" s="2" t="s">
        <v>761</v>
      </c>
      <c r="B1141" s="2">
        <f t="shared" si="1"/>
        <v>0</v>
      </c>
    </row>
    <row r="1142" ht="15.75" customHeight="1">
      <c r="A1142" s="2" t="s">
        <v>762</v>
      </c>
      <c r="B1142" s="2">
        <f t="shared" si="1"/>
        <v>0</v>
      </c>
    </row>
    <row r="1143" ht="15.75" customHeight="1">
      <c r="A1143" s="2" t="s">
        <v>763</v>
      </c>
      <c r="B1143" s="2">
        <f t="shared" si="1"/>
        <v>0</v>
      </c>
    </row>
    <row r="1144" ht="15.75" customHeight="1">
      <c r="A1144" s="2" t="s">
        <v>7</v>
      </c>
      <c r="B1144" s="2">
        <f t="shared" si="1"/>
        <v>0</v>
      </c>
    </row>
    <row r="1145" ht="15.75" customHeight="1">
      <c r="A1145" s="2" t="s">
        <v>764</v>
      </c>
      <c r="B1145" s="2">
        <f t="shared" si="1"/>
        <v>0</v>
      </c>
    </row>
    <row r="1146" ht="15.75" customHeight="1">
      <c r="A1146" s="2" t="s">
        <v>9</v>
      </c>
      <c r="B1146" s="2">
        <f t="shared" si="1"/>
        <v>0</v>
      </c>
    </row>
    <row r="1147" ht="15.75" customHeight="1">
      <c r="A1147" s="2" t="s">
        <v>530</v>
      </c>
      <c r="B1147" s="2">
        <f t="shared" si="1"/>
        <v>0</v>
      </c>
    </row>
    <row r="1148" ht="15.75" customHeight="1">
      <c r="A1148" s="2" t="s">
        <v>765</v>
      </c>
      <c r="B1148" s="2">
        <f t="shared" si="1"/>
        <v>0</v>
      </c>
    </row>
    <row r="1149" ht="15.75" customHeight="1">
      <c r="A1149" s="2" t="s">
        <v>766</v>
      </c>
      <c r="B1149" s="2">
        <f t="shared" si="1"/>
        <v>0</v>
      </c>
    </row>
    <row r="1150" ht="15.75" customHeight="1">
      <c r="A1150" s="2" t="s">
        <v>767</v>
      </c>
      <c r="B1150" s="2">
        <f t="shared" si="1"/>
        <v>0</v>
      </c>
    </row>
    <row r="1151" ht="15.75" customHeight="1">
      <c r="A1151" s="2" t="s">
        <v>768</v>
      </c>
      <c r="B1151" s="2">
        <f t="shared" si="1"/>
        <v>0</v>
      </c>
    </row>
    <row r="1152" ht="15.75" customHeight="1">
      <c r="A1152" s="2" t="s">
        <v>7</v>
      </c>
      <c r="B1152" s="2">
        <f t="shared" si="1"/>
        <v>0</v>
      </c>
    </row>
    <row r="1153" ht="15.75" customHeight="1">
      <c r="A1153" s="2" t="s">
        <v>769</v>
      </c>
      <c r="B1153" s="2">
        <f t="shared" si="1"/>
        <v>0</v>
      </c>
    </row>
    <row r="1154" ht="15.75" customHeight="1">
      <c r="A1154" s="2" t="s">
        <v>9</v>
      </c>
      <c r="B1154" s="2">
        <f t="shared" si="1"/>
        <v>0</v>
      </c>
    </row>
    <row r="1155" ht="15.75" customHeight="1">
      <c r="A1155" s="2" t="s">
        <v>138</v>
      </c>
      <c r="B1155" s="2">
        <f t="shared" si="1"/>
        <v>0</v>
      </c>
    </row>
    <row r="1156" ht="15.75" customHeight="1">
      <c r="A1156" s="1" t="s">
        <v>0</v>
      </c>
      <c r="B1156" s="2">
        <f t="shared" si="1"/>
        <v>0</v>
      </c>
    </row>
    <row r="1157" ht="15.75" customHeight="1">
      <c r="A1157" s="1" t="s">
        <v>1</v>
      </c>
      <c r="B1157" s="2">
        <f t="shared" si="1"/>
        <v>0</v>
      </c>
    </row>
    <row r="1158" ht="15.75" customHeight="1">
      <c r="A1158" s="1">
        <v>3.0</v>
      </c>
      <c r="B1158" s="1">
        <f t="shared" si="1"/>
        <v>3</v>
      </c>
    </row>
    <row r="1159" ht="15.75" customHeight="1">
      <c r="A1159" s="2" t="s">
        <v>770</v>
      </c>
      <c r="B1159" s="2">
        <f t="shared" si="1"/>
        <v>0</v>
      </c>
    </row>
    <row r="1160" ht="15.75" customHeight="1">
      <c r="A1160" s="2" t="s">
        <v>771</v>
      </c>
      <c r="B1160" s="2">
        <f t="shared" si="1"/>
        <v>0</v>
      </c>
    </row>
    <row r="1161" ht="15.75" customHeight="1">
      <c r="A1161" s="2" t="s">
        <v>772</v>
      </c>
      <c r="B1161" s="2">
        <f t="shared" si="1"/>
        <v>0</v>
      </c>
    </row>
    <row r="1162" ht="15.75" customHeight="1">
      <c r="A1162" s="2" t="s">
        <v>773</v>
      </c>
      <c r="B1162" s="2">
        <f t="shared" si="1"/>
        <v>0</v>
      </c>
    </row>
    <row r="1163" ht="15.75" customHeight="1">
      <c r="A1163" s="2" t="s">
        <v>774</v>
      </c>
      <c r="B1163" s="2">
        <f t="shared" si="1"/>
        <v>0</v>
      </c>
    </row>
    <row r="1164" ht="15.75" customHeight="1">
      <c r="A1164" s="2" t="s">
        <v>7</v>
      </c>
      <c r="B1164" s="2">
        <f t="shared" si="1"/>
        <v>0</v>
      </c>
    </row>
    <row r="1165" ht="15.75" customHeight="1">
      <c r="A1165" s="2" t="s">
        <v>775</v>
      </c>
      <c r="B1165" s="2">
        <f t="shared" si="1"/>
        <v>0</v>
      </c>
    </row>
    <row r="1166" ht="15.75" customHeight="1">
      <c r="A1166" s="2" t="s">
        <v>9</v>
      </c>
      <c r="B1166" s="2">
        <f t="shared" si="1"/>
        <v>0</v>
      </c>
    </row>
    <row r="1167" ht="15.75" customHeight="1">
      <c r="A1167" s="2" t="s">
        <v>334</v>
      </c>
      <c r="B1167" s="2">
        <f t="shared" si="1"/>
        <v>0</v>
      </c>
    </row>
    <row r="1168" ht="15.75" customHeight="1">
      <c r="A1168" s="2" t="s">
        <v>776</v>
      </c>
      <c r="B1168" s="2">
        <f t="shared" si="1"/>
        <v>0</v>
      </c>
    </row>
    <row r="1169" ht="15.75" customHeight="1">
      <c r="A1169" s="2" t="s">
        <v>777</v>
      </c>
      <c r="B1169" s="2">
        <f t="shared" si="1"/>
        <v>0</v>
      </c>
    </row>
    <row r="1170" ht="15.75" customHeight="1">
      <c r="A1170" s="2" t="s">
        <v>778</v>
      </c>
      <c r="B1170" s="2">
        <f t="shared" si="1"/>
        <v>0</v>
      </c>
    </row>
    <row r="1171" ht="15.75" customHeight="1">
      <c r="A1171" s="2" t="s">
        <v>779</v>
      </c>
      <c r="B1171" s="2">
        <f t="shared" si="1"/>
        <v>0</v>
      </c>
    </row>
    <row r="1172" ht="15.75" customHeight="1">
      <c r="A1172" s="2" t="s">
        <v>780</v>
      </c>
      <c r="B1172" s="2">
        <f t="shared" si="1"/>
        <v>0</v>
      </c>
    </row>
    <row r="1173" ht="15.75" customHeight="1">
      <c r="A1173" s="2" t="s">
        <v>7</v>
      </c>
      <c r="B1173" s="2">
        <f t="shared" si="1"/>
        <v>0</v>
      </c>
    </row>
    <row r="1174" ht="15.75" customHeight="1">
      <c r="A1174" s="2" t="s">
        <v>781</v>
      </c>
      <c r="B1174" s="2">
        <f t="shared" si="1"/>
        <v>0</v>
      </c>
    </row>
    <row r="1175" ht="15.75" customHeight="1">
      <c r="A1175" s="2" t="s">
        <v>9</v>
      </c>
      <c r="B1175" s="2">
        <f t="shared" si="1"/>
        <v>0</v>
      </c>
    </row>
    <row r="1176" ht="15.75" customHeight="1">
      <c r="A1176" s="2" t="s">
        <v>782</v>
      </c>
      <c r="B1176" s="2">
        <f t="shared" si="1"/>
        <v>0</v>
      </c>
    </row>
    <row r="1177" ht="15.75" customHeight="1">
      <c r="A1177" s="2" t="s">
        <v>783</v>
      </c>
      <c r="B1177" s="2">
        <f t="shared" si="1"/>
        <v>0</v>
      </c>
    </row>
    <row r="1178" ht="15.75" customHeight="1">
      <c r="A1178" s="2" t="s">
        <v>784</v>
      </c>
      <c r="B1178" s="2">
        <f t="shared" si="1"/>
        <v>0</v>
      </c>
    </row>
    <row r="1179" ht="15.75" customHeight="1">
      <c r="A1179" s="2" t="s">
        <v>785</v>
      </c>
      <c r="B1179" s="2">
        <f t="shared" si="1"/>
        <v>0</v>
      </c>
    </row>
    <row r="1180" ht="15.75" customHeight="1">
      <c r="A1180" s="2" t="s">
        <v>786</v>
      </c>
      <c r="B1180" s="2">
        <f t="shared" si="1"/>
        <v>0</v>
      </c>
    </row>
    <row r="1181" ht="15.75" customHeight="1">
      <c r="A1181" s="2" t="s">
        <v>7</v>
      </c>
      <c r="B1181" s="2">
        <f t="shared" si="1"/>
        <v>0</v>
      </c>
    </row>
    <row r="1182" ht="15.75" customHeight="1">
      <c r="A1182" s="2" t="s">
        <v>787</v>
      </c>
      <c r="B1182" s="2">
        <f t="shared" si="1"/>
        <v>0</v>
      </c>
    </row>
    <row r="1183" ht="15.75" customHeight="1">
      <c r="A1183" s="2" t="s">
        <v>9</v>
      </c>
      <c r="B1183" s="2">
        <f t="shared" si="1"/>
        <v>0</v>
      </c>
    </row>
    <row r="1184" ht="15.75" customHeight="1">
      <c r="A1184" s="2" t="s">
        <v>216</v>
      </c>
      <c r="B1184" s="2">
        <f t="shared" si="1"/>
        <v>0</v>
      </c>
    </row>
    <row r="1185" ht="15.75" customHeight="1">
      <c r="A1185" s="2" t="s">
        <v>788</v>
      </c>
      <c r="B1185" s="2">
        <f t="shared" si="1"/>
        <v>0</v>
      </c>
    </row>
    <row r="1186" ht="15.75" customHeight="1">
      <c r="A1186" s="2" t="s">
        <v>789</v>
      </c>
      <c r="B1186" s="2">
        <f t="shared" si="1"/>
        <v>0</v>
      </c>
    </row>
    <row r="1187" ht="15.75" customHeight="1">
      <c r="A1187" s="2" t="s">
        <v>790</v>
      </c>
      <c r="B1187" s="2">
        <f t="shared" si="1"/>
        <v>0</v>
      </c>
    </row>
    <row r="1188" ht="15.75" customHeight="1">
      <c r="A1188" s="2" t="s">
        <v>791</v>
      </c>
      <c r="B1188" s="2">
        <f t="shared" si="1"/>
        <v>0</v>
      </c>
    </row>
    <row r="1189" ht="15.75" customHeight="1">
      <c r="A1189" s="2" t="s">
        <v>792</v>
      </c>
      <c r="B1189" s="2">
        <f t="shared" si="1"/>
        <v>0</v>
      </c>
    </row>
    <row r="1190" ht="15.75" customHeight="1">
      <c r="A1190" s="2" t="s">
        <v>7</v>
      </c>
      <c r="B1190" s="2">
        <f t="shared" si="1"/>
        <v>0</v>
      </c>
    </row>
    <row r="1191" ht="15.75" customHeight="1">
      <c r="A1191" s="2" t="s">
        <v>793</v>
      </c>
      <c r="B1191" s="2">
        <f t="shared" si="1"/>
        <v>0</v>
      </c>
    </row>
    <row r="1192" ht="15.75" customHeight="1">
      <c r="A1192" s="2" t="s">
        <v>9</v>
      </c>
      <c r="B1192" s="2">
        <f t="shared" si="1"/>
        <v>0</v>
      </c>
    </row>
    <row r="1193" ht="15.75" customHeight="1">
      <c r="A1193" s="2" t="s">
        <v>530</v>
      </c>
      <c r="B1193" s="2">
        <f t="shared" si="1"/>
        <v>0</v>
      </c>
    </row>
    <row r="1194" ht="15.75" customHeight="1">
      <c r="A1194" s="2" t="s">
        <v>794</v>
      </c>
      <c r="B1194" s="2">
        <f t="shared" si="1"/>
        <v>0</v>
      </c>
    </row>
    <row r="1195" ht="15.75" customHeight="1">
      <c r="A1195" s="2" t="s">
        <v>795</v>
      </c>
      <c r="B1195" s="2">
        <f t="shared" si="1"/>
        <v>0</v>
      </c>
    </row>
    <row r="1196" ht="15.75" customHeight="1">
      <c r="A1196" s="2" t="s">
        <v>796</v>
      </c>
      <c r="B1196" s="2">
        <f t="shared" si="1"/>
        <v>0</v>
      </c>
    </row>
    <row r="1197" ht="15.75" customHeight="1">
      <c r="A1197" s="2" t="s">
        <v>797</v>
      </c>
      <c r="B1197" s="2">
        <f t="shared" si="1"/>
        <v>0</v>
      </c>
    </row>
    <row r="1198" ht="15.75" customHeight="1">
      <c r="A1198" s="2" t="s">
        <v>44</v>
      </c>
      <c r="B1198" s="2">
        <f t="shared" si="1"/>
        <v>0</v>
      </c>
    </row>
    <row r="1199" ht="15.75" customHeight="1">
      <c r="A1199" s="2" t="s">
        <v>798</v>
      </c>
      <c r="B1199" s="2">
        <f t="shared" si="1"/>
        <v>0</v>
      </c>
    </row>
    <row r="1200" ht="15.75" customHeight="1">
      <c r="A1200" s="2" t="s">
        <v>9</v>
      </c>
      <c r="B1200" s="2">
        <f t="shared" si="1"/>
        <v>0</v>
      </c>
    </row>
    <row r="1201" ht="15.75" customHeight="1">
      <c r="A1201" s="2" t="s">
        <v>216</v>
      </c>
      <c r="B1201" s="2">
        <f t="shared" si="1"/>
        <v>0</v>
      </c>
    </row>
    <row r="1202" ht="15.75" customHeight="1">
      <c r="A1202" s="1" t="s">
        <v>0</v>
      </c>
      <c r="B1202" s="2">
        <f t="shared" si="1"/>
        <v>0</v>
      </c>
    </row>
    <row r="1203" ht="15.75" customHeight="1">
      <c r="A1203" s="1" t="s">
        <v>1</v>
      </c>
      <c r="B1203" s="2">
        <f t="shared" si="1"/>
        <v>0</v>
      </c>
    </row>
    <row r="1204" ht="15.75" customHeight="1">
      <c r="A1204" s="1">
        <v>4.0</v>
      </c>
      <c r="B1204" s="1">
        <f t="shared" si="1"/>
        <v>4</v>
      </c>
    </row>
    <row r="1205" ht="15.75" customHeight="1">
      <c r="A1205" s="2" t="s">
        <v>799</v>
      </c>
      <c r="B1205" s="2">
        <f t="shared" si="1"/>
        <v>0</v>
      </c>
    </row>
    <row r="1206" ht="15.75" customHeight="1">
      <c r="A1206" s="2" t="s">
        <v>800</v>
      </c>
      <c r="B1206" s="2">
        <f t="shared" si="1"/>
        <v>0</v>
      </c>
    </row>
    <row r="1207" ht="15.75" customHeight="1">
      <c r="A1207" s="2" t="s">
        <v>801</v>
      </c>
      <c r="B1207" s="2">
        <f t="shared" si="1"/>
        <v>0</v>
      </c>
    </row>
    <row r="1208" ht="15.75" customHeight="1">
      <c r="A1208" s="2" t="s">
        <v>802</v>
      </c>
      <c r="B1208" s="2">
        <f t="shared" si="1"/>
        <v>0</v>
      </c>
    </row>
    <row r="1209" ht="15.75" customHeight="1">
      <c r="A1209" s="2" t="s">
        <v>7</v>
      </c>
      <c r="B1209" s="2">
        <f t="shared" si="1"/>
        <v>0</v>
      </c>
    </row>
    <row r="1210" ht="15.75" customHeight="1">
      <c r="A1210" s="2" t="s">
        <v>803</v>
      </c>
      <c r="B1210" s="2">
        <f t="shared" si="1"/>
        <v>0</v>
      </c>
    </row>
    <row r="1211" ht="15.75" customHeight="1">
      <c r="A1211" s="2" t="s">
        <v>37</v>
      </c>
      <c r="B1211" s="2">
        <f t="shared" si="1"/>
        <v>0</v>
      </c>
    </row>
    <row r="1212" ht="15.75" customHeight="1">
      <c r="A1212" s="2" t="s">
        <v>804</v>
      </c>
      <c r="B1212" s="2">
        <f t="shared" si="1"/>
        <v>0</v>
      </c>
    </row>
    <row r="1213" ht="15.75" customHeight="1">
      <c r="A1213" s="2" t="s">
        <v>805</v>
      </c>
      <c r="B1213" s="2">
        <f t="shared" si="1"/>
        <v>0</v>
      </c>
    </row>
    <row r="1214" ht="15.75" customHeight="1">
      <c r="A1214" s="2" t="s">
        <v>806</v>
      </c>
      <c r="B1214" s="2">
        <f t="shared" si="1"/>
        <v>0</v>
      </c>
    </row>
    <row r="1215" ht="15.75" customHeight="1">
      <c r="A1215" s="2" t="s">
        <v>807</v>
      </c>
      <c r="B1215" s="2">
        <f t="shared" si="1"/>
        <v>0</v>
      </c>
    </row>
    <row r="1216" ht="15.75" customHeight="1">
      <c r="A1216" s="2" t="s">
        <v>808</v>
      </c>
      <c r="B1216" s="2">
        <f t="shared" si="1"/>
        <v>0</v>
      </c>
    </row>
    <row r="1217" ht="15.75" customHeight="1">
      <c r="A1217" s="2" t="s">
        <v>809</v>
      </c>
      <c r="B1217" s="2">
        <f t="shared" si="1"/>
        <v>0</v>
      </c>
    </row>
    <row r="1218" ht="15.75" customHeight="1">
      <c r="A1218" s="2" t="s">
        <v>7</v>
      </c>
      <c r="B1218" s="2">
        <f t="shared" si="1"/>
        <v>0</v>
      </c>
    </row>
    <row r="1219" ht="15.75" customHeight="1">
      <c r="A1219" s="2" t="s">
        <v>810</v>
      </c>
      <c r="B1219" s="2">
        <f t="shared" si="1"/>
        <v>0</v>
      </c>
    </row>
    <row r="1220" ht="15.75" customHeight="1">
      <c r="A1220" s="2" t="s">
        <v>37</v>
      </c>
      <c r="B1220" s="2">
        <f t="shared" si="1"/>
        <v>0</v>
      </c>
    </row>
    <row r="1221" ht="15.75" customHeight="1">
      <c r="A1221" s="2" t="s">
        <v>38</v>
      </c>
      <c r="B1221" s="2">
        <f t="shared" si="1"/>
        <v>0</v>
      </c>
    </row>
    <row r="1222" ht="15.75" customHeight="1">
      <c r="A1222" s="2" t="s">
        <v>811</v>
      </c>
      <c r="B1222" s="2">
        <f t="shared" si="1"/>
        <v>0</v>
      </c>
    </row>
    <row r="1223" ht="15.75" customHeight="1">
      <c r="A1223" s="2" t="s">
        <v>812</v>
      </c>
      <c r="B1223" s="2">
        <f t="shared" si="1"/>
        <v>0</v>
      </c>
    </row>
    <row r="1224" ht="15.75" customHeight="1">
      <c r="A1224" s="2" t="s">
        <v>813</v>
      </c>
      <c r="B1224" s="2">
        <f t="shared" si="1"/>
        <v>0</v>
      </c>
    </row>
    <row r="1225" ht="15.75" customHeight="1">
      <c r="A1225" s="2" t="s">
        <v>814</v>
      </c>
      <c r="B1225" s="2">
        <f t="shared" si="1"/>
        <v>0</v>
      </c>
    </row>
    <row r="1226" ht="15.75" customHeight="1">
      <c r="A1226" s="2" t="s">
        <v>7</v>
      </c>
      <c r="B1226" s="2">
        <f t="shared" si="1"/>
        <v>0</v>
      </c>
    </row>
    <row r="1227" ht="15.75" customHeight="1">
      <c r="A1227" s="2" t="s">
        <v>815</v>
      </c>
      <c r="B1227" s="2">
        <f t="shared" si="1"/>
        <v>0</v>
      </c>
    </row>
    <row r="1228" ht="15.75" customHeight="1">
      <c r="A1228" s="2" t="s">
        <v>37</v>
      </c>
      <c r="B1228" s="2">
        <f t="shared" si="1"/>
        <v>0</v>
      </c>
    </row>
    <row r="1229" ht="15.75" customHeight="1">
      <c r="A1229" s="2" t="s">
        <v>66</v>
      </c>
      <c r="B1229" s="2">
        <f t="shared" si="1"/>
        <v>0</v>
      </c>
    </row>
    <row r="1230" ht="15.75" customHeight="1">
      <c r="A1230" s="2" t="s">
        <v>816</v>
      </c>
      <c r="B1230" s="2">
        <f t="shared" si="1"/>
        <v>0</v>
      </c>
    </row>
    <row r="1231" ht="15.75" customHeight="1">
      <c r="A1231" s="2" t="s">
        <v>817</v>
      </c>
      <c r="B1231" s="2">
        <f t="shared" si="1"/>
        <v>0</v>
      </c>
    </row>
    <row r="1232" ht="15.75" customHeight="1">
      <c r="A1232" s="2" t="s">
        <v>818</v>
      </c>
      <c r="B1232" s="2">
        <f t="shared" si="1"/>
        <v>0</v>
      </c>
    </row>
    <row r="1233" ht="15.75" customHeight="1">
      <c r="A1233" s="2" t="s">
        <v>819</v>
      </c>
      <c r="B1233" s="2">
        <f t="shared" si="1"/>
        <v>0</v>
      </c>
    </row>
    <row r="1234" ht="15.75" customHeight="1">
      <c r="A1234" s="2" t="s">
        <v>820</v>
      </c>
      <c r="B1234" s="2">
        <f t="shared" si="1"/>
        <v>0</v>
      </c>
    </row>
    <row r="1235" ht="15.75" customHeight="1">
      <c r="A1235" s="2" t="s">
        <v>7</v>
      </c>
      <c r="B1235" s="2">
        <f t="shared" si="1"/>
        <v>0</v>
      </c>
    </row>
    <row r="1236" ht="15.75" customHeight="1">
      <c r="A1236" s="2" t="s">
        <v>821</v>
      </c>
      <c r="B1236" s="2">
        <f t="shared" si="1"/>
        <v>0</v>
      </c>
    </row>
    <row r="1237" ht="15.75" customHeight="1">
      <c r="A1237" s="2" t="s">
        <v>37</v>
      </c>
      <c r="B1237" s="2">
        <f t="shared" si="1"/>
        <v>0</v>
      </c>
    </row>
    <row r="1238" ht="15.75" customHeight="1">
      <c r="A1238" s="2" t="s">
        <v>66</v>
      </c>
      <c r="B1238" s="2">
        <f t="shared" si="1"/>
        <v>0</v>
      </c>
    </row>
    <row r="1239" ht="15.75" customHeight="1">
      <c r="A1239" s="2" t="s">
        <v>822</v>
      </c>
      <c r="B1239" s="2">
        <f t="shared" si="1"/>
        <v>0</v>
      </c>
    </row>
    <row r="1240" ht="15.75" customHeight="1">
      <c r="A1240" s="2" t="s">
        <v>823</v>
      </c>
      <c r="B1240" s="2">
        <f t="shared" si="1"/>
        <v>0</v>
      </c>
    </row>
    <row r="1241" ht="15.75" customHeight="1">
      <c r="A1241" s="2" t="s">
        <v>824</v>
      </c>
      <c r="B1241" s="2">
        <f t="shared" si="1"/>
        <v>0</v>
      </c>
    </row>
    <row r="1242" ht="15.75" customHeight="1">
      <c r="A1242" s="2" t="s">
        <v>825</v>
      </c>
      <c r="B1242" s="2">
        <f t="shared" si="1"/>
        <v>0</v>
      </c>
    </row>
    <row r="1243" ht="15.75" customHeight="1">
      <c r="A1243" s="2" t="s">
        <v>7</v>
      </c>
      <c r="B1243" s="2">
        <f t="shared" si="1"/>
        <v>0</v>
      </c>
    </row>
    <row r="1244" ht="15.75" customHeight="1">
      <c r="A1244" s="2" t="s">
        <v>826</v>
      </c>
      <c r="B1244" s="2">
        <f t="shared" si="1"/>
        <v>0</v>
      </c>
    </row>
    <row r="1245" ht="15.75" customHeight="1">
      <c r="A1245" s="2" t="s">
        <v>37</v>
      </c>
      <c r="B1245" s="2">
        <f t="shared" si="1"/>
        <v>0</v>
      </c>
    </row>
    <row r="1246" ht="15.75" customHeight="1">
      <c r="A1246" s="2" t="s">
        <v>66</v>
      </c>
      <c r="B1246" s="2">
        <f t="shared" si="1"/>
        <v>0</v>
      </c>
    </row>
    <row r="1247" ht="15.75" customHeight="1">
      <c r="A1247" s="1" t="s">
        <v>0</v>
      </c>
      <c r="B1247" s="2">
        <f t="shared" si="1"/>
        <v>0</v>
      </c>
    </row>
    <row r="1248" ht="15.75" customHeight="1">
      <c r="A1248" s="1" t="s">
        <v>1</v>
      </c>
      <c r="B1248" s="2">
        <f t="shared" si="1"/>
        <v>0</v>
      </c>
    </row>
    <row r="1249" ht="15.75" customHeight="1">
      <c r="A1249" s="1">
        <v>5.0</v>
      </c>
      <c r="B1249" s="1">
        <f t="shared" si="1"/>
        <v>5</v>
      </c>
    </row>
    <row r="1250" ht="15.75" customHeight="1">
      <c r="A1250" s="2" t="s">
        <v>827</v>
      </c>
      <c r="B1250" s="2">
        <f t="shared" si="1"/>
        <v>0</v>
      </c>
    </row>
    <row r="1251" ht="15.75" customHeight="1">
      <c r="A1251" s="2" t="s">
        <v>828</v>
      </c>
      <c r="B1251" s="2">
        <f t="shared" si="1"/>
        <v>0</v>
      </c>
    </row>
    <row r="1252" ht="15.75" customHeight="1">
      <c r="A1252" s="2" t="s">
        <v>829</v>
      </c>
      <c r="B1252" s="2">
        <f t="shared" si="1"/>
        <v>0</v>
      </c>
    </row>
    <row r="1253" ht="15.75" customHeight="1">
      <c r="A1253" s="2" t="s">
        <v>830</v>
      </c>
      <c r="B1253" s="2">
        <f t="shared" si="1"/>
        <v>0</v>
      </c>
    </row>
    <row r="1254" ht="15.75" customHeight="1">
      <c r="A1254" s="2" t="s">
        <v>7</v>
      </c>
      <c r="B1254" s="2">
        <f t="shared" si="1"/>
        <v>0</v>
      </c>
    </row>
    <row r="1255" ht="15.75" customHeight="1">
      <c r="A1255" s="2" t="s">
        <v>831</v>
      </c>
      <c r="B1255" s="2">
        <f t="shared" si="1"/>
        <v>0</v>
      </c>
    </row>
    <row r="1256" ht="15.75" customHeight="1">
      <c r="A1256" s="2" t="s">
        <v>37</v>
      </c>
      <c r="B1256" s="2">
        <f t="shared" si="1"/>
        <v>0</v>
      </c>
    </row>
    <row r="1257" ht="15.75" customHeight="1">
      <c r="A1257" s="2" t="s">
        <v>832</v>
      </c>
      <c r="B1257" s="2">
        <f t="shared" si="1"/>
        <v>0</v>
      </c>
    </row>
    <row r="1258" ht="15.75" customHeight="1">
      <c r="A1258" s="2" t="s">
        <v>833</v>
      </c>
      <c r="B1258" s="2">
        <f t="shared" si="1"/>
        <v>0</v>
      </c>
    </row>
    <row r="1259" ht="15.75" customHeight="1">
      <c r="A1259" s="2" t="s">
        <v>834</v>
      </c>
      <c r="B1259" s="2">
        <f t="shared" si="1"/>
        <v>0</v>
      </c>
    </row>
    <row r="1260" ht="15.75" customHeight="1">
      <c r="A1260" s="2" t="s">
        <v>835</v>
      </c>
      <c r="B1260" s="2">
        <f t="shared" si="1"/>
        <v>0</v>
      </c>
    </row>
    <row r="1261" ht="15.75" customHeight="1">
      <c r="A1261" s="2" t="s">
        <v>836</v>
      </c>
      <c r="B1261" s="2">
        <f t="shared" si="1"/>
        <v>0</v>
      </c>
    </row>
    <row r="1262" ht="15.75" customHeight="1">
      <c r="A1262" s="2" t="s">
        <v>7</v>
      </c>
      <c r="B1262" s="2">
        <f t="shared" si="1"/>
        <v>0</v>
      </c>
    </row>
    <row r="1263" ht="15.75" customHeight="1">
      <c r="A1263" s="2" t="s">
        <v>837</v>
      </c>
      <c r="B1263" s="2">
        <f t="shared" si="1"/>
        <v>0</v>
      </c>
    </row>
    <row r="1264" ht="15.75" customHeight="1">
      <c r="A1264" s="2" t="s">
        <v>838</v>
      </c>
      <c r="B1264" s="2">
        <f t="shared" si="1"/>
        <v>0</v>
      </c>
    </row>
    <row r="1265" ht="15.75" customHeight="1">
      <c r="A1265" s="2" t="s">
        <v>37</v>
      </c>
      <c r="B1265" s="2">
        <f t="shared" si="1"/>
        <v>0</v>
      </c>
    </row>
    <row r="1266" ht="15.75" customHeight="1">
      <c r="A1266" s="2" t="s">
        <v>621</v>
      </c>
      <c r="B1266" s="2">
        <f t="shared" si="1"/>
        <v>0</v>
      </c>
    </row>
    <row r="1267" ht="15.75" customHeight="1">
      <c r="A1267" s="2" t="s">
        <v>839</v>
      </c>
      <c r="B1267" s="2">
        <f t="shared" si="1"/>
        <v>0</v>
      </c>
    </row>
    <row r="1268" ht="15.75" customHeight="1">
      <c r="A1268" s="2" t="s">
        <v>840</v>
      </c>
      <c r="B1268" s="2">
        <f t="shared" si="1"/>
        <v>0</v>
      </c>
    </row>
    <row r="1269" ht="15.75" customHeight="1">
      <c r="A1269" s="2" t="s">
        <v>841</v>
      </c>
      <c r="B1269" s="2">
        <f t="shared" si="1"/>
        <v>0</v>
      </c>
    </row>
    <row r="1270" ht="15.75" customHeight="1">
      <c r="A1270" s="2" t="s">
        <v>842</v>
      </c>
      <c r="B1270" s="2">
        <f t="shared" si="1"/>
        <v>0</v>
      </c>
    </row>
    <row r="1271" ht="15.75" customHeight="1">
      <c r="A1271" s="2" t="s">
        <v>7</v>
      </c>
      <c r="B1271" s="2">
        <f t="shared" si="1"/>
        <v>0</v>
      </c>
    </row>
    <row r="1272" ht="15.75" customHeight="1">
      <c r="A1272" s="2" t="s">
        <v>843</v>
      </c>
      <c r="B1272" s="2">
        <f t="shared" si="1"/>
        <v>0</v>
      </c>
    </row>
    <row r="1273" ht="15.75" customHeight="1">
      <c r="A1273" s="2" t="s">
        <v>37</v>
      </c>
      <c r="B1273" s="2">
        <f t="shared" si="1"/>
        <v>0</v>
      </c>
    </row>
    <row r="1274" ht="15.75" customHeight="1">
      <c r="A1274" s="2" t="s">
        <v>844</v>
      </c>
      <c r="B1274" s="2">
        <f t="shared" si="1"/>
        <v>0</v>
      </c>
    </row>
    <row r="1275" ht="15.75" customHeight="1">
      <c r="A1275" s="2" t="s">
        <v>845</v>
      </c>
      <c r="B1275" s="2">
        <f t="shared" si="1"/>
        <v>0</v>
      </c>
    </row>
    <row r="1276" ht="15.75" customHeight="1">
      <c r="A1276" s="2" t="s">
        <v>846</v>
      </c>
      <c r="B1276" s="2">
        <f t="shared" si="1"/>
        <v>0</v>
      </c>
    </row>
    <row r="1277" ht="15.75" customHeight="1">
      <c r="A1277" s="2" t="s">
        <v>847</v>
      </c>
      <c r="B1277" s="2">
        <f t="shared" si="1"/>
        <v>0</v>
      </c>
    </row>
    <row r="1278" ht="15.75" customHeight="1">
      <c r="A1278" s="2" t="s">
        <v>848</v>
      </c>
      <c r="B1278" s="2">
        <f t="shared" si="1"/>
        <v>0</v>
      </c>
    </row>
    <row r="1279" ht="15.75" customHeight="1">
      <c r="A1279" s="2" t="s">
        <v>849</v>
      </c>
      <c r="B1279" s="2">
        <f t="shared" si="1"/>
        <v>0</v>
      </c>
    </row>
    <row r="1280" ht="15.75" customHeight="1">
      <c r="A1280" s="2" t="s">
        <v>7</v>
      </c>
      <c r="B1280" s="2">
        <f t="shared" si="1"/>
        <v>0</v>
      </c>
    </row>
    <row r="1281" ht="15.75" customHeight="1">
      <c r="A1281" s="2" t="s">
        <v>850</v>
      </c>
      <c r="B1281" s="2">
        <f t="shared" si="1"/>
        <v>0</v>
      </c>
    </row>
    <row r="1282" ht="15.75" customHeight="1">
      <c r="A1282" s="2" t="s">
        <v>37</v>
      </c>
      <c r="B1282" s="2">
        <f t="shared" si="1"/>
        <v>0</v>
      </c>
    </row>
    <row r="1283" ht="15.75" customHeight="1">
      <c r="A1283" s="2" t="s">
        <v>851</v>
      </c>
      <c r="B1283" s="2">
        <f t="shared" si="1"/>
        <v>0</v>
      </c>
    </row>
    <row r="1284" ht="15.75" customHeight="1">
      <c r="A1284" s="2" t="s">
        <v>852</v>
      </c>
      <c r="B1284" s="2">
        <f t="shared" si="1"/>
        <v>0</v>
      </c>
    </row>
    <row r="1285" ht="15.75" customHeight="1">
      <c r="A1285" s="2" t="s">
        <v>853</v>
      </c>
      <c r="B1285" s="2">
        <f t="shared" si="1"/>
        <v>0</v>
      </c>
    </row>
    <row r="1286" ht="15.75" customHeight="1">
      <c r="A1286" s="2" t="s">
        <v>854</v>
      </c>
      <c r="B1286" s="2">
        <f t="shared" si="1"/>
        <v>0</v>
      </c>
    </row>
    <row r="1287" ht="15.75" customHeight="1">
      <c r="A1287" s="2" t="s">
        <v>855</v>
      </c>
      <c r="B1287" s="2">
        <f t="shared" si="1"/>
        <v>0</v>
      </c>
    </row>
    <row r="1288" ht="15.75" customHeight="1">
      <c r="A1288" s="2" t="s">
        <v>7</v>
      </c>
      <c r="B1288" s="2">
        <f t="shared" si="1"/>
        <v>0</v>
      </c>
    </row>
    <row r="1289" ht="15.75" customHeight="1">
      <c r="A1289" s="2" t="s">
        <v>856</v>
      </c>
      <c r="B1289" s="2">
        <f t="shared" si="1"/>
        <v>0</v>
      </c>
    </row>
    <row r="1290" ht="15.75" customHeight="1">
      <c r="A1290" s="2" t="s">
        <v>37</v>
      </c>
      <c r="B1290" s="2">
        <f t="shared" si="1"/>
        <v>0</v>
      </c>
    </row>
    <row r="1291" ht="15.75" customHeight="1">
      <c r="A1291" s="2" t="s">
        <v>334</v>
      </c>
      <c r="B1291" s="2">
        <f t="shared" si="1"/>
        <v>0</v>
      </c>
    </row>
    <row r="1292" ht="15.75" customHeight="1">
      <c r="A1292" s="1" t="s">
        <v>0</v>
      </c>
      <c r="B1292" s="2">
        <f t="shared" si="1"/>
        <v>0</v>
      </c>
    </row>
    <row r="1293" ht="15.75" customHeight="1">
      <c r="A1293" s="1" t="s">
        <v>1</v>
      </c>
      <c r="B1293" s="2">
        <f t="shared" si="1"/>
        <v>0</v>
      </c>
    </row>
    <row r="1294" ht="15.75" customHeight="1">
      <c r="A1294" s="1">
        <v>6.0</v>
      </c>
      <c r="B1294" s="1">
        <f t="shared" si="1"/>
        <v>6</v>
      </c>
    </row>
    <row r="1295" ht="15.75" customHeight="1">
      <c r="A1295" s="2" t="s">
        <v>857</v>
      </c>
      <c r="B1295" s="2">
        <f t="shared" si="1"/>
        <v>0</v>
      </c>
    </row>
    <row r="1296" ht="15.75" customHeight="1">
      <c r="A1296" s="2" t="s">
        <v>858</v>
      </c>
      <c r="B1296" s="2">
        <f t="shared" si="1"/>
        <v>0</v>
      </c>
    </row>
    <row r="1297" ht="15.75" customHeight="1">
      <c r="A1297" s="2" t="s">
        <v>854</v>
      </c>
      <c r="B1297" s="2">
        <f t="shared" si="1"/>
        <v>0</v>
      </c>
    </row>
    <row r="1298" ht="15.75" customHeight="1">
      <c r="A1298" s="2" t="s">
        <v>859</v>
      </c>
      <c r="B1298" s="2">
        <f t="shared" si="1"/>
        <v>0</v>
      </c>
    </row>
    <row r="1299" ht="15.75" customHeight="1">
      <c r="A1299" s="2" t="s">
        <v>860</v>
      </c>
      <c r="B1299" s="2">
        <f t="shared" si="1"/>
        <v>0</v>
      </c>
    </row>
    <row r="1300" ht="15.75" customHeight="1">
      <c r="A1300" s="2" t="s">
        <v>7</v>
      </c>
      <c r="B1300" s="2">
        <f t="shared" si="1"/>
        <v>0</v>
      </c>
    </row>
    <row r="1301" ht="15.75" customHeight="1">
      <c r="A1301" s="2" t="s">
        <v>861</v>
      </c>
      <c r="B1301" s="2">
        <f t="shared" si="1"/>
        <v>0</v>
      </c>
    </row>
    <row r="1302" ht="15.75" customHeight="1">
      <c r="A1302" s="2" t="s">
        <v>862</v>
      </c>
      <c r="B1302" s="2">
        <f t="shared" si="1"/>
        <v>0</v>
      </c>
    </row>
    <row r="1303" ht="15.75" customHeight="1">
      <c r="A1303" s="2" t="s">
        <v>37</v>
      </c>
      <c r="B1303" s="2">
        <f t="shared" si="1"/>
        <v>0</v>
      </c>
    </row>
    <row r="1304" ht="15.75" customHeight="1">
      <c r="A1304" s="2" t="s">
        <v>863</v>
      </c>
      <c r="B1304" s="2">
        <f t="shared" si="1"/>
        <v>0</v>
      </c>
    </row>
    <row r="1305" ht="15.75" customHeight="1">
      <c r="A1305" s="2" t="s">
        <v>864</v>
      </c>
      <c r="B1305" s="2">
        <f t="shared" si="1"/>
        <v>0</v>
      </c>
    </row>
    <row r="1306" ht="15.75" customHeight="1">
      <c r="A1306" s="2" t="s">
        <v>865</v>
      </c>
      <c r="B1306" s="2">
        <f t="shared" si="1"/>
        <v>0</v>
      </c>
    </row>
    <row r="1307" ht="15.75" customHeight="1">
      <c r="A1307" s="2" t="s">
        <v>866</v>
      </c>
      <c r="B1307" s="2">
        <f t="shared" si="1"/>
        <v>0</v>
      </c>
    </row>
    <row r="1308" ht="15.75" customHeight="1">
      <c r="A1308" s="2" t="s">
        <v>867</v>
      </c>
      <c r="B1308" s="2">
        <f t="shared" si="1"/>
        <v>0</v>
      </c>
    </row>
    <row r="1309" ht="15.75" customHeight="1">
      <c r="A1309" s="2" t="s">
        <v>868</v>
      </c>
      <c r="B1309" s="2">
        <f t="shared" si="1"/>
        <v>0</v>
      </c>
    </row>
    <row r="1310" ht="15.75" customHeight="1">
      <c r="A1310" s="2" t="s">
        <v>7</v>
      </c>
      <c r="B1310" s="2">
        <f t="shared" si="1"/>
        <v>0</v>
      </c>
    </row>
    <row r="1311" ht="15.75" customHeight="1">
      <c r="A1311" s="2" t="s">
        <v>869</v>
      </c>
      <c r="B1311" s="2">
        <f t="shared" si="1"/>
        <v>0</v>
      </c>
    </row>
    <row r="1312" ht="15.75" customHeight="1">
      <c r="A1312" s="2" t="s">
        <v>37</v>
      </c>
      <c r="B1312" s="2">
        <f t="shared" si="1"/>
        <v>0</v>
      </c>
    </row>
    <row r="1313" ht="15.75" customHeight="1">
      <c r="A1313" s="2" t="s">
        <v>31</v>
      </c>
      <c r="B1313" s="2">
        <f t="shared" si="1"/>
        <v>0</v>
      </c>
    </row>
    <row r="1314" ht="15.75" customHeight="1">
      <c r="A1314" s="2" t="s">
        <v>870</v>
      </c>
      <c r="B1314" s="2">
        <f t="shared" si="1"/>
        <v>0</v>
      </c>
    </row>
    <row r="1315" ht="15.75" customHeight="1">
      <c r="A1315" s="2" t="s">
        <v>871</v>
      </c>
      <c r="B1315" s="2">
        <f t="shared" si="1"/>
        <v>0</v>
      </c>
    </row>
    <row r="1316" ht="15.75" customHeight="1">
      <c r="A1316" s="2" t="s">
        <v>872</v>
      </c>
      <c r="B1316" s="2">
        <f t="shared" si="1"/>
        <v>0</v>
      </c>
    </row>
    <row r="1317" ht="15.75" customHeight="1">
      <c r="A1317" s="2" t="s">
        <v>873</v>
      </c>
      <c r="B1317" s="2">
        <f t="shared" si="1"/>
        <v>0</v>
      </c>
    </row>
    <row r="1318" ht="15.75" customHeight="1">
      <c r="A1318" s="2" t="s">
        <v>874</v>
      </c>
      <c r="B1318" s="2">
        <f t="shared" si="1"/>
        <v>0</v>
      </c>
    </row>
    <row r="1319" ht="15.75" customHeight="1">
      <c r="A1319" s="2" t="s">
        <v>7</v>
      </c>
      <c r="B1319" s="2">
        <f t="shared" si="1"/>
        <v>0</v>
      </c>
    </row>
    <row r="1320" ht="15.75" customHeight="1">
      <c r="A1320" s="2" t="s">
        <v>875</v>
      </c>
      <c r="B1320" s="2">
        <f t="shared" si="1"/>
        <v>0</v>
      </c>
    </row>
    <row r="1321" ht="15.75" customHeight="1">
      <c r="A1321" s="2" t="s">
        <v>37</v>
      </c>
      <c r="B1321" s="2">
        <f t="shared" si="1"/>
        <v>0</v>
      </c>
    </row>
    <row r="1322" ht="15.75" customHeight="1">
      <c r="A1322" s="2" t="s">
        <v>38</v>
      </c>
      <c r="B1322" s="2">
        <f t="shared" si="1"/>
        <v>0</v>
      </c>
    </row>
    <row r="1323" ht="15.75" customHeight="1">
      <c r="A1323" s="2" t="s">
        <v>876</v>
      </c>
      <c r="B1323" s="2">
        <f t="shared" si="1"/>
        <v>0</v>
      </c>
    </row>
    <row r="1324" ht="15.75" customHeight="1">
      <c r="A1324" s="2" t="s">
        <v>784</v>
      </c>
      <c r="B1324" s="2">
        <f t="shared" si="1"/>
        <v>0</v>
      </c>
    </row>
    <row r="1325" ht="15.75" customHeight="1">
      <c r="A1325" s="2" t="s">
        <v>877</v>
      </c>
      <c r="B1325" s="2">
        <f t="shared" si="1"/>
        <v>0</v>
      </c>
    </row>
    <row r="1326" ht="15.75" customHeight="1">
      <c r="A1326" s="2" t="s">
        <v>878</v>
      </c>
      <c r="B1326" s="2">
        <f t="shared" si="1"/>
        <v>0</v>
      </c>
    </row>
    <row r="1327" ht="15.75" customHeight="1">
      <c r="A1327" s="2" t="s">
        <v>7</v>
      </c>
      <c r="B1327" s="2">
        <f t="shared" si="1"/>
        <v>0</v>
      </c>
    </row>
    <row r="1328" ht="15.75" customHeight="1">
      <c r="A1328" s="2" t="s">
        <v>879</v>
      </c>
      <c r="B1328" s="2">
        <f t="shared" si="1"/>
        <v>0</v>
      </c>
    </row>
    <row r="1329" ht="15.75" customHeight="1">
      <c r="A1329" s="2" t="s">
        <v>37</v>
      </c>
      <c r="B1329" s="2">
        <f t="shared" si="1"/>
        <v>0</v>
      </c>
    </row>
    <row r="1330" ht="15.75" customHeight="1">
      <c r="A1330" s="2" t="s">
        <v>52</v>
      </c>
      <c r="B1330" s="2">
        <f t="shared" si="1"/>
        <v>0</v>
      </c>
    </row>
    <row r="1331" ht="15.75" customHeight="1">
      <c r="A1331" s="2" t="s">
        <v>880</v>
      </c>
      <c r="B1331" s="2">
        <f t="shared" si="1"/>
        <v>0</v>
      </c>
    </row>
    <row r="1332" ht="15.75" customHeight="1">
      <c r="A1332" s="2" t="s">
        <v>881</v>
      </c>
      <c r="B1332" s="2">
        <f t="shared" si="1"/>
        <v>0</v>
      </c>
    </row>
    <row r="1333" ht="15.75" customHeight="1">
      <c r="A1333" s="2" t="s">
        <v>882</v>
      </c>
      <c r="B1333" s="2">
        <f t="shared" si="1"/>
        <v>0</v>
      </c>
    </row>
    <row r="1334" ht="15.75" customHeight="1">
      <c r="A1334" s="2" t="s">
        <v>883</v>
      </c>
      <c r="B1334" s="2">
        <f t="shared" si="1"/>
        <v>0</v>
      </c>
    </row>
    <row r="1335" ht="15.75" customHeight="1">
      <c r="A1335" s="2" t="s">
        <v>884</v>
      </c>
      <c r="B1335" s="2">
        <f t="shared" si="1"/>
        <v>0</v>
      </c>
    </row>
    <row r="1336" ht="15.75" customHeight="1">
      <c r="A1336" s="2" t="s">
        <v>7</v>
      </c>
      <c r="B1336" s="2">
        <f t="shared" si="1"/>
        <v>0</v>
      </c>
    </row>
    <row r="1337" ht="15.75" customHeight="1">
      <c r="A1337" s="2" t="s">
        <v>885</v>
      </c>
      <c r="B1337" s="2">
        <f t="shared" si="1"/>
        <v>0</v>
      </c>
    </row>
    <row r="1338" ht="15.75" customHeight="1">
      <c r="A1338" s="2" t="s">
        <v>37</v>
      </c>
      <c r="B1338" s="2">
        <f t="shared" si="1"/>
        <v>0</v>
      </c>
    </row>
    <row r="1339" ht="15.75" customHeight="1">
      <c r="A1339" s="2" t="s">
        <v>886</v>
      </c>
      <c r="B1339" s="2">
        <f t="shared" si="1"/>
        <v>0</v>
      </c>
    </row>
    <row r="1340" ht="15.75" customHeight="1">
      <c r="A1340" s="1" t="s">
        <v>0</v>
      </c>
      <c r="B1340" s="2">
        <f t="shared" si="1"/>
        <v>0</v>
      </c>
    </row>
    <row r="1341" ht="15.75" customHeight="1">
      <c r="A1341" s="1" t="s">
        <v>1</v>
      </c>
      <c r="B1341" s="2">
        <f t="shared" si="1"/>
        <v>0</v>
      </c>
    </row>
    <row r="1342" ht="15.75" customHeight="1">
      <c r="A1342" s="1">
        <v>7.0</v>
      </c>
      <c r="B1342" s="1">
        <f t="shared" si="1"/>
        <v>7</v>
      </c>
    </row>
    <row r="1343" ht="15.75" customHeight="1">
      <c r="A1343" s="2" t="s">
        <v>887</v>
      </c>
      <c r="B1343" s="2">
        <f t="shared" si="1"/>
        <v>0</v>
      </c>
    </row>
    <row r="1344" ht="15.75" customHeight="1">
      <c r="A1344" s="2" t="s">
        <v>888</v>
      </c>
      <c r="B1344" s="2">
        <f t="shared" si="1"/>
        <v>0</v>
      </c>
    </row>
    <row r="1345" ht="15.75" customHeight="1">
      <c r="A1345" s="2" t="s">
        <v>889</v>
      </c>
      <c r="B1345" s="2">
        <f t="shared" si="1"/>
        <v>0</v>
      </c>
    </row>
    <row r="1346" ht="15.75" customHeight="1">
      <c r="A1346" s="2" t="s">
        <v>890</v>
      </c>
      <c r="B1346" s="2">
        <f t="shared" si="1"/>
        <v>0</v>
      </c>
    </row>
    <row r="1347" ht="15.75" customHeight="1">
      <c r="A1347" s="2" t="s">
        <v>50</v>
      </c>
      <c r="B1347" s="2">
        <f t="shared" si="1"/>
        <v>0</v>
      </c>
    </row>
    <row r="1348" ht="15.75" customHeight="1">
      <c r="A1348" s="2" t="s">
        <v>7</v>
      </c>
      <c r="B1348" s="2">
        <f t="shared" si="1"/>
        <v>0</v>
      </c>
    </row>
    <row r="1349" ht="15.75" customHeight="1">
      <c r="A1349" s="2" t="s">
        <v>891</v>
      </c>
      <c r="B1349" s="2">
        <f t="shared" si="1"/>
        <v>0</v>
      </c>
    </row>
    <row r="1350" ht="15.75" customHeight="1">
      <c r="A1350" s="2" t="s">
        <v>37</v>
      </c>
      <c r="B1350" s="2">
        <f t="shared" si="1"/>
        <v>0</v>
      </c>
    </row>
    <row r="1351" ht="15.75" customHeight="1">
      <c r="A1351" s="2" t="s">
        <v>892</v>
      </c>
      <c r="B1351" s="2">
        <f t="shared" si="1"/>
        <v>0</v>
      </c>
    </row>
    <row r="1352" ht="15.75" customHeight="1">
      <c r="A1352" s="2" t="s">
        <v>893</v>
      </c>
      <c r="B1352" s="2">
        <f t="shared" si="1"/>
        <v>0</v>
      </c>
    </row>
    <row r="1353" ht="15.75" customHeight="1">
      <c r="A1353" s="2" t="s">
        <v>894</v>
      </c>
      <c r="B1353" s="2">
        <f t="shared" si="1"/>
        <v>0</v>
      </c>
    </row>
    <row r="1354" ht="15.75" customHeight="1">
      <c r="A1354" s="2" t="s">
        <v>895</v>
      </c>
      <c r="B1354" s="2">
        <f t="shared" si="1"/>
        <v>0</v>
      </c>
    </row>
    <row r="1355" ht="15.75" customHeight="1">
      <c r="A1355" s="2" t="s">
        <v>896</v>
      </c>
      <c r="B1355" s="2">
        <f t="shared" si="1"/>
        <v>0</v>
      </c>
    </row>
    <row r="1356" ht="15.75" customHeight="1">
      <c r="A1356" s="2" t="s">
        <v>7</v>
      </c>
      <c r="B1356" s="2">
        <f t="shared" si="1"/>
        <v>0</v>
      </c>
    </row>
    <row r="1357" ht="15.75" customHeight="1">
      <c r="A1357" s="2" t="s">
        <v>897</v>
      </c>
      <c r="B1357" s="2">
        <f t="shared" si="1"/>
        <v>0</v>
      </c>
    </row>
    <row r="1358" ht="15.75" customHeight="1">
      <c r="A1358" s="2" t="s">
        <v>898</v>
      </c>
      <c r="B1358" s="2">
        <f t="shared" si="1"/>
        <v>0</v>
      </c>
    </row>
    <row r="1359" ht="15.75" customHeight="1">
      <c r="A1359" s="2" t="s">
        <v>37</v>
      </c>
      <c r="B1359" s="2">
        <f t="shared" si="1"/>
        <v>0</v>
      </c>
    </row>
    <row r="1360" ht="15.75" customHeight="1">
      <c r="A1360" s="2" t="s">
        <v>899</v>
      </c>
      <c r="B1360" s="2">
        <f t="shared" si="1"/>
        <v>0</v>
      </c>
    </row>
    <row r="1361" ht="15.75" customHeight="1">
      <c r="A1361" s="2" t="s">
        <v>900</v>
      </c>
      <c r="B1361" s="2">
        <f t="shared" si="1"/>
        <v>0</v>
      </c>
    </row>
    <row r="1362" ht="15.75" customHeight="1">
      <c r="A1362" s="2" t="s">
        <v>901</v>
      </c>
      <c r="B1362" s="2">
        <f t="shared" si="1"/>
        <v>0</v>
      </c>
    </row>
    <row r="1363" ht="15.75" customHeight="1">
      <c r="A1363" s="2" t="s">
        <v>902</v>
      </c>
      <c r="B1363" s="2">
        <f t="shared" si="1"/>
        <v>0</v>
      </c>
    </row>
    <row r="1364" ht="15.75" customHeight="1">
      <c r="A1364" s="2" t="s">
        <v>903</v>
      </c>
      <c r="B1364" s="2">
        <f t="shared" si="1"/>
        <v>0</v>
      </c>
    </row>
    <row r="1365" ht="15.75" customHeight="1">
      <c r="A1365" s="2" t="s">
        <v>289</v>
      </c>
      <c r="B1365" s="2">
        <f t="shared" si="1"/>
        <v>0</v>
      </c>
    </row>
    <row r="1366" ht="15.75" customHeight="1">
      <c r="A1366" s="2" t="s">
        <v>7</v>
      </c>
      <c r="B1366" s="2">
        <f t="shared" si="1"/>
        <v>0</v>
      </c>
    </row>
    <row r="1367" ht="15.75" customHeight="1">
      <c r="A1367" s="2" t="s">
        <v>904</v>
      </c>
      <c r="B1367" s="2">
        <f t="shared" si="1"/>
        <v>0</v>
      </c>
    </row>
    <row r="1368" ht="15.75" customHeight="1">
      <c r="A1368" s="2" t="s">
        <v>37</v>
      </c>
      <c r="B1368" s="2">
        <f t="shared" si="1"/>
        <v>0</v>
      </c>
    </row>
    <row r="1369" ht="15.75" customHeight="1">
      <c r="A1369" s="2" t="s">
        <v>161</v>
      </c>
      <c r="B1369" s="2">
        <f t="shared" si="1"/>
        <v>0</v>
      </c>
    </row>
    <row r="1370" ht="15.75" customHeight="1">
      <c r="A1370" s="2" t="s">
        <v>905</v>
      </c>
      <c r="B1370" s="2">
        <f t="shared" si="1"/>
        <v>0</v>
      </c>
    </row>
    <row r="1371" ht="15.75" customHeight="1">
      <c r="A1371" s="2" t="s">
        <v>771</v>
      </c>
      <c r="B1371" s="2">
        <f t="shared" si="1"/>
        <v>0</v>
      </c>
    </row>
    <row r="1372" ht="15.75" customHeight="1">
      <c r="A1372" s="2" t="s">
        <v>906</v>
      </c>
      <c r="B1372" s="2">
        <f t="shared" si="1"/>
        <v>0</v>
      </c>
    </row>
    <row r="1373" ht="15.75" customHeight="1">
      <c r="A1373" s="2" t="s">
        <v>907</v>
      </c>
      <c r="B1373" s="2">
        <f t="shared" si="1"/>
        <v>0</v>
      </c>
    </row>
    <row r="1374" ht="15.75" customHeight="1">
      <c r="A1374" s="2" t="s">
        <v>908</v>
      </c>
      <c r="B1374" s="2">
        <f t="shared" si="1"/>
        <v>0</v>
      </c>
    </row>
    <row r="1375" ht="15.75" customHeight="1">
      <c r="A1375" s="2" t="s">
        <v>7</v>
      </c>
      <c r="B1375" s="2">
        <f t="shared" si="1"/>
        <v>0</v>
      </c>
    </row>
    <row r="1376" ht="15.75" customHeight="1">
      <c r="A1376" s="2" t="s">
        <v>909</v>
      </c>
      <c r="B1376" s="2">
        <f t="shared" si="1"/>
        <v>0</v>
      </c>
    </row>
    <row r="1377" ht="15.75" customHeight="1">
      <c r="A1377" s="2" t="s">
        <v>37</v>
      </c>
      <c r="B1377" s="2">
        <f t="shared" si="1"/>
        <v>0</v>
      </c>
    </row>
    <row r="1378" ht="15.75" customHeight="1">
      <c r="A1378" s="2" t="s">
        <v>161</v>
      </c>
      <c r="B1378" s="2">
        <f t="shared" si="1"/>
        <v>0</v>
      </c>
    </row>
    <row r="1379" ht="15.75" customHeight="1">
      <c r="A1379" s="2" t="s">
        <v>910</v>
      </c>
      <c r="B1379" s="2">
        <f t="shared" si="1"/>
        <v>0</v>
      </c>
    </row>
    <row r="1380" ht="15.75" customHeight="1">
      <c r="A1380" s="2" t="s">
        <v>911</v>
      </c>
      <c r="B1380" s="2">
        <f t="shared" si="1"/>
        <v>0</v>
      </c>
    </row>
    <row r="1381" ht="15.75" customHeight="1">
      <c r="A1381" s="2" t="s">
        <v>912</v>
      </c>
      <c r="B1381" s="2">
        <f t="shared" si="1"/>
        <v>0</v>
      </c>
    </row>
    <row r="1382" ht="15.75" customHeight="1">
      <c r="A1382" s="2" t="s">
        <v>913</v>
      </c>
      <c r="B1382" s="2">
        <f t="shared" si="1"/>
        <v>0</v>
      </c>
    </row>
    <row r="1383" ht="15.75" customHeight="1">
      <c r="A1383" s="2" t="s">
        <v>289</v>
      </c>
      <c r="B1383" s="2">
        <f t="shared" si="1"/>
        <v>0</v>
      </c>
    </row>
    <row r="1384" ht="15.75" customHeight="1">
      <c r="A1384" s="2" t="s">
        <v>7</v>
      </c>
      <c r="B1384" s="2">
        <f t="shared" si="1"/>
        <v>0</v>
      </c>
    </row>
    <row r="1385" ht="15.75" customHeight="1">
      <c r="A1385" s="2" t="s">
        <v>914</v>
      </c>
      <c r="B1385" s="2">
        <f t="shared" si="1"/>
        <v>0</v>
      </c>
    </row>
    <row r="1386" ht="15.75" customHeight="1">
      <c r="A1386" s="2" t="s">
        <v>37</v>
      </c>
      <c r="B1386" s="2">
        <f t="shared" si="1"/>
        <v>0</v>
      </c>
    </row>
    <row r="1387" ht="15.75" customHeight="1">
      <c r="A1387" s="2" t="s">
        <v>291</v>
      </c>
      <c r="B1387" s="2">
        <f t="shared" si="1"/>
        <v>0</v>
      </c>
    </row>
    <row r="1388" ht="15.75" customHeight="1">
      <c r="A1388" s="1" t="s">
        <v>0</v>
      </c>
      <c r="B1388" s="2">
        <f t="shared" si="1"/>
        <v>0</v>
      </c>
    </row>
    <row r="1389" ht="15.75" customHeight="1">
      <c r="A1389" s="1" t="s">
        <v>1</v>
      </c>
      <c r="B1389" s="2">
        <f t="shared" si="1"/>
        <v>0</v>
      </c>
    </row>
    <row r="1390" ht="15.75" customHeight="1">
      <c r="A1390" s="1">
        <v>8.0</v>
      </c>
      <c r="B1390" s="1">
        <f t="shared" si="1"/>
        <v>8</v>
      </c>
    </row>
    <row r="1391" ht="15.75" customHeight="1">
      <c r="A1391" s="2" t="s">
        <v>915</v>
      </c>
      <c r="B1391" s="2">
        <f t="shared" si="1"/>
        <v>0</v>
      </c>
    </row>
    <row r="1392" ht="15.75" customHeight="1">
      <c r="A1392" s="2" t="s">
        <v>916</v>
      </c>
      <c r="B1392" s="2">
        <f t="shared" si="1"/>
        <v>0</v>
      </c>
    </row>
    <row r="1393" ht="15.75" customHeight="1">
      <c r="A1393" s="2" t="s">
        <v>912</v>
      </c>
      <c r="B1393" s="2">
        <f t="shared" si="1"/>
        <v>0</v>
      </c>
    </row>
    <row r="1394" ht="15.75" customHeight="1">
      <c r="A1394" s="2" t="s">
        <v>913</v>
      </c>
      <c r="B1394" s="2">
        <f t="shared" si="1"/>
        <v>0</v>
      </c>
    </row>
    <row r="1395" ht="15.75" customHeight="1">
      <c r="A1395" s="2" t="s">
        <v>289</v>
      </c>
      <c r="B1395" s="2">
        <f t="shared" si="1"/>
        <v>0</v>
      </c>
    </row>
    <row r="1396" ht="15.75" customHeight="1">
      <c r="A1396" s="2" t="s">
        <v>7</v>
      </c>
      <c r="B1396" s="2">
        <f t="shared" si="1"/>
        <v>0</v>
      </c>
    </row>
    <row r="1397" ht="15.75" customHeight="1">
      <c r="A1397" s="2" t="s">
        <v>917</v>
      </c>
      <c r="B1397" s="2">
        <f t="shared" si="1"/>
        <v>0</v>
      </c>
    </row>
    <row r="1398" ht="15.75" customHeight="1">
      <c r="A1398" s="2" t="s">
        <v>918</v>
      </c>
      <c r="B1398" s="2">
        <f t="shared" si="1"/>
        <v>0</v>
      </c>
    </row>
    <row r="1399" ht="15.75" customHeight="1">
      <c r="A1399" s="2" t="s">
        <v>37</v>
      </c>
      <c r="B1399" s="2">
        <f t="shared" si="1"/>
        <v>0</v>
      </c>
    </row>
    <row r="1400" ht="15.75" customHeight="1">
      <c r="A1400" s="2" t="s">
        <v>919</v>
      </c>
      <c r="B1400" s="2">
        <f t="shared" si="1"/>
        <v>0</v>
      </c>
    </row>
  </sheetData>
  <autoFilter ref="$A$1:$B$1400"/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41.38"/>
    <col customWidth="1" min="2" max="2" width="4.13"/>
    <col customWidth="1" min="3" max="3" width="12.63"/>
    <col customWidth="1" min="4" max="4" width="14.63"/>
    <col customWidth="1" min="5" max="6" width="12.63"/>
    <col customWidth="1" min="7" max="7" width="20.25"/>
    <col customWidth="1" min="8" max="8" width="43.63"/>
    <col customWidth="1" min="9" max="9" width="23.75"/>
    <col customWidth="1" min="10" max="10" width="43.75"/>
    <col customWidth="1" min="11" max="11" width="53.75"/>
    <col customWidth="1" min="12" max="12" width="26.25"/>
    <col customWidth="1" min="13" max="13" width="50.38"/>
    <col customWidth="1" min="14" max="14" width="45.25"/>
  </cols>
  <sheetData>
    <row r="1" ht="15.75" customHeight="1">
      <c r="A1" s="3" t="s">
        <v>920</v>
      </c>
      <c r="F1" s="4" t="s">
        <v>921</v>
      </c>
      <c r="G1" s="4" t="s">
        <v>922</v>
      </c>
      <c r="H1" s="4" t="s">
        <v>923</v>
      </c>
      <c r="I1" s="4" t="s">
        <v>924</v>
      </c>
      <c r="J1" s="4" t="s">
        <v>925</v>
      </c>
      <c r="K1" s="4" t="s">
        <v>926</v>
      </c>
      <c r="L1" s="4" t="s">
        <v>927</v>
      </c>
      <c r="M1" s="4" t="s">
        <v>928</v>
      </c>
      <c r="N1" s="4" t="s">
        <v>929</v>
      </c>
    </row>
    <row r="2" ht="15.75" customHeight="1">
      <c r="A2" s="1" t="s">
        <v>2</v>
      </c>
      <c r="B2" s="1"/>
      <c r="C2" s="5">
        <f>B3+B4+B5+B6+B7+B8+B9+B10</f>
        <v>8</v>
      </c>
      <c r="D2" s="2" t="s">
        <v>921</v>
      </c>
      <c r="F2" s="2" t="str">
        <f>A2</f>
        <v>IAB-RP-B01</v>
      </c>
      <c r="G2" s="2" t="str">
        <f>A3</f>
        <v>BASATIKALPA (Est‐1988)</v>
      </c>
      <c r="H2" s="2" t="str">
        <f>A4</f>
        <v>Office Address: 70/1 Naya Paltan, VIP Road, Dhaka‐1000</v>
      </c>
      <c r="I2" s="2" t="str">
        <f>A5</f>
        <v>Email ID: asfar@global‐bd.net,</v>
      </c>
      <c r="J2" s="2" t="str">
        <f>A6</f>
        <v>Website : www.basatikalpa.com Contact: +88‐02‐7252314</v>
      </c>
      <c r="K2" s="2" t="str">
        <f>A7</f>
        <v>NAME OF PROPRIETOR/ PARTNER/ DIRECTOR(s) &amp; DESIGNATION</v>
      </c>
      <c r="L2" s="2" t="str">
        <f>A8</f>
        <v>Ar. Asfarul Islam (I‐020) Proprietor</v>
      </c>
      <c r="M2" s="2" t="str">
        <f>A9</f>
        <v>FULL TIME TECHNICAL PERSONNEL OF THE FIRM/COMPANY:</v>
      </c>
      <c r="N2" s="2" t="str">
        <f>A10</f>
        <v>IAB Member Architect 1 Architectural Graduate 6 Total 7</v>
      </c>
    </row>
    <row r="3" ht="15.75" customHeight="1">
      <c r="A3" s="2" t="s">
        <v>3</v>
      </c>
      <c r="B3" s="2">
        <v>1.0</v>
      </c>
      <c r="D3" s="2" t="s">
        <v>922</v>
      </c>
    </row>
    <row r="4" ht="15.75" customHeight="1">
      <c r="A4" s="2" t="s">
        <v>4</v>
      </c>
      <c r="B4" s="2">
        <v>1.0</v>
      </c>
      <c r="D4" s="2" t="s">
        <v>923</v>
      </c>
    </row>
    <row r="5" ht="15.75" customHeight="1">
      <c r="A5" s="2" t="s">
        <v>5</v>
      </c>
      <c r="B5" s="2">
        <v>1.0</v>
      </c>
      <c r="D5" s="2" t="s">
        <v>924</v>
      </c>
    </row>
    <row r="6" ht="15.75" customHeight="1">
      <c r="A6" s="2" t="s">
        <v>6</v>
      </c>
      <c r="B6" s="2">
        <v>1.0</v>
      </c>
      <c r="D6" s="2" t="s">
        <v>925</v>
      </c>
    </row>
    <row r="7" ht="15.75" customHeight="1">
      <c r="A7" s="2" t="s">
        <v>7</v>
      </c>
      <c r="B7" s="2">
        <v>1.0</v>
      </c>
      <c r="D7" s="2" t="s">
        <v>926</v>
      </c>
    </row>
    <row r="8" ht="15.75" customHeight="1">
      <c r="A8" s="2" t="s">
        <v>8</v>
      </c>
      <c r="B8" s="2">
        <v>1.0</v>
      </c>
      <c r="D8" s="2" t="s">
        <v>927</v>
      </c>
    </row>
    <row r="9" ht="15.75" customHeight="1">
      <c r="A9" s="2" t="s">
        <v>9</v>
      </c>
      <c r="B9" s="2">
        <v>1.0</v>
      </c>
      <c r="D9" s="2" t="s">
        <v>928</v>
      </c>
    </row>
    <row r="10" ht="15.75" customHeight="1">
      <c r="A10" s="2" t="s">
        <v>10</v>
      </c>
      <c r="B10" s="2">
        <v>1.0</v>
      </c>
      <c r="D10" s="2" t="s">
        <v>929</v>
      </c>
    </row>
    <row r="11" ht="15.75" customHeight="1">
      <c r="A11" s="1" t="s">
        <v>11</v>
      </c>
      <c r="B11" s="1"/>
      <c r="C11" s="5">
        <f>B12+B13+B14+B15+B16+B17+B18+B19+B20</f>
        <v>8</v>
      </c>
      <c r="D11" s="2" t="s">
        <v>921</v>
      </c>
      <c r="F11" s="2" t="str">
        <f>A11</f>
        <v>IAB-RP-B02</v>
      </c>
      <c r="G11" s="2" t="str">
        <f>A12</f>
        <v>BESTEC INFOTECH (Est‐2013)</v>
      </c>
      <c r="H11" s="2" t="str">
        <f>A13</f>
        <v>Office Address: House‐02, Road‐14/A, Sector‐4, Uttara Model Town, Dhaka‐1230</v>
      </c>
      <c r="I11" s="2" t="str">
        <f>A14</f>
        <v>Email ID: tariqul@bestecgroup.com Contact: 09611689575‐6</v>
      </c>
      <c r="J11" s="2" t="str">
        <f>A15</f>
        <v>Website:</v>
      </c>
      <c r="K11" s="2" t="str">
        <f>A16</f>
        <v>NAME OF PROPRIETOR/ PARTNER/ DIRECTOR(s) &amp; DESIGNATION</v>
      </c>
      <c r="L11" s="2" t="str">
        <f>A17</f>
        <v>Ar. Tariqul Islam (I‐028) Proprietor</v>
      </c>
      <c r="M11" s="2" t="str">
        <f>A18</f>
        <v>FULL TIME TECHNICAL PERSONNEL OF THE FIRM/COMPANY:</v>
      </c>
      <c r="N11" s="2" t="str">
        <f>A19</f>
        <v>IAB Member Architect 5 Architectural Graduate 15 Total 20</v>
      </c>
    </row>
    <row r="12" ht="15.75" customHeight="1">
      <c r="A12" s="2" t="s">
        <v>12</v>
      </c>
      <c r="B12" s="2">
        <v>1.0</v>
      </c>
      <c r="D12" s="2" t="s">
        <v>922</v>
      </c>
    </row>
    <row r="13" ht="15.75" customHeight="1">
      <c r="A13" s="2" t="s">
        <v>13</v>
      </c>
      <c r="B13" s="2">
        <v>1.0</v>
      </c>
      <c r="D13" s="2" t="s">
        <v>923</v>
      </c>
    </row>
    <row r="14" ht="15.75" customHeight="1">
      <c r="A14" s="2" t="s">
        <v>14</v>
      </c>
      <c r="B14" s="2">
        <v>1.0</v>
      </c>
      <c r="D14" s="2" t="s">
        <v>924</v>
      </c>
    </row>
    <row r="15" ht="15.75" customHeight="1">
      <c r="A15" s="2" t="s">
        <v>289</v>
      </c>
      <c r="B15" s="2">
        <v>1.0</v>
      </c>
      <c r="D15" s="2" t="s">
        <v>925</v>
      </c>
    </row>
    <row r="16" ht="15.75" customHeight="1">
      <c r="A16" s="2" t="s">
        <v>7</v>
      </c>
      <c r="B16" s="2">
        <v>1.0</v>
      </c>
      <c r="D16" s="2" t="s">
        <v>926</v>
      </c>
    </row>
    <row r="17" ht="15.75" customHeight="1">
      <c r="A17" s="2" t="s">
        <v>15</v>
      </c>
      <c r="B17" s="2">
        <v>1.0</v>
      </c>
      <c r="D17" s="2" t="s">
        <v>927</v>
      </c>
    </row>
    <row r="18" ht="15.75" customHeight="1">
      <c r="A18" s="2" t="s">
        <v>9</v>
      </c>
      <c r="B18" s="2">
        <v>1.0</v>
      </c>
      <c r="D18" s="2" t="s">
        <v>928</v>
      </c>
    </row>
    <row r="19" ht="15.75" customHeight="1">
      <c r="A19" s="2" t="s">
        <v>16</v>
      </c>
      <c r="B19" s="2">
        <v>1.0</v>
      </c>
      <c r="D19" s="2" t="s">
        <v>929</v>
      </c>
    </row>
    <row r="20" ht="15.75" customHeight="1">
      <c r="A20" s="1" t="s">
        <v>17</v>
      </c>
      <c r="B20" s="1"/>
      <c r="C20" s="5">
        <f>B21+B22+B23+B24+B25+B26+B27+B28</f>
        <v>8</v>
      </c>
      <c r="D20" s="2" t="s">
        <v>921</v>
      </c>
      <c r="F20" s="2" t="str">
        <f>A20</f>
        <v>IAB-RP-B03</v>
      </c>
      <c r="G20" s="2" t="str">
        <f>A21</f>
        <v>BINYASH (Est‐2005)</v>
      </c>
      <c r="H20" s="2" t="str">
        <f>A22</f>
        <v>Office Address: House‐480, Road‐32, New DOHS, Mohakhali, Dhaka‐1206</v>
      </c>
      <c r="I20" s="2" t="str">
        <f>A23</f>
        <v>Email ID: rahat.niaz@gmail.com</v>
      </c>
      <c r="J20" s="2" t="str">
        <f>A24</f>
        <v>Website : www.binyashltd.com Contact: +88‐02‐8715368</v>
      </c>
      <c r="K20" s="2" t="str">
        <f>A25</f>
        <v>NAME OF PROPRIETOR/ PARTNER/ DIRECTOR(s) &amp; DESIGNATION</v>
      </c>
      <c r="L20" s="2" t="str">
        <f>A26</f>
        <v>Ar. Rahat Mujib Niaz (N‐029) Principal Architect &amp; Ar.Faisal Billah (B‐034) Architect Partner</v>
      </c>
      <c r="M20" s="2" t="str">
        <f>A27</f>
        <v>FULL TIME TECHNICAL PERSONNEL OF THE FIRM/COMPANY:</v>
      </c>
      <c r="N20" s="2" t="str">
        <f>A28</f>
        <v>IAB Member Architect 7 Architectural Graduate 9 Total 16</v>
      </c>
    </row>
    <row r="21" ht="15.75" customHeight="1">
      <c r="A21" s="2" t="s">
        <v>18</v>
      </c>
      <c r="B21" s="2">
        <v>1.0</v>
      </c>
      <c r="D21" s="2" t="s">
        <v>922</v>
      </c>
    </row>
    <row r="22" ht="15.75" customHeight="1">
      <c r="A22" s="2" t="s">
        <v>19</v>
      </c>
      <c r="B22" s="2">
        <v>1.0</v>
      </c>
      <c r="D22" s="2" t="s">
        <v>923</v>
      </c>
    </row>
    <row r="23" ht="15.75" customHeight="1">
      <c r="A23" s="2" t="s">
        <v>20</v>
      </c>
      <c r="B23" s="2">
        <v>1.0</v>
      </c>
      <c r="D23" s="2" t="s">
        <v>924</v>
      </c>
    </row>
    <row r="24" ht="15.75" customHeight="1">
      <c r="A24" s="2" t="s">
        <v>21</v>
      </c>
      <c r="B24" s="2">
        <v>1.0</v>
      </c>
      <c r="D24" s="2" t="s">
        <v>925</v>
      </c>
    </row>
    <row r="25" ht="15.75" customHeight="1">
      <c r="A25" s="2" t="s">
        <v>7</v>
      </c>
      <c r="B25" s="2">
        <v>1.0</v>
      </c>
      <c r="D25" s="2" t="s">
        <v>926</v>
      </c>
    </row>
    <row r="26" ht="15.75" customHeight="1">
      <c r="A26" s="2" t="s">
        <v>930</v>
      </c>
      <c r="B26" s="2">
        <v>1.0</v>
      </c>
      <c r="D26" s="2" t="s">
        <v>927</v>
      </c>
    </row>
    <row r="27" ht="15.75" customHeight="1">
      <c r="A27" s="2" t="s">
        <v>9</v>
      </c>
      <c r="B27" s="2">
        <v>1.0</v>
      </c>
      <c r="D27" s="2" t="s">
        <v>928</v>
      </c>
    </row>
    <row r="28" ht="15.75" customHeight="1">
      <c r="A28" s="2" t="s">
        <v>24</v>
      </c>
      <c r="B28" s="2">
        <v>1.0</v>
      </c>
      <c r="D28" s="2" t="s">
        <v>929</v>
      </c>
    </row>
    <row r="29" ht="15.75" customHeight="1">
      <c r="A29" s="1" t="s">
        <v>25</v>
      </c>
      <c r="B29" s="1"/>
      <c r="C29" s="5">
        <f>B30+B31+B32+B33+B34+B35+B36+B37</f>
        <v>8</v>
      </c>
      <c r="D29" s="2" t="s">
        <v>921</v>
      </c>
      <c r="F29" s="2" t="str">
        <f>A29</f>
        <v>IAB-RP-B04</v>
      </c>
      <c r="G29" s="2" t="str">
        <f>A30</f>
        <v>BKS &amp; ASSOCIATES (Est‐2008)</v>
      </c>
      <c r="H29" s="2" t="str">
        <f>A31</f>
        <v>Office Address: House‐07, Road‐05, Apt‐5B, Block‐I, Banani, Dkaka‐1213</v>
      </c>
      <c r="I29" s="2" t="str">
        <f>A32</f>
        <v>Email ID: marathon_architects@yahoo.com</v>
      </c>
      <c r="J29" s="2" t="str">
        <f>A33</f>
        <v>Website : www.bksandassociates.com Contact: +88‐02‐9677467</v>
      </c>
      <c r="K29" s="2" t="str">
        <f>A34</f>
        <v>NAME OF PROPRIETOR/ PARTNER/ DIRECTOR(s) &amp; DESIGNATION</v>
      </c>
      <c r="L29" s="2" t="str">
        <f>A35</f>
        <v>Ar. Bidhan Kumar Saha (S‐062) Proprietor</v>
      </c>
      <c r="M29" s="2" t="str">
        <f>A36</f>
        <v>FULL TIME TECHNICAL PERSONNEL OF THE FIRM/COMPANY:</v>
      </c>
      <c r="N29" s="2" t="str">
        <f>A37</f>
        <v>IAB Member Architect 2 Architectural Graduate 3 Total 5</v>
      </c>
    </row>
    <row r="30" ht="15.75" customHeight="1">
      <c r="A30" s="2" t="s">
        <v>26</v>
      </c>
      <c r="B30" s="2">
        <v>1.0</v>
      </c>
      <c r="D30" s="2" t="s">
        <v>922</v>
      </c>
    </row>
    <row r="31" ht="15.75" customHeight="1">
      <c r="A31" s="2" t="s">
        <v>27</v>
      </c>
      <c r="B31" s="2">
        <v>1.0</v>
      </c>
      <c r="D31" s="2" t="s">
        <v>923</v>
      </c>
    </row>
    <row r="32" ht="15.75" customHeight="1">
      <c r="A32" s="2" t="s">
        <v>28</v>
      </c>
      <c r="B32" s="2">
        <v>1.0</v>
      </c>
      <c r="D32" s="2" t="s">
        <v>924</v>
      </c>
    </row>
    <row r="33" ht="15.75" customHeight="1">
      <c r="A33" s="2" t="s">
        <v>29</v>
      </c>
      <c r="B33" s="2">
        <v>1.0</v>
      </c>
      <c r="D33" s="2" t="s">
        <v>925</v>
      </c>
    </row>
    <row r="34" ht="15.75" customHeight="1">
      <c r="A34" s="2" t="s">
        <v>7</v>
      </c>
      <c r="B34" s="2">
        <v>1.0</v>
      </c>
      <c r="D34" s="2" t="s">
        <v>926</v>
      </c>
    </row>
    <row r="35" ht="15.75" customHeight="1">
      <c r="A35" s="2" t="s">
        <v>30</v>
      </c>
      <c r="B35" s="2">
        <v>1.0</v>
      </c>
      <c r="D35" s="2" t="s">
        <v>927</v>
      </c>
    </row>
    <row r="36" ht="15.75" customHeight="1">
      <c r="A36" s="2" t="s">
        <v>9</v>
      </c>
      <c r="B36" s="2">
        <v>1.0</v>
      </c>
      <c r="D36" s="2" t="s">
        <v>928</v>
      </c>
    </row>
    <row r="37" ht="15.75" customHeight="1">
      <c r="A37" s="2" t="s">
        <v>31</v>
      </c>
      <c r="B37" s="2">
        <v>1.0</v>
      </c>
      <c r="D37" s="2" t="s">
        <v>929</v>
      </c>
    </row>
    <row r="38" ht="15.75" customHeight="1">
      <c r="A38" s="1" t="s">
        <v>32</v>
      </c>
      <c r="B38" s="1"/>
      <c r="C38" s="5">
        <f>B39+B40+B41+B42+B43+B44+B45+B46</f>
        <v>8</v>
      </c>
      <c r="D38" s="2" t="s">
        <v>921</v>
      </c>
      <c r="F38" s="2" t="str">
        <f>A38</f>
        <v>IAB-RP-B05</v>
      </c>
      <c r="G38" s="2" t="str">
        <f>A39</f>
        <v>BABUIBASHA: A SUSTAINABLE ARCHITECTURE. (Est‐2013)</v>
      </c>
      <c r="H38" s="2" t="str">
        <f>A40</f>
        <v>Office Address: The Emporium, D‐05, 14/1, Mirpur Road, Shyamoli, Dhaka‐1207</v>
      </c>
      <c r="I38" s="2" t="str">
        <f>A41</f>
        <v>Email ID: babuibasha@gmail.com Contact: +8801711593658, 8801713453239</v>
      </c>
      <c r="J38" s="2" t="str">
        <f>A42</f>
        <v>Website:</v>
      </c>
      <c r="K38" s="2" t="str">
        <f>A43</f>
        <v>NAME OF PROPRIETOR/ PARTNER/ DIRECTOR(s) &amp; DESIGNATION</v>
      </c>
      <c r="L38" s="2" t="str">
        <f>A44</f>
        <v>Ar. Ruksana Sultana (S‐155) Principal</v>
      </c>
      <c r="M38" s="2" t="str">
        <f>A45</f>
        <v>FULL TIME ARCHITECTURAL PERSONNEL OF THE FIRM/COMPANY:</v>
      </c>
      <c r="N38" s="2" t="str">
        <f>A46</f>
        <v>IAB Member Architect 2 Architectural Graduate 2 Total 4</v>
      </c>
    </row>
    <row r="39" ht="15.75" customHeight="1">
      <c r="A39" s="2" t="s">
        <v>33</v>
      </c>
      <c r="B39" s="2">
        <v>1.0</v>
      </c>
      <c r="D39" s="2" t="s">
        <v>922</v>
      </c>
    </row>
    <row r="40" ht="15.75" customHeight="1">
      <c r="A40" s="2" t="s">
        <v>34</v>
      </c>
      <c r="B40" s="2">
        <v>1.0</v>
      </c>
      <c r="D40" s="2" t="s">
        <v>923</v>
      </c>
    </row>
    <row r="41" ht="15.75" customHeight="1">
      <c r="A41" s="2" t="s">
        <v>931</v>
      </c>
      <c r="B41" s="2">
        <v>1.0</v>
      </c>
      <c r="D41" s="2" t="s">
        <v>924</v>
      </c>
    </row>
    <row r="42" ht="15.75" customHeight="1">
      <c r="A42" s="2" t="s">
        <v>289</v>
      </c>
      <c r="B42" s="2">
        <v>1.0</v>
      </c>
      <c r="D42" s="2" t="s">
        <v>925</v>
      </c>
    </row>
    <row r="43" ht="15.75" customHeight="1">
      <c r="A43" s="2" t="s">
        <v>7</v>
      </c>
      <c r="B43" s="2">
        <v>1.0</v>
      </c>
      <c r="D43" s="2" t="s">
        <v>926</v>
      </c>
    </row>
    <row r="44" ht="15.75" customHeight="1">
      <c r="A44" s="2" t="s">
        <v>36</v>
      </c>
      <c r="B44" s="2">
        <v>1.0</v>
      </c>
      <c r="D44" s="2" t="s">
        <v>927</v>
      </c>
    </row>
    <row r="45" ht="15.75" customHeight="1">
      <c r="A45" s="2" t="s">
        <v>37</v>
      </c>
      <c r="B45" s="2">
        <v>1.0</v>
      </c>
      <c r="D45" s="2" t="s">
        <v>928</v>
      </c>
    </row>
    <row r="46" ht="15.75" customHeight="1">
      <c r="A46" s="2" t="s">
        <v>38</v>
      </c>
      <c r="B46" s="2">
        <v>1.0</v>
      </c>
      <c r="D46" s="2" t="s">
        <v>929</v>
      </c>
    </row>
    <row r="47" ht="15.75" customHeight="1">
      <c r="A47" s="1" t="s">
        <v>39</v>
      </c>
      <c r="B47" s="1"/>
      <c r="C47" s="5">
        <f>B48+B49+B50+B51+B52+B53+B54+B55</f>
        <v>8</v>
      </c>
      <c r="D47" s="2" t="s">
        <v>921</v>
      </c>
      <c r="F47" s="2" t="str">
        <f>A47</f>
        <v>IAB-RP- B06</v>
      </c>
      <c r="G47" s="2" t="str">
        <f>A48</f>
        <v>37 BRIDGE (Est‐2009)</v>
      </c>
      <c r="H47" s="2" t="str">
        <f>A49</f>
        <v>Office Address: 138, Darus Salam, Mirpur, Dhaka</v>
      </c>
      <c r="I47" s="2" t="str">
        <f>A50</f>
        <v>Email ID: contact@37bridge.net</v>
      </c>
      <c r="J47" s="2" t="str">
        <f>A51</f>
        <v>Website : www.37bridge.net Contact: +88‐02‐8051994</v>
      </c>
      <c r="K47" s="2" t="str">
        <f>A52</f>
        <v>NAME OF PROPRIETOR/ PARTNER/ DIRECTOR(s) &amp; DESIGNATION:</v>
      </c>
      <c r="L47" s="2" t="str">
        <f>A53</f>
        <v>Ar. Faysal Kabir (K‐108) Principal Architect</v>
      </c>
      <c r="M47" s="2" t="str">
        <f>A54</f>
        <v>FULL TIME TECHNICAL PERSONNEL OF THE FIRM/COMPANY:</v>
      </c>
      <c r="N47" s="2" t="str">
        <f>A55</f>
        <v>IAB Member Architect 2 Architectural Graduate 2 Total 4</v>
      </c>
    </row>
    <row r="48" ht="15.75" customHeight="1">
      <c r="A48" s="2" t="s">
        <v>40</v>
      </c>
      <c r="B48" s="2">
        <v>1.0</v>
      </c>
      <c r="D48" s="2" t="s">
        <v>922</v>
      </c>
    </row>
    <row r="49" ht="15.75" customHeight="1">
      <c r="A49" s="2" t="s">
        <v>41</v>
      </c>
      <c r="B49" s="2">
        <v>1.0</v>
      </c>
      <c r="D49" s="2" t="s">
        <v>923</v>
      </c>
    </row>
    <row r="50" ht="15.75" customHeight="1">
      <c r="A50" s="2" t="s">
        <v>42</v>
      </c>
      <c r="B50" s="2">
        <v>1.0</v>
      </c>
      <c r="D50" s="2" t="s">
        <v>924</v>
      </c>
    </row>
    <row r="51" ht="15.75" customHeight="1">
      <c r="A51" s="2" t="s">
        <v>43</v>
      </c>
      <c r="B51" s="2">
        <v>1.0</v>
      </c>
      <c r="D51" s="2" t="s">
        <v>925</v>
      </c>
    </row>
    <row r="52" ht="15.75" customHeight="1">
      <c r="A52" s="2" t="s">
        <v>44</v>
      </c>
      <c r="B52" s="2">
        <v>1.0</v>
      </c>
      <c r="D52" s="2" t="s">
        <v>926</v>
      </c>
    </row>
    <row r="53" ht="15.75" customHeight="1">
      <c r="A53" s="2" t="s">
        <v>45</v>
      </c>
      <c r="B53" s="2">
        <v>1.0</v>
      </c>
      <c r="D53" s="2" t="s">
        <v>927</v>
      </c>
    </row>
    <row r="54" ht="15.75" customHeight="1">
      <c r="A54" s="2" t="s">
        <v>9</v>
      </c>
      <c r="B54" s="2">
        <v>1.0</v>
      </c>
      <c r="D54" s="2" t="s">
        <v>928</v>
      </c>
    </row>
    <row r="55" ht="15.75" customHeight="1">
      <c r="A55" s="2" t="s">
        <v>38</v>
      </c>
      <c r="B55" s="2">
        <v>1.0</v>
      </c>
      <c r="D55" s="2" t="s">
        <v>929</v>
      </c>
    </row>
    <row r="56" ht="15.75" customHeight="1">
      <c r="A56" s="1" t="s">
        <v>46</v>
      </c>
      <c r="B56" s="1"/>
      <c r="C56" s="5">
        <f>B57+B58+B59+B60+B61+B62+B63+B64</f>
        <v>8</v>
      </c>
      <c r="D56" s="2" t="s">
        <v>921</v>
      </c>
      <c r="F56" s="2" t="str">
        <f>A56</f>
        <v>IAB-RP- B07</v>
      </c>
      <c r="G56" s="2" t="str">
        <f>A57</f>
        <v>BASHA BARI LTD. (Est‐2012)</v>
      </c>
      <c r="H56" s="2" t="str">
        <f>A58</f>
        <v>Office Address: 3 rd Floor, 332, Elephant Road, Dhaka‐1205</v>
      </c>
      <c r="I56" s="2" t="str">
        <f>A59</f>
        <v>Email ID: bashabari.architects@gmail.com Contact: +88‐01711534290</v>
      </c>
      <c r="J56" s="2" t="str">
        <f>A60</f>
        <v>Website :</v>
      </c>
      <c r="K56" s="2" t="str">
        <f>A61</f>
        <v>NAME OF PROPRIETOR/ PARTNER/ DIRECTOR(s) &amp; DESIGNATION</v>
      </c>
      <c r="L56" s="2" t="str">
        <f>A62</f>
        <v>Ar. Dr. Prof. Nizamuddin Ahmed (A‐040) Managing Director</v>
      </c>
      <c r="M56" s="2" t="str">
        <f>A63</f>
        <v>FULL TIME ARCHITECTURAL PERSONNEL OF THE FIRM/COMPANY:</v>
      </c>
      <c r="N56" s="2" t="str">
        <f>A64</f>
        <v>IAB Member Architect 2 Architectural Graduate 1 Total 3</v>
      </c>
    </row>
    <row r="57" ht="15.75" customHeight="1">
      <c r="A57" s="2" t="s">
        <v>47</v>
      </c>
      <c r="B57" s="2">
        <v>1.0</v>
      </c>
      <c r="D57" s="2" t="s">
        <v>922</v>
      </c>
    </row>
    <row r="58" ht="15.75" customHeight="1">
      <c r="A58" s="2" t="s">
        <v>48</v>
      </c>
      <c r="B58" s="2">
        <v>1.0</v>
      </c>
      <c r="D58" s="2" t="s">
        <v>923</v>
      </c>
    </row>
    <row r="59" ht="15.75" customHeight="1">
      <c r="A59" s="2" t="s">
        <v>49</v>
      </c>
      <c r="B59" s="2">
        <v>1.0</v>
      </c>
      <c r="D59" s="2" t="s">
        <v>924</v>
      </c>
    </row>
    <row r="60" ht="15.75" customHeight="1">
      <c r="A60" s="2" t="s">
        <v>50</v>
      </c>
      <c r="B60" s="2">
        <v>1.0</v>
      </c>
      <c r="D60" s="2" t="s">
        <v>925</v>
      </c>
    </row>
    <row r="61" ht="15.75" customHeight="1">
      <c r="A61" s="2" t="s">
        <v>7</v>
      </c>
      <c r="B61" s="2">
        <v>1.0</v>
      </c>
      <c r="D61" s="2" t="s">
        <v>926</v>
      </c>
    </row>
    <row r="62" ht="15.75" customHeight="1">
      <c r="A62" s="2" t="s">
        <v>51</v>
      </c>
      <c r="B62" s="2">
        <v>1.0</v>
      </c>
      <c r="D62" s="2" t="s">
        <v>927</v>
      </c>
    </row>
    <row r="63" ht="15.75" customHeight="1">
      <c r="A63" s="2" t="s">
        <v>37</v>
      </c>
      <c r="B63" s="2">
        <v>1.0</v>
      </c>
      <c r="D63" s="2" t="s">
        <v>928</v>
      </c>
    </row>
    <row r="64" ht="15.75" customHeight="1">
      <c r="A64" s="2" t="s">
        <v>52</v>
      </c>
      <c r="B64" s="2">
        <v>1.0</v>
      </c>
      <c r="D64" s="2" t="s">
        <v>929</v>
      </c>
    </row>
    <row r="65" ht="15.75" customHeight="1">
      <c r="A65" s="1" t="s">
        <v>54</v>
      </c>
      <c r="B65" s="1"/>
      <c r="C65" s="5">
        <f>B66+B67+B68+B69+B70+B71+B72+B73</f>
        <v>8</v>
      </c>
      <c r="D65" s="2" t="s">
        <v>921</v>
      </c>
      <c r="F65" s="2" t="str">
        <f>A65</f>
        <v>IAB-RP-C01</v>
      </c>
      <c r="G65" s="2" t="str">
        <f>A66</f>
        <v>CAD LTD (Est‐1986)</v>
      </c>
      <c r="H65" s="2" t="str">
        <f>A67</f>
        <v>Office Address: CWN (B), 18/B, Road‐44, Gulshan‐2, Dhaka‐1212</v>
      </c>
      <c r="I65" s="2" t="str">
        <f>A68</f>
        <v>Email ID: cadinan@gmail.com, cadsayeda@gmail.com Contact: +8801671119933</v>
      </c>
      <c r="J65" s="2" t="str">
        <f>A69</f>
        <v>Website:</v>
      </c>
      <c r="K65" s="2" t="str">
        <f>A70</f>
        <v>NAME OF PROPRIETOR/ PARTNER/ DIRECTOR(s) &amp; DESIGNATION</v>
      </c>
      <c r="L65" s="2" t="str">
        <f>A71</f>
        <v>Ar. B.K.S. Inan (I‐015) Managing Director &amp; Ar. Sayeda Sultana (S‐017) Director</v>
      </c>
      <c r="M65" s="2" t="str">
        <f>A72</f>
        <v>FULL TIME ARCHITECTURAL PERSONNEL OF THE FIRM/COMPANY:</v>
      </c>
      <c r="N65" s="2" t="str">
        <f>A73</f>
        <v>IAB Member Architect 7 Architectural Graduate 0 Total 7</v>
      </c>
    </row>
    <row r="66" ht="15.75" customHeight="1">
      <c r="A66" s="2" t="s">
        <v>55</v>
      </c>
      <c r="B66" s="2">
        <v>1.0</v>
      </c>
      <c r="D66" s="2" t="s">
        <v>922</v>
      </c>
    </row>
    <row r="67" ht="15.75" customHeight="1">
      <c r="A67" s="2" t="s">
        <v>56</v>
      </c>
      <c r="B67" s="2">
        <v>1.0</v>
      </c>
      <c r="D67" s="2" t="s">
        <v>923</v>
      </c>
    </row>
    <row r="68" ht="15.75" customHeight="1">
      <c r="A68" s="2" t="s">
        <v>57</v>
      </c>
      <c r="B68" s="2">
        <v>1.0</v>
      </c>
      <c r="D68" s="2" t="s">
        <v>924</v>
      </c>
    </row>
    <row r="69" ht="15.75" customHeight="1">
      <c r="A69" s="2" t="s">
        <v>289</v>
      </c>
      <c r="B69" s="2">
        <v>1.0</v>
      </c>
      <c r="D69" s="2" t="s">
        <v>925</v>
      </c>
    </row>
    <row r="70" ht="15.75" customHeight="1">
      <c r="A70" s="2" t="s">
        <v>7</v>
      </c>
      <c r="B70" s="2">
        <v>1.0</v>
      </c>
      <c r="D70" s="2" t="s">
        <v>926</v>
      </c>
    </row>
    <row r="71" ht="15.75" customHeight="1">
      <c r="A71" s="2" t="s">
        <v>932</v>
      </c>
      <c r="B71" s="2">
        <v>1.0</v>
      </c>
      <c r="D71" s="2" t="s">
        <v>927</v>
      </c>
    </row>
    <row r="72" ht="15.75" customHeight="1">
      <c r="A72" s="2" t="s">
        <v>37</v>
      </c>
      <c r="B72" s="2">
        <v>1.0</v>
      </c>
      <c r="D72" s="2" t="s">
        <v>928</v>
      </c>
    </row>
    <row r="73" ht="15.75" customHeight="1">
      <c r="A73" s="2" t="s">
        <v>60</v>
      </c>
      <c r="B73" s="2">
        <v>1.0</v>
      </c>
      <c r="D73" s="2" t="s">
        <v>929</v>
      </c>
    </row>
    <row r="74" ht="15.75" customHeight="1">
      <c r="A74" s="1" t="s">
        <v>61</v>
      </c>
      <c r="B74" s="1"/>
      <c r="C74" s="5">
        <f>B75+B76+B77+B78+B79+B80+B81+B82+B83</f>
        <v>8</v>
      </c>
      <c r="D74" s="2" t="s">
        <v>921</v>
      </c>
      <c r="F74" s="2" t="str">
        <f>A74</f>
        <v>IAB-RP-C02</v>
      </c>
      <c r="G74" s="2" t="str">
        <f>A75</f>
        <v>COCREATE STUDIO (Est‐2018)</v>
      </c>
      <c r="H74" s="2" t="str">
        <f>A76</f>
        <v>Office Address: 65, Suvastu Imam Square, 5th Floor, Gulshan Avenue, Gulshan‐1, Dhaka‐1212</v>
      </c>
      <c r="I74" s="2" t="str">
        <f>A77</f>
        <v>Email ID: cocreate@suvastu.com.bd Contact: +8801819272915</v>
      </c>
      <c r="J74" s="2" t="str">
        <f>A78</f>
        <v>Website:</v>
      </c>
      <c r="K74" s="2" t="str">
        <f>A79</f>
        <v>NAME OF PROPRIETOR/ PARTNER/ DIRECTOR(s) &amp; DESIGNATION</v>
      </c>
      <c r="L74" s="2" t="str">
        <f>A80</f>
        <v>Ar. Nazmul Haque Khan (K‐056) Managing Partner</v>
      </c>
      <c r="M74" s="2" t="str">
        <f>A81</f>
        <v>FULL TIME ARCHITECTURAL PERSONNEL OF THE FIRM/COMPANY:</v>
      </c>
      <c r="N74" s="2" t="str">
        <f>A82</f>
        <v>IAB Member Architect 1 Architectural Graduate 0 Total 1</v>
      </c>
    </row>
    <row r="75" ht="15.75" customHeight="1">
      <c r="A75" s="2" t="s">
        <v>62</v>
      </c>
      <c r="B75" s="2">
        <v>1.0</v>
      </c>
      <c r="D75" s="2" t="s">
        <v>922</v>
      </c>
    </row>
    <row r="76" ht="15.75" customHeight="1">
      <c r="A76" s="2" t="s">
        <v>63</v>
      </c>
      <c r="B76" s="2">
        <v>1.0</v>
      </c>
      <c r="D76" s="2" t="s">
        <v>923</v>
      </c>
    </row>
    <row r="77" ht="15.75" customHeight="1">
      <c r="A77" s="2" t="s">
        <v>64</v>
      </c>
      <c r="B77" s="2">
        <v>1.0</v>
      </c>
      <c r="D77" s="2" t="s">
        <v>924</v>
      </c>
    </row>
    <row r="78" ht="15.75" customHeight="1">
      <c r="A78" s="2" t="s">
        <v>289</v>
      </c>
      <c r="B78" s="2">
        <v>1.0</v>
      </c>
      <c r="D78" s="2" t="s">
        <v>925</v>
      </c>
    </row>
    <row r="79" ht="15.75" customHeight="1">
      <c r="A79" s="2" t="s">
        <v>7</v>
      </c>
      <c r="B79" s="2">
        <v>1.0</v>
      </c>
      <c r="D79" s="2" t="s">
        <v>926</v>
      </c>
    </row>
    <row r="80" ht="15.75" customHeight="1">
      <c r="A80" s="2" t="s">
        <v>65</v>
      </c>
      <c r="B80" s="2">
        <v>1.0</v>
      </c>
      <c r="D80" s="2" t="s">
        <v>927</v>
      </c>
    </row>
    <row r="81" ht="15.75" customHeight="1">
      <c r="A81" s="2" t="s">
        <v>37</v>
      </c>
      <c r="B81" s="2">
        <v>1.0</v>
      </c>
      <c r="D81" s="2" t="s">
        <v>928</v>
      </c>
    </row>
    <row r="82" ht="15.75" customHeight="1">
      <c r="A82" s="2" t="s">
        <v>66</v>
      </c>
      <c r="B82" s="2">
        <v>1.0</v>
      </c>
      <c r="D82" s="2" t="s">
        <v>929</v>
      </c>
    </row>
    <row r="83" ht="15.75" customHeight="1">
      <c r="A83" s="1" t="s">
        <v>67</v>
      </c>
      <c r="B83" s="1"/>
      <c r="C83" s="5">
        <f>B84+B85+B86+B87+B88+B89+B90+B91</f>
        <v>8</v>
      </c>
      <c r="D83" s="2" t="s">
        <v>921</v>
      </c>
      <c r="F83" s="2" t="str">
        <f>A83</f>
        <v>IAB-RP-C03</v>
      </c>
      <c r="G83" s="2" t="str">
        <f>A84</f>
        <v>CUBEINSIDE DESIGN LTD. (Est‐2009)</v>
      </c>
      <c r="H83" s="2" t="str">
        <f>A85</f>
        <v>Office Address: House‐5B, Road‐05, Block‐I, Banani, Dhaka‐1213</v>
      </c>
      <c r="I83" s="2" t="str">
        <f>A86</f>
        <v>Email ID: cubeinside@gmail.com</v>
      </c>
      <c r="J83" s="2" t="str">
        <f>A87</f>
        <v>Website : www.cubeinsidebd.com Contact: +88‐02‐9870193</v>
      </c>
      <c r="K83" s="2" t="str">
        <f>A88</f>
        <v>NAME OF PROPRIETOR/ PARTNER/ DIRECTOR(s) &amp; DESIGNATION</v>
      </c>
      <c r="L83" s="2" t="str">
        <f>A89</f>
        <v>Ar. Khandaker Ashifuzzaman (A‐194) Managing Director &amp; Ar. Ahmed Firoj Ul Hoque (H‐213) Chairman &amp; Ar. Shakhawat Hossain (H‐216) Director</v>
      </c>
      <c r="M83" s="2" t="str">
        <f>A90</f>
        <v>FULL TIME ARCHITECTURAL PERSONNEL OF THE FIRM/COMPANY:</v>
      </c>
      <c r="N83" s="2" t="str">
        <f>A91</f>
        <v>IAB Member Architect 7 Architectural Graduate 3 Total 10</v>
      </c>
    </row>
    <row r="84" ht="15.75" customHeight="1">
      <c r="A84" s="2" t="s">
        <v>68</v>
      </c>
      <c r="B84" s="2">
        <v>1.0</v>
      </c>
      <c r="D84" s="2" t="s">
        <v>922</v>
      </c>
    </row>
    <row r="85" ht="15.75" customHeight="1">
      <c r="A85" s="2" t="s">
        <v>69</v>
      </c>
      <c r="B85" s="2">
        <v>1.0</v>
      </c>
      <c r="D85" s="2" t="s">
        <v>923</v>
      </c>
    </row>
    <row r="86" ht="15.75" customHeight="1">
      <c r="A86" s="2" t="s">
        <v>70</v>
      </c>
      <c r="B86" s="2">
        <v>1.0</v>
      </c>
      <c r="D86" s="2" t="s">
        <v>924</v>
      </c>
    </row>
    <row r="87" ht="15.75" customHeight="1">
      <c r="A87" s="2" t="s">
        <v>71</v>
      </c>
      <c r="B87" s="2">
        <v>1.0</v>
      </c>
      <c r="D87" s="2" t="s">
        <v>925</v>
      </c>
    </row>
    <row r="88" ht="15.75" customHeight="1">
      <c r="A88" s="2" t="s">
        <v>7</v>
      </c>
      <c r="B88" s="2">
        <v>1.0</v>
      </c>
      <c r="D88" s="2" t="s">
        <v>926</v>
      </c>
    </row>
    <row r="89" ht="15.75" customHeight="1">
      <c r="A89" s="2" t="s">
        <v>933</v>
      </c>
      <c r="B89" s="2">
        <v>1.0</v>
      </c>
      <c r="D89" s="2" t="s">
        <v>927</v>
      </c>
    </row>
    <row r="90" ht="15.75" customHeight="1">
      <c r="A90" s="2" t="s">
        <v>37</v>
      </c>
      <c r="B90" s="2">
        <v>1.0</v>
      </c>
      <c r="D90" s="2" t="s">
        <v>928</v>
      </c>
    </row>
    <row r="91" ht="15.75" customHeight="1">
      <c r="A91" s="2" t="s">
        <v>75</v>
      </c>
      <c r="B91" s="2">
        <v>1.0</v>
      </c>
      <c r="D91" s="2" t="s">
        <v>929</v>
      </c>
    </row>
    <row r="92" ht="15.75" customHeight="1">
      <c r="A92" s="1" t="s">
        <v>76</v>
      </c>
      <c r="B92" s="1"/>
      <c r="C92" s="5">
        <f>B93+B94+B95+B96+B97+B98+B99+B100</f>
        <v>8</v>
      </c>
      <c r="D92" s="2" t="s">
        <v>921</v>
      </c>
      <c r="F92" s="2" t="str">
        <f>A92</f>
        <v>IAB-RP-D01</v>
      </c>
      <c r="G92" s="2" t="str">
        <f>A93</f>
        <v>DESH UPODESH LTD(Est‐1978)</v>
      </c>
      <c r="H92" s="2" t="str">
        <f>A94</f>
        <v>Office Address: House 80/C (4th floor), Block‐D, Asad Avenue, Mohammadpur, Dhaka‐1207</v>
      </c>
      <c r="I92" s="2" t="str">
        <f>A95</f>
        <v>Email ID: munirullah@gmail.com, alfaz.hossain1@gmail.com</v>
      </c>
      <c r="J92" s="2" t="str">
        <f>A96</f>
        <v>Website : www.deshupodesh.com Contact: +88‐02‐8117694, 9137154</v>
      </c>
      <c r="K92" s="2" t="str">
        <f>A97</f>
        <v>NAME OF PROPRIETOR/ PARTNER/ DIRECTOR(s) &amp; DESIGNATION</v>
      </c>
      <c r="L92" s="2" t="str">
        <f>A98</f>
        <v>Ar. Munirul Haque (H‐011) Managing Director &amp; Ar. Alfaz Hossain (H‐003) Director</v>
      </c>
      <c r="M92" s="2" t="str">
        <f>A99</f>
        <v>FULL TIME TECHNICAL PERSONNEL OF THE FIRM/COMPANY:</v>
      </c>
      <c r="N92" s="2" t="str">
        <f>A100</f>
        <v>IAB Member Architect 2 Architectural Graduate 17 Total 19</v>
      </c>
    </row>
    <row r="93" ht="15.75" customHeight="1">
      <c r="A93" s="2" t="s">
        <v>77</v>
      </c>
      <c r="B93" s="2">
        <v>1.0</v>
      </c>
      <c r="D93" s="2" t="s">
        <v>922</v>
      </c>
    </row>
    <row r="94" ht="15.75" customHeight="1">
      <c r="A94" s="2" t="s">
        <v>78</v>
      </c>
      <c r="B94" s="2">
        <v>1.0</v>
      </c>
      <c r="D94" s="2" t="s">
        <v>923</v>
      </c>
    </row>
    <row r="95" ht="15.75" customHeight="1">
      <c r="A95" s="2" t="s">
        <v>79</v>
      </c>
      <c r="B95" s="2">
        <v>1.0</v>
      </c>
      <c r="D95" s="2" t="s">
        <v>924</v>
      </c>
    </row>
    <row r="96" ht="15.75" customHeight="1">
      <c r="A96" s="2" t="s">
        <v>80</v>
      </c>
      <c r="B96" s="2">
        <v>1.0</v>
      </c>
      <c r="D96" s="2" t="s">
        <v>925</v>
      </c>
    </row>
    <row r="97" ht="15.75" customHeight="1">
      <c r="A97" s="2" t="s">
        <v>7</v>
      </c>
      <c r="B97" s="2">
        <v>1.0</v>
      </c>
      <c r="D97" s="2" t="s">
        <v>926</v>
      </c>
    </row>
    <row r="98" ht="15.75" customHeight="1">
      <c r="A98" s="2" t="s">
        <v>934</v>
      </c>
      <c r="B98" s="2">
        <v>1.0</v>
      </c>
      <c r="D98" s="2" t="s">
        <v>927</v>
      </c>
    </row>
    <row r="99" ht="15.75" customHeight="1">
      <c r="A99" s="2" t="s">
        <v>9</v>
      </c>
      <c r="B99" s="2">
        <v>1.0</v>
      </c>
      <c r="D99" s="2" t="s">
        <v>928</v>
      </c>
    </row>
    <row r="100" ht="15.75" customHeight="1">
      <c r="A100" s="2" t="s">
        <v>83</v>
      </c>
      <c r="B100" s="2">
        <v>1.0</v>
      </c>
      <c r="D100" s="2" t="s">
        <v>929</v>
      </c>
    </row>
    <row r="101" ht="15.75" customHeight="1">
      <c r="A101" s="1" t="s">
        <v>84</v>
      </c>
      <c r="B101" s="1"/>
      <c r="C101" s="5">
        <f>B102+B103+B104+B106+B107+B108+B109+B110</f>
        <v>7</v>
      </c>
      <c r="D101" s="2" t="s">
        <v>921</v>
      </c>
      <c r="F101" s="2" t="str">
        <f>A101</f>
        <v>IAB-RP-D02</v>
      </c>
      <c r="G101" s="2" t="str">
        <f>A102</f>
        <v>DESIGN CELL (Est‐ )</v>
      </c>
      <c r="H101" s="2" t="str">
        <f>A103</f>
        <v>Office Address: 75 Indera Road, Metro Garden, Ground Floor, Flat‐GC, Dhaka‐1215</v>
      </c>
      <c r="I101" s="2" t="str">
        <f>A104</f>
        <v>Email ID: designcell.cell@gmail.com Contact: +88‐02‐ 8150612</v>
      </c>
      <c r="J101" s="2" t="str">
        <f>A105</f>
        <v>Website:</v>
      </c>
      <c r="K101" s="2" t="str">
        <f>A106</f>
        <v>NAME OF PROPRIETOR/ PARTNER/ DIRECTOR(s) &amp; DESIGNATION</v>
      </c>
      <c r="L101" s="2" t="str">
        <f>A107</f>
        <v>Ar. Arif Hasan (H‐136) CEO</v>
      </c>
      <c r="M101" s="2" t="str">
        <f>A108</f>
        <v>FULL TIME TECHNICAL PERSONNEL OF THE FIRM/COMPANY:</v>
      </c>
      <c r="N101" s="2" t="str">
        <f>A109</f>
        <v>IAB Member Architect 1 Architectural Graduate 3 Total 4</v>
      </c>
    </row>
    <row r="102" ht="15.75" customHeight="1">
      <c r="A102" s="2" t="s">
        <v>85</v>
      </c>
      <c r="B102" s="2">
        <v>1.0</v>
      </c>
      <c r="D102" s="2" t="s">
        <v>922</v>
      </c>
    </row>
    <row r="103" ht="15.75" customHeight="1">
      <c r="A103" s="2" t="s">
        <v>86</v>
      </c>
      <c r="B103" s="2">
        <v>1.0</v>
      </c>
      <c r="D103" s="2" t="s">
        <v>923</v>
      </c>
    </row>
    <row r="104" ht="15.75" customHeight="1">
      <c r="A104" s="2" t="s">
        <v>87</v>
      </c>
      <c r="B104" s="2">
        <v>1.0</v>
      </c>
      <c r="D104" s="2" t="s">
        <v>924</v>
      </c>
    </row>
    <row r="105" ht="15.75" customHeight="1">
      <c r="A105" s="2" t="s">
        <v>289</v>
      </c>
      <c r="B105" s="2"/>
      <c r="D105" s="2" t="s">
        <v>925</v>
      </c>
    </row>
    <row r="106" ht="15.75" customHeight="1">
      <c r="A106" s="2" t="s">
        <v>7</v>
      </c>
      <c r="B106" s="2">
        <v>1.0</v>
      </c>
      <c r="D106" s="2" t="s">
        <v>926</v>
      </c>
    </row>
    <row r="107" ht="15.75" customHeight="1">
      <c r="A107" s="2" t="s">
        <v>88</v>
      </c>
      <c r="B107" s="2">
        <v>1.0</v>
      </c>
      <c r="D107" s="2" t="s">
        <v>927</v>
      </c>
    </row>
    <row r="108" ht="15.75" customHeight="1">
      <c r="A108" s="2" t="s">
        <v>9</v>
      </c>
      <c r="B108" s="2">
        <v>1.0</v>
      </c>
      <c r="D108" s="2" t="s">
        <v>928</v>
      </c>
    </row>
    <row r="109" ht="15.75" customHeight="1">
      <c r="A109" s="2" t="s">
        <v>89</v>
      </c>
      <c r="B109" s="2">
        <v>1.0</v>
      </c>
      <c r="D109" s="2" t="s">
        <v>929</v>
      </c>
    </row>
    <row r="110" ht="15.75" customHeight="1">
      <c r="A110" s="1" t="s">
        <v>90</v>
      </c>
      <c r="B110" s="1"/>
      <c r="C110" s="5">
        <f>B111+B112+B113+B115+B116+B117+B118+B119</f>
        <v>7</v>
      </c>
      <c r="D110" s="2" t="s">
        <v>921</v>
      </c>
      <c r="F110" s="2" t="str">
        <f>A110</f>
        <v>IAB-RP-D03</v>
      </c>
      <c r="G110" s="2" t="str">
        <f>A111</f>
        <v>DESIGN ENGINEERS &amp; ARCHITECTS (Est‐1992)</v>
      </c>
      <c r="H110" s="2" t="str">
        <f>A112</f>
        <v>Office Address: House‐14, Road‐9, Sector‐4, Uttara</v>
      </c>
      <c r="I110" s="2" t="str">
        <f>A113</f>
        <v>Email ID: tjl_slm@yahoo.com Contact: +88‐02‐9886055</v>
      </c>
      <c r="J110" s="2" t="str">
        <f>A114</f>
        <v>Website:</v>
      </c>
      <c r="K110" s="2" t="str">
        <f>A115</f>
        <v>NAME OF PROPRIETOR/ PARTNER/ DIRECTOR(s) &amp; DESIGNATION</v>
      </c>
      <c r="L110" s="2" t="str">
        <f>A116</f>
        <v>Ar. Tajul Islam (I‐019) Managing Director</v>
      </c>
      <c r="M110" s="2" t="str">
        <f>A117</f>
        <v>FULL TIME TECHNICAL PERSONNEL OF THE FIRM/COMPANY:</v>
      </c>
      <c r="N110" s="2" t="str">
        <f>A118</f>
        <v>IAB Member Architect 2 Architectural Graduate 7 Total 9</v>
      </c>
    </row>
    <row r="111" ht="15.75" customHeight="1">
      <c r="A111" s="2" t="s">
        <v>91</v>
      </c>
      <c r="B111" s="2">
        <v>1.0</v>
      </c>
      <c r="D111" s="2" t="s">
        <v>922</v>
      </c>
    </row>
    <row r="112" ht="15.75" customHeight="1">
      <c r="A112" s="2" t="s">
        <v>92</v>
      </c>
      <c r="B112" s="2">
        <v>1.0</v>
      </c>
      <c r="D112" s="2" t="s">
        <v>923</v>
      </c>
    </row>
    <row r="113" ht="15.75" customHeight="1">
      <c r="A113" s="2" t="s">
        <v>93</v>
      </c>
      <c r="B113" s="2">
        <v>1.0</v>
      </c>
      <c r="D113" s="2" t="s">
        <v>924</v>
      </c>
    </row>
    <row r="114" ht="15.75" customHeight="1">
      <c r="A114" s="2" t="s">
        <v>289</v>
      </c>
      <c r="B114" s="2"/>
      <c r="D114" s="2" t="s">
        <v>925</v>
      </c>
    </row>
    <row r="115" ht="15.75" customHeight="1">
      <c r="A115" s="2" t="s">
        <v>7</v>
      </c>
      <c r="B115" s="2">
        <v>1.0</v>
      </c>
      <c r="D115" s="2" t="s">
        <v>926</v>
      </c>
    </row>
    <row r="116" ht="15.75" customHeight="1">
      <c r="A116" s="2" t="s">
        <v>94</v>
      </c>
      <c r="B116" s="2">
        <v>1.0</v>
      </c>
      <c r="D116" s="2" t="s">
        <v>927</v>
      </c>
    </row>
    <row r="117" ht="15.75" customHeight="1">
      <c r="A117" s="2" t="s">
        <v>9</v>
      </c>
      <c r="B117" s="2">
        <v>1.0</v>
      </c>
      <c r="D117" s="2" t="s">
        <v>928</v>
      </c>
    </row>
    <row r="118" ht="15.75" customHeight="1">
      <c r="A118" s="2" t="s">
        <v>95</v>
      </c>
      <c r="B118" s="2">
        <v>1.0</v>
      </c>
      <c r="D118" s="2" t="s">
        <v>929</v>
      </c>
    </row>
    <row r="119" ht="15.75" customHeight="1">
      <c r="A119" s="1" t="s">
        <v>96</v>
      </c>
      <c r="B119" s="1"/>
      <c r="C119" s="5">
        <f>B120+B121+B122+B123+B124+B125+B126+B127</f>
        <v>8</v>
      </c>
      <c r="D119" s="2" t="s">
        <v>921</v>
      </c>
      <c r="F119" s="2" t="str">
        <f>A119</f>
        <v>IAB-RP-D04</v>
      </c>
      <c r="G119" s="2" t="str">
        <f>A120</f>
        <v>DESIGN VISION ASSOCIATES LTD (Est‐1998)</v>
      </c>
      <c r="H119" s="2" t="str">
        <f>A121</f>
        <v>Office Address: AAA Tower, Plot‐80, Block‐J, baridhara pragati Sharani, Dhaka‐1212</v>
      </c>
      <c r="I119" s="2" t="str">
        <f>A122</f>
        <v>Email ID: info@designvision.com.bd</v>
      </c>
      <c r="J119" s="2" t="str">
        <f>A123</f>
        <v>Website : www.designvision.com.bd Contact: +88‐02‐9895183, 8834353</v>
      </c>
      <c r="K119" s="2" t="str">
        <f>A124</f>
        <v>NAME OF PROPRIETOR/ PARTNER/ DIRECTOR(s) &amp; DESIGNATION</v>
      </c>
      <c r="L119" s="2" t="str">
        <f>A125</f>
        <v>Ar. Alamgir Jalil (J‐014) Managing Director &amp; Ar. Shamina Reza Ava (CA‐020) Chairman</v>
      </c>
      <c r="M119" s="2" t="str">
        <f>A126</f>
        <v>FULL TIME TECHNICAL PERSONNEL OF THE FIRM/COMPANY:</v>
      </c>
      <c r="N119" s="2" t="str">
        <f>A127</f>
        <v>IAB Member Architect 7 Architectural Graduate 5 Total 12</v>
      </c>
    </row>
    <row r="120" ht="15.75" customHeight="1">
      <c r="A120" s="2" t="s">
        <v>97</v>
      </c>
      <c r="B120" s="2">
        <v>1.0</v>
      </c>
      <c r="D120" s="2" t="s">
        <v>922</v>
      </c>
    </row>
    <row r="121" ht="15.75" customHeight="1">
      <c r="A121" s="2" t="s">
        <v>98</v>
      </c>
      <c r="B121" s="2">
        <v>1.0</v>
      </c>
      <c r="D121" s="2" t="s">
        <v>923</v>
      </c>
    </row>
    <row r="122" ht="15.75" customHeight="1">
      <c r="A122" s="2" t="s">
        <v>99</v>
      </c>
      <c r="B122" s="2">
        <v>1.0</v>
      </c>
      <c r="D122" s="2" t="s">
        <v>924</v>
      </c>
    </row>
    <row r="123" ht="15.75" customHeight="1">
      <c r="A123" s="2" t="s">
        <v>100</v>
      </c>
      <c r="B123" s="2">
        <v>1.0</v>
      </c>
      <c r="D123" s="2" t="s">
        <v>925</v>
      </c>
    </row>
    <row r="124" ht="15.75" customHeight="1">
      <c r="A124" s="2" t="s">
        <v>7</v>
      </c>
      <c r="B124" s="2">
        <v>1.0</v>
      </c>
      <c r="D124" s="2" t="s">
        <v>926</v>
      </c>
    </row>
    <row r="125" ht="15.75" customHeight="1">
      <c r="A125" s="2" t="s">
        <v>935</v>
      </c>
      <c r="B125" s="2">
        <v>1.0</v>
      </c>
      <c r="D125" s="2" t="s">
        <v>927</v>
      </c>
    </row>
    <row r="126" ht="15.75" customHeight="1">
      <c r="A126" s="2" t="s">
        <v>9</v>
      </c>
      <c r="B126" s="2">
        <v>1.0</v>
      </c>
      <c r="D126" s="2" t="s">
        <v>928</v>
      </c>
    </row>
    <row r="127" ht="15.75" customHeight="1">
      <c r="A127" s="2" t="s">
        <v>103</v>
      </c>
      <c r="B127" s="2">
        <v>1.0</v>
      </c>
      <c r="D127" s="2" t="s">
        <v>929</v>
      </c>
    </row>
    <row r="128" ht="15.75" customHeight="1">
      <c r="A128" s="1" t="s">
        <v>104</v>
      </c>
      <c r="B128" s="1"/>
      <c r="C128" s="5">
        <f>B129+B130+B131+B132+B133+B134+B135+B136</f>
        <v>8</v>
      </c>
      <c r="D128" s="2" t="s">
        <v>921</v>
      </c>
      <c r="F128" s="2" t="str">
        <f>A128</f>
        <v>IAB-RP-D05</v>
      </c>
      <c r="G128" s="2" t="str">
        <f>A129</f>
        <v>DOMUS (Est‐may 1977)</v>
      </c>
      <c r="H128" s="2" t="str">
        <f>A130</f>
        <v>Office Address: Safura Tower(level 14), 20 Kamal Atartuk Avenue,Banani C/A, Banani ,Dhaka 1213</v>
      </c>
      <c r="I128" s="2" t="str">
        <f>A131</f>
        <v>Email ID: domus@accesstel.net , domusdesk@gmail.com</v>
      </c>
      <c r="J128" s="2" t="str">
        <f>A132</f>
        <v>Website : www.domusbdarchitects.com Contact: +88‐02‐8822629,9820968,9820969,9889418</v>
      </c>
      <c r="K128" s="2" t="str">
        <f>A133</f>
        <v>NAME OF PROPRIETOR/ PARTNER/ DIRECTOR(s) &amp; DESIGNATION</v>
      </c>
      <c r="L128" s="2" t="str">
        <f>A134</f>
        <v>Ar. Mustafa Ameen (A‐010) Proprietor</v>
      </c>
      <c r="M128" s="2" t="str">
        <f>A135</f>
        <v>FULL TIME TECHNICAL PERSONNEL OF THE FIRM/COMPANY:</v>
      </c>
      <c r="N128" s="2" t="str">
        <f>A136</f>
        <v>IAB Member Architect 6 Architectural Graduate 12 Total 18</v>
      </c>
    </row>
    <row r="129" ht="15.75" customHeight="1">
      <c r="A129" s="2" t="s">
        <v>105</v>
      </c>
      <c r="B129" s="2">
        <v>1.0</v>
      </c>
      <c r="D129" s="2" t="s">
        <v>922</v>
      </c>
    </row>
    <row r="130" ht="15.75" customHeight="1">
      <c r="A130" s="2" t="s">
        <v>106</v>
      </c>
      <c r="B130" s="2">
        <v>1.0</v>
      </c>
      <c r="D130" s="2" t="s">
        <v>923</v>
      </c>
    </row>
    <row r="131" ht="15.75" customHeight="1">
      <c r="A131" s="2" t="s">
        <v>107</v>
      </c>
      <c r="B131" s="2">
        <v>1.0</v>
      </c>
      <c r="D131" s="2" t="s">
        <v>924</v>
      </c>
    </row>
    <row r="132" ht="15.75" customHeight="1">
      <c r="A132" s="2" t="s">
        <v>108</v>
      </c>
      <c r="B132" s="2">
        <v>1.0</v>
      </c>
      <c r="D132" s="2" t="s">
        <v>925</v>
      </c>
    </row>
    <row r="133" ht="15.75" customHeight="1">
      <c r="A133" s="2" t="s">
        <v>7</v>
      </c>
      <c r="B133" s="2">
        <v>1.0</v>
      </c>
      <c r="D133" s="2" t="s">
        <v>926</v>
      </c>
    </row>
    <row r="134" ht="15.75" customHeight="1">
      <c r="A134" s="2" t="s">
        <v>109</v>
      </c>
      <c r="B134" s="2">
        <v>1.0</v>
      </c>
      <c r="D134" s="2" t="s">
        <v>927</v>
      </c>
    </row>
    <row r="135" ht="15.75" customHeight="1">
      <c r="A135" s="2" t="s">
        <v>9</v>
      </c>
      <c r="B135" s="2">
        <v>1.0</v>
      </c>
      <c r="D135" s="2" t="s">
        <v>928</v>
      </c>
    </row>
    <row r="136" ht="15.75" customHeight="1">
      <c r="A136" s="2" t="s">
        <v>110</v>
      </c>
      <c r="B136" s="2">
        <v>1.0</v>
      </c>
      <c r="D136" s="2" t="s">
        <v>929</v>
      </c>
    </row>
    <row r="137" ht="15.75" customHeight="1">
      <c r="A137" s="1" t="s">
        <v>111</v>
      </c>
      <c r="B137" s="1"/>
      <c r="C137" s="5">
        <f>B138+B139+B140+B142+B143+B144+B145+B146</f>
        <v>7</v>
      </c>
      <c r="D137" s="2" t="s">
        <v>921</v>
      </c>
      <c r="F137" s="2" t="str">
        <f>A137</f>
        <v>IAB-RP-D06</v>
      </c>
      <c r="G137" s="2" t="str">
        <f>A138</f>
        <v>DCON DESIGN STUDIO (Est‐2005)</v>
      </c>
      <c r="H137" s="2" t="str">
        <f>A139</f>
        <v>Office Address: 6/10, 1st Floor, Lalmatia, Block‐A, Dhaka</v>
      </c>
      <c r="I137" s="2" t="str">
        <f>A140</f>
        <v>Email ID: dcon.design@gmail.com, faisal2395@hotmail.com Contact: : +8801711614551</v>
      </c>
      <c r="J137" s="2" t="str">
        <f>A141</f>
        <v>website:</v>
      </c>
      <c r="K137" s="2" t="str">
        <f>A142</f>
        <v>NAME OF PROPRIETOR/ PARTNER/ DIRECTOR(s) &amp; DESIGNATION</v>
      </c>
      <c r="L137" s="2" t="str">
        <f>A143</f>
        <v>Ar. Abu Anas Faisal (F‐012) Partner</v>
      </c>
      <c r="M137" s="2" t="str">
        <f>A144</f>
        <v>FULL TIME ARCHITECTURAL PERSONNEL OF THE FIRM/COMPANY:</v>
      </c>
      <c r="N137" s="2" t="str">
        <f>A145</f>
        <v>IAB Member Architect 3 Architectural Graduate 3 Total 6</v>
      </c>
    </row>
    <row r="138" ht="15.75" customHeight="1">
      <c r="A138" s="2" t="s">
        <v>112</v>
      </c>
      <c r="B138" s="2">
        <v>1.0</v>
      </c>
      <c r="D138" s="2" t="s">
        <v>922</v>
      </c>
    </row>
    <row r="139" ht="15.75" customHeight="1">
      <c r="A139" s="2" t="s">
        <v>113</v>
      </c>
      <c r="B139" s="2">
        <v>1.0</v>
      </c>
      <c r="D139" s="2" t="s">
        <v>923</v>
      </c>
    </row>
    <row r="140" ht="15.75" customHeight="1">
      <c r="A140" s="2" t="s">
        <v>114</v>
      </c>
      <c r="B140" s="2">
        <v>1.0</v>
      </c>
      <c r="D140" s="2" t="s">
        <v>924</v>
      </c>
    </row>
    <row r="141" ht="15.75" customHeight="1">
      <c r="A141" s="2" t="s">
        <v>936</v>
      </c>
      <c r="B141" s="2"/>
      <c r="D141" s="2" t="s">
        <v>925</v>
      </c>
    </row>
    <row r="142" ht="15.75" customHeight="1">
      <c r="A142" s="2" t="s">
        <v>7</v>
      </c>
      <c r="B142" s="2">
        <v>1.0</v>
      </c>
      <c r="D142" s="2" t="s">
        <v>926</v>
      </c>
    </row>
    <row r="143" ht="15.75" customHeight="1">
      <c r="A143" s="2" t="s">
        <v>115</v>
      </c>
      <c r="B143" s="2">
        <v>1.0</v>
      </c>
      <c r="D143" s="2" t="s">
        <v>927</v>
      </c>
    </row>
    <row r="144" ht="15.75" customHeight="1">
      <c r="A144" s="2" t="s">
        <v>37</v>
      </c>
      <c r="B144" s="2">
        <v>1.0</v>
      </c>
      <c r="D144" s="2" t="s">
        <v>928</v>
      </c>
    </row>
    <row r="145" ht="15.75" customHeight="1">
      <c r="A145" s="2" t="s">
        <v>116</v>
      </c>
      <c r="B145" s="2">
        <v>1.0</v>
      </c>
      <c r="D145" s="2" t="s">
        <v>929</v>
      </c>
    </row>
    <row r="146" ht="15.75" customHeight="1">
      <c r="A146" s="1" t="s">
        <v>117</v>
      </c>
      <c r="B146" s="1"/>
      <c r="C146" s="5">
        <f>B147+B148+B149+B150+B151+B152+B153+B154</f>
        <v>8</v>
      </c>
      <c r="D146" s="2" t="s">
        <v>921</v>
      </c>
      <c r="F146" s="2" t="str">
        <f>A146</f>
        <v>IAB-RP-D07</v>
      </c>
      <c r="G146" s="2" t="str">
        <f>A147</f>
        <v>DEHSAR WORKS (Est‐2015)</v>
      </c>
      <c r="H146" s="2" t="str">
        <f>A148</f>
        <v>Office Address: Apt‐LV8, House‐10, Road‐6/A, Dhanmondi R/A, Dhaka‐1209</v>
      </c>
      <c r="I146" s="2" t="str">
        <f>A149</f>
        <v>Email ID: rashed@dehsarworks.com</v>
      </c>
      <c r="J146" s="2" t="str">
        <f>A150</f>
        <v>Website : www.dehsarworks.com Contact: +8801818064118</v>
      </c>
      <c r="K146" s="2" t="str">
        <f>A151</f>
        <v>NAME OF PROPRIETOR/ PARTNER/ DIRECTOR(s) &amp; DESIGNATION</v>
      </c>
      <c r="L146" s="2" t="str">
        <f>A152</f>
        <v>Ar. Rashed Hassan Chowdhury (C‐069) Principal Architect</v>
      </c>
      <c r="M146" s="2" t="str">
        <f>A153</f>
        <v>FULL TIME ARCHITECTURAL PERSONNEL OF THE FIRM/COMPANY:</v>
      </c>
      <c r="N146" s="2" t="str">
        <f>A154</f>
        <v>IAB Member Architect 4 Architectural Graduate 5 Total 9</v>
      </c>
    </row>
    <row r="147" ht="15.75" customHeight="1">
      <c r="A147" s="2" t="s">
        <v>118</v>
      </c>
      <c r="B147" s="2">
        <v>1.0</v>
      </c>
      <c r="D147" s="2" t="s">
        <v>922</v>
      </c>
    </row>
    <row r="148" ht="15.75" customHeight="1">
      <c r="A148" s="2" t="s">
        <v>119</v>
      </c>
      <c r="B148" s="2">
        <v>1.0</v>
      </c>
      <c r="D148" s="2" t="s">
        <v>923</v>
      </c>
    </row>
    <row r="149" ht="15.75" customHeight="1">
      <c r="A149" s="2" t="s">
        <v>120</v>
      </c>
      <c r="B149" s="2">
        <v>1.0</v>
      </c>
      <c r="D149" s="2" t="s">
        <v>924</v>
      </c>
    </row>
    <row r="150" ht="15.75" customHeight="1">
      <c r="A150" s="2" t="s">
        <v>121</v>
      </c>
      <c r="B150" s="2">
        <v>1.0</v>
      </c>
      <c r="D150" s="2" t="s">
        <v>925</v>
      </c>
    </row>
    <row r="151" ht="15.75" customHeight="1">
      <c r="A151" s="2" t="s">
        <v>7</v>
      </c>
      <c r="B151" s="2">
        <v>1.0</v>
      </c>
      <c r="D151" s="2" t="s">
        <v>926</v>
      </c>
    </row>
    <row r="152" ht="15.75" customHeight="1">
      <c r="A152" s="2" t="s">
        <v>122</v>
      </c>
      <c r="B152" s="2">
        <v>1.0</v>
      </c>
      <c r="D152" s="2" t="s">
        <v>927</v>
      </c>
    </row>
    <row r="153" ht="15.75" customHeight="1">
      <c r="A153" s="2" t="s">
        <v>37</v>
      </c>
      <c r="B153" s="2">
        <v>1.0</v>
      </c>
      <c r="D153" s="2" t="s">
        <v>928</v>
      </c>
    </row>
    <row r="154" ht="15.75" customHeight="1">
      <c r="A154" s="2" t="s">
        <v>123</v>
      </c>
      <c r="B154" s="2">
        <v>1.0</v>
      </c>
      <c r="D154" s="2" t="s">
        <v>929</v>
      </c>
    </row>
    <row r="155" ht="15.75" customHeight="1">
      <c r="A155" s="1" t="s">
        <v>124</v>
      </c>
      <c r="B155" s="1"/>
      <c r="C155" s="5">
        <f>B156+B157+B158++B159+B160+B161+B162+B163</f>
        <v>8</v>
      </c>
      <c r="D155" s="2" t="s">
        <v>921</v>
      </c>
      <c r="F155" s="2" t="str">
        <f>A155</f>
        <v>IAB-RP-D08</v>
      </c>
      <c r="G155" s="2" t="str">
        <f>A156</f>
        <v>DIAGONAL ARCHITECTS (Est‐2014)</v>
      </c>
      <c r="H155" s="2" t="str">
        <f>A157</f>
        <v>Office Address: Flat‐A‐14, (14 th Floor), Building‐12, Bashati Provati, Ring Road, Shyamoli, Dhaka‐1207.</v>
      </c>
      <c r="I155" s="2" t="str">
        <f>A158</f>
        <v>Email ID: fairoze@diagonalarchitects‐bd.com Contact: +88‐02‐9126473, 8801766490119</v>
      </c>
      <c r="J155" s="2" t="str">
        <f>A159</f>
        <v>Website : www.diagonalarchitects‐bd.com</v>
      </c>
      <c r="K155" s="2" t="str">
        <f>A160</f>
        <v>NAME OF PROPRIETOR/ PARTNER/ DIRECTOR(s) &amp; DESIGNATION</v>
      </c>
      <c r="L155" s="2" t="str">
        <f>A161</f>
        <v>Ar. Fairoze Shamim (S‐067) CEO &amp; Principal Architect</v>
      </c>
      <c r="M155" s="2" t="str">
        <f>A162</f>
        <v>FULL TIME ARCHITECTURAL PERSONNEL OF THE FIRM/COMPANY:</v>
      </c>
      <c r="N155" s="2" t="str">
        <f>A163</f>
        <v>IAB Member Architect 1 Architectural Graduate 2 Total 3</v>
      </c>
    </row>
    <row r="156" ht="15.75" customHeight="1">
      <c r="A156" s="2" t="s">
        <v>125</v>
      </c>
      <c r="B156" s="2">
        <v>1.0</v>
      </c>
      <c r="D156" s="2" t="s">
        <v>922</v>
      </c>
    </row>
    <row r="157" ht="15.75" customHeight="1">
      <c r="A157" s="2" t="s">
        <v>126</v>
      </c>
      <c r="B157" s="2">
        <v>1.0</v>
      </c>
      <c r="D157" s="2" t="s">
        <v>923</v>
      </c>
    </row>
    <row r="158" ht="15.75" customHeight="1">
      <c r="A158" s="2" t="s">
        <v>937</v>
      </c>
      <c r="B158" s="2">
        <v>1.0</v>
      </c>
      <c r="D158" s="2" t="s">
        <v>924</v>
      </c>
    </row>
    <row r="159" ht="15.75" customHeight="1">
      <c r="A159" s="2" t="s">
        <v>128</v>
      </c>
      <c r="B159" s="2">
        <v>1.0</v>
      </c>
      <c r="D159" s="2" t="s">
        <v>925</v>
      </c>
    </row>
    <row r="160" ht="15.75" customHeight="1">
      <c r="A160" s="2" t="s">
        <v>7</v>
      </c>
      <c r="B160" s="2">
        <v>1.0</v>
      </c>
      <c r="D160" s="2" t="s">
        <v>926</v>
      </c>
    </row>
    <row r="161" ht="15.75" customHeight="1">
      <c r="A161" s="2" t="s">
        <v>129</v>
      </c>
      <c r="B161" s="2">
        <v>1.0</v>
      </c>
      <c r="D161" s="2" t="s">
        <v>927</v>
      </c>
    </row>
    <row r="162" ht="15.75" customHeight="1">
      <c r="A162" s="2" t="s">
        <v>37</v>
      </c>
      <c r="B162" s="2">
        <v>1.0</v>
      </c>
      <c r="D162" s="2" t="s">
        <v>928</v>
      </c>
    </row>
    <row r="163" ht="15.75" customHeight="1">
      <c r="A163" s="2" t="s">
        <v>130</v>
      </c>
      <c r="B163" s="2">
        <v>1.0</v>
      </c>
      <c r="D163" s="2" t="s">
        <v>929</v>
      </c>
    </row>
    <row r="164" ht="15.75" customHeight="1">
      <c r="A164" s="1" t="s">
        <v>131</v>
      </c>
      <c r="B164" s="1"/>
      <c r="C164" s="5">
        <f>B165+B166+B167+B168+B169+B170+B171+B172</f>
        <v>8</v>
      </c>
      <c r="D164" s="2" t="s">
        <v>921</v>
      </c>
      <c r="F164" s="2" t="str">
        <f>A164</f>
        <v>IAB-RP-D09</v>
      </c>
      <c r="G164" s="2" t="str">
        <f>A165</f>
        <v>DOT ARCHITECTS (Est‐2014)</v>
      </c>
      <c r="H164" s="2" t="str">
        <f>A166</f>
        <v>Office Address: House‐40, Road‐12, Block‐Kha, PC Culture Housing Society, Mohammadpur, Dhaka‐1207</v>
      </c>
      <c r="I164" s="2" t="str">
        <f>A167</f>
        <v>Email ID: Dot.architects@hotmail.com Contact: +8801612880595, +8801965370464</v>
      </c>
      <c r="J164" s="2" t="str">
        <f>A168</f>
        <v>NAME OF PROPRIETOR/ PARTNER/ DIRECTOR(s) &amp; DESIGNATION</v>
      </c>
      <c r="K164" s="2" t="str">
        <f>A169</f>
        <v>Ar. Sudeshna Shireen Chowdhury (C‐063) Partner Architect</v>
      </c>
      <c r="L164" s="2" t="str">
        <f>A170</f>
        <v>Ar. M Shihabul Wares (AW‐007) Partner Architect &amp; Ar. Eshita Rahman (AR‐143) Partner Architect</v>
      </c>
      <c r="M164" s="2" t="str">
        <f>A171</f>
        <v>FULL TIME ARCHITECTURAL PERSONNEL OF THE FIRM/COMPANY:</v>
      </c>
      <c r="N164" s="2" t="str">
        <f>A172</f>
        <v>IAB Member Architect 3 Architectural Graduate 1 Total 4</v>
      </c>
    </row>
    <row r="165" ht="15.75" customHeight="1">
      <c r="A165" s="2" t="s">
        <v>132</v>
      </c>
      <c r="B165" s="2">
        <v>1.0</v>
      </c>
      <c r="D165" s="2" t="s">
        <v>922</v>
      </c>
    </row>
    <row r="166" ht="15.75" customHeight="1">
      <c r="A166" s="2" t="s">
        <v>133</v>
      </c>
      <c r="B166" s="2">
        <v>1.0</v>
      </c>
      <c r="D166" s="2" t="s">
        <v>923</v>
      </c>
    </row>
    <row r="167" ht="15.75" customHeight="1">
      <c r="A167" s="2" t="s">
        <v>134</v>
      </c>
      <c r="B167" s="2">
        <v>1.0</v>
      </c>
      <c r="D167" s="2" t="s">
        <v>924</v>
      </c>
    </row>
    <row r="168" ht="15.75" customHeight="1">
      <c r="A168" s="2" t="s">
        <v>7</v>
      </c>
      <c r="B168" s="2">
        <v>1.0</v>
      </c>
      <c r="D168" s="2" t="s">
        <v>925</v>
      </c>
    </row>
    <row r="169" ht="15.75" customHeight="1">
      <c r="A169" s="2" t="s">
        <v>135</v>
      </c>
      <c r="B169" s="2">
        <v>1.0</v>
      </c>
      <c r="D169" s="2" t="s">
        <v>926</v>
      </c>
    </row>
    <row r="170" ht="15.75" customHeight="1">
      <c r="A170" s="2" t="s">
        <v>938</v>
      </c>
      <c r="B170" s="2">
        <v>1.0</v>
      </c>
      <c r="D170" s="2" t="s">
        <v>927</v>
      </c>
    </row>
    <row r="171" ht="15.75" customHeight="1">
      <c r="A171" s="2" t="s">
        <v>37</v>
      </c>
      <c r="B171" s="2">
        <v>1.0</v>
      </c>
      <c r="D171" s="2" t="s">
        <v>928</v>
      </c>
    </row>
    <row r="172" ht="15.75" customHeight="1">
      <c r="A172" s="2" t="s">
        <v>138</v>
      </c>
      <c r="B172" s="2">
        <v>1.0</v>
      </c>
      <c r="D172" s="2" t="s">
        <v>929</v>
      </c>
    </row>
    <row r="173" ht="15.75" customHeight="1">
      <c r="A173" s="1" t="s">
        <v>139</v>
      </c>
      <c r="B173" s="1"/>
      <c r="C173" s="5">
        <f>B174+B175+B176+B177+B178+B179+B180+B181</f>
        <v>8</v>
      </c>
      <c r="D173" s="2" t="s">
        <v>921</v>
      </c>
      <c r="F173" s="2" t="str">
        <f>A173</f>
        <v>IAB-RP-D10</v>
      </c>
      <c r="G173" s="2" t="str">
        <f>A174</f>
        <v>DWG (Est‐2008)</v>
      </c>
      <c r="H173" s="2" t="str">
        <f>A175</f>
        <v>Office Address: House‐56,Road‐27,Apt‐1 C1, Dhanmond R/A, Dhaka‐1209</v>
      </c>
      <c r="I173" s="2" t="str">
        <f>A176</f>
        <v>Email ID: info@dwg‐office.com</v>
      </c>
      <c r="J173" s="2" t="str">
        <f>A177</f>
        <v>Website : www.dwg‐office.com Contact: +88‐02‐9125596, 8801819287680</v>
      </c>
      <c r="K173" s="2" t="str">
        <f>A178</f>
        <v>NAME OF PROPRIETOR/ PARTNER/ DIRECTOR(s) &amp; DESIGNATION</v>
      </c>
      <c r="L173" s="2" t="str">
        <f>A179</f>
        <v>Ar. Naheed Farzana (F‐010) Managing Partner &amp; Ar. Tanzim Hasan Salim (S‐063) Partner Architect</v>
      </c>
      <c r="M173" s="2" t="str">
        <f>A180</f>
        <v>FULL TIME ARCHITECTURAL PERSONNEL OF THE FIRM/COMPANY:</v>
      </c>
      <c r="N173" s="2" t="str">
        <f>A181</f>
        <v>IAB Member Architect 3 Architectural Graduate 2 Total 5</v>
      </c>
    </row>
    <row r="174" ht="15.75" customHeight="1">
      <c r="A174" s="2" t="s">
        <v>140</v>
      </c>
      <c r="B174" s="2">
        <v>1.0</v>
      </c>
      <c r="D174" s="2" t="s">
        <v>922</v>
      </c>
    </row>
    <row r="175" ht="15.75" customHeight="1">
      <c r="A175" s="2" t="s">
        <v>141</v>
      </c>
      <c r="B175" s="2">
        <v>1.0</v>
      </c>
      <c r="D175" s="2" t="s">
        <v>923</v>
      </c>
    </row>
    <row r="176" ht="15.75" customHeight="1">
      <c r="A176" s="2" t="s">
        <v>142</v>
      </c>
      <c r="B176" s="2">
        <v>1.0</v>
      </c>
      <c r="D176" s="2" t="s">
        <v>924</v>
      </c>
    </row>
    <row r="177" ht="15.75" customHeight="1">
      <c r="A177" s="2" t="s">
        <v>939</v>
      </c>
      <c r="B177" s="2">
        <v>1.0</v>
      </c>
      <c r="D177" s="2" t="s">
        <v>925</v>
      </c>
    </row>
    <row r="178" ht="15.75" customHeight="1">
      <c r="A178" s="2" t="s">
        <v>7</v>
      </c>
      <c r="B178" s="2">
        <v>1.0</v>
      </c>
      <c r="D178" s="2" t="s">
        <v>926</v>
      </c>
    </row>
    <row r="179" ht="15.75" customHeight="1">
      <c r="A179" s="2" t="s">
        <v>940</v>
      </c>
      <c r="B179" s="2">
        <v>1.0</v>
      </c>
      <c r="D179" s="2" t="s">
        <v>927</v>
      </c>
    </row>
    <row r="180" ht="15.75" customHeight="1">
      <c r="A180" s="2" t="s">
        <v>37</v>
      </c>
      <c r="B180" s="2">
        <v>1.0</v>
      </c>
      <c r="D180" s="2" t="s">
        <v>928</v>
      </c>
    </row>
    <row r="181" ht="15.75" customHeight="1">
      <c r="A181" s="2" t="s">
        <v>146</v>
      </c>
      <c r="B181" s="2">
        <v>1.0</v>
      </c>
      <c r="D181" s="2" t="s">
        <v>929</v>
      </c>
    </row>
    <row r="182" ht="15.75" customHeight="1">
      <c r="A182" s="1" t="s">
        <v>147</v>
      </c>
      <c r="B182" s="1"/>
      <c r="C182" s="5">
        <f>B183+B184+B185+B186+B187+B188+B189+ B190</f>
        <v>8</v>
      </c>
      <c r="D182" s="2" t="s">
        <v>921</v>
      </c>
      <c r="F182" s="2" t="str">
        <f>A182</f>
        <v>IAB-RP-D11</v>
      </c>
      <c r="G182" s="2" t="str">
        <f>A183</f>
        <v>DA‐SEIN ARCHITECTS (Est‐2004)</v>
      </c>
      <c r="H182" s="2" t="str">
        <f>A184</f>
        <v>Office Address: Unit: 1/C/1, House: 56, Road: 27(old), 16 (new), Dhanmondi, Dhaka‐1209.</v>
      </c>
      <c r="I182" s="2" t="str">
        <f>A185</f>
        <v>Email ID: shawon.dasein@gmail.com Contact: +88 01711937254, +88 02‐9125596</v>
      </c>
      <c r="J182" s="2" t="str">
        <f>A186</f>
        <v>Website: www.dasein‐bd.com</v>
      </c>
      <c r="K182" s="2" t="str">
        <f>A187</f>
        <v>NAME OF PROPRIETOR/ PARTNER/ DIRECTOR(s) &amp; DESIGNATION</v>
      </c>
      <c r="L182" s="2" t="str">
        <f>A188</f>
        <v>Ar. Md Rashidur Rahman (R‐134) Principal Architect &amp; Tanzir Choudhury Tuhin Partner</v>
      </c>
      <c r="M182" s="2" t="str">
        <f>A189</f>
        <v>FULL TIME ARCHITECTURAL PERSONNEL OF THE FIRM/COMPANY:</v>
      </c>
      <c r="N182" s="2" t="str">
        <f>A190</f>
        <v>IAB Member Architect 1 Architectural Graduate 2 Total 3</v>
      </c>
    </row>
    <row r="183" ht="15.75" customHeight="1">
      <c r="A183" s="2" t="s">
        <v>148</v>
      </c>
      <c r="B183" s="2">
        <v>1.0</v>
      </c>
      <c r="D183" s="2" t="s">
        <v>922</v>
      </c>
    </row>
    <row r="184" ht="15.75" customHeight="1">
      <c r="A184" s="2" t="s">
        <v>149</v>
      </c>
      <c r="B184" s="2">
        <v>1.0</v>
      </c>
      <c r="D184" s="2" t="s">
        <v>923</v>
      </c>
    </row>
    <row r="185" ht="15.75" customHeight="1">
      <c r="A185" s="2" t="s">
        <v>150</v>
      </c>
      <c r="B185" s="2">
        <v>1.0</v>
      </c>
      <c r="D185" s="2" t="s">
        <v>924</v>
      </c>
    </row>
    <row r="186" ht="15.75" customHeight="1">
      <c r="A186" s="2" t="s">
        <v>151</v>
      </c>
      <c r="B186" s="2">
        <v>1.0</v>
      </c>
      <c r="D186" s="2" t="s">
        <v>925</v>
      </c>
    </row>
    <row r="187" ht="15.75" customHeight="1">
      <c r="A187" s="2" t="s">
        <v>7</v>
      </c>
      <c r="B187" s="2">
        <v>1.0</v>
      </c>
      <c r="D187" s="2" t="s">
        <v>926</v>
      </c>
    </row>
    <row r="188" ht="15.75" customHeight="1">
      <c r="A188" s="2" t="s">
        <v>941</v>
      </c>
      <c r="B188" s="2">
        <v>1.0</v>
      </c>
      <c r="D188" s="2" t="s">
        <v>927</v>
      </c>
    </row>
    <row r="189" ht="15.75" customHeight="1">
      <c r="A189" s="2" t="s">
        <v>37</v>
      </c>
      <c r="B189" s="2">
        <v>1.0</v>
      </c>
      <c r="D189" s="2" t="s">
        <v>928</v>
      </c>
    </row>
    <row r="190" ht="15.75" customHeight="1">
      <c r="A190" s="2" t="s">
        <v>130</v>
      </c>
      <c r="B190" s="2">
        <v>1.0</v>
      </c>
      <c r="D190" s="2" t="s">
        <v>929</v>
      </c>
    </row>
    <row r="191" ht="15.75" customHeight="1">
      <c r="A191" s="1" t="s">
        <v>154</v>
      </c>
      <c r="B191" s="1"/>
      <c r="C191" s="5">
        <f>B192+B193+B194+B195+B196+B197+B198+ B199</f>
        <v>8</v>
      </c>
      <c r="D191" s="2" t="s">
        <v>921</v>
      </c>
      <c r="F191" s="2" t="str">
        <f>A191</f>
        <v>IAB-RP-D12</v>
      </c>
      <c r="G191" s="2" t="str">
        <f>A192</f>
        <v>DWm4 ARCHITECTS (Est‐1995)</v>
      </c>
      <c r="H191" s="2" t="str">
        <f>A193</f>
        <v>Office Address: 236, Lake Road , New DOHS , Mohkhali , Dhaka ‐1206</v>
      </c>
      <c r="I191" s="2" t="str">
        <f>A194</f>
        <v>Email ID: Contact: +88 01712921323, +88 02‐9885564</v>
      </c>
      <c r="J191" s="2" t="str">
        <f>A195</f>
        <v>Website: www.dwm4.com</v>
      </c>
      <c r="K191" s="2" t="str">
        <f>A196</f>
        <v>NAME OF PROPRIETOR/ PARTNER/ DIRECTOR(s) &amp; DESIGNATION</v>
      </c>
      <c r="L191" s="2" t="str">
        <f>A197</f>
        <v>Ar. Mamnoon M. Chowdhury (C‐031) Architect &amp; Partner &amp; Ar. Mahmudul Anwar Riyaad (R‐081) Architect &amp; Partner</v>
      </c>
      <c r="M191" s="2" t="str">
        <f>A198</f>
        <v>FULL TIME ARCHITECTURAL PERSONNEL OF THE FIRM/COMPANY:</v>
      </c>
      <c r="N191" s="2" t="str">
        <f>A199</f>
        <v>IAB Member Architect Architectural Graduate Total</v>
      </c>
    </row>
    <row r="192" ht="15.75" customHeight="1">
      <c r="A192" s="2" t="s">
        <v>155</v>
      </c>
      <c r="B192" s="2">
        <v>1.0</v>
      </c>
      <c r="D192" s="2" t="s">
        <v>922</v>
      </c>
    </row>
    <row r="193" ht="15.75" customHeight="1">
      <c r="A193" s="2" t="s">
        <v>156</v>
      </c>
      <c r="B193" s="2">
        <v>1.0</v>
      </c>
      <c r="D193" s="2" t="s">
        <v>923</v>
      </c>
    </row>
    <row r="194" ht="15.75" customHeight="1">
      <c r="A194" s="2" t="s">
        <v>157</v>
      </c>
      <c r="B194" s="2">
        <v>1.0</v>
      </c>
      <c r="D194" s="2" t="s">
        <v>924</v>
      </c>
    </row>
    <row r="195" ht="15.75" customHeight="1">
      <c r="A195" s="2" t="s">
        <v>158</v>
      </c>
      <c r="B195" s="2">
        <v>1.0</v>
      </c>
      <c r="D195" s="2" t="s">
        <v>925</v>
      </c>
    </row>
    <row r="196" ht="15.75" customHeight="1">
      <c r="A196" s="2" t="s">
        <v>7</v>
      </c>
      <c r="B196" s="2">
        <v>1.0</v>
      </c>
      <c r="D196" s="2" t="s">
        <v>926</v>
      </c>
    </row>
    <row r="197" ht="15.75" customHeight="1">
      <c r="A197" s="2" t="s">
        <v>942</v>
      </c>
      <c r="B197" s="2">
        <v>1.0</v>
      </c>
      <c r="D197" s="2" t="s">
        <v>927</v>
      </c>
    </row>
    <row r="198" ht="15.75" customHeight="1">
      <c r="A198" s="2" t="s">
        <v>37</v>
      </c>
      <c r="B198" s="2">
        <v>1.0</v>
      </c>
      <c r="D198" s="2" t="s">
        <v>928</v>
      </c>
    </row>
    <row r="199" ht="15.75" customHeight="1">
      <c r="A199" s="2" t="s">
        <v>161</v>
      </c>
      <c r="B199" s="2">
        <v>1.0</v>
      </c>
      <c r="D199" s="2" t="s">
        <v>929</v>
      </c>
    </row>
    <row r="200" ht="15.75" customHeight="1">
      <c r="A200" s="1" t="s">
        <v>162</v>
      </c>
      <c r="B200" s="1"/>
      <c r="C200" s="5">
        <f>B201+B202+B203+B204+B205+B206+B207+B208</f>
        <v>8</v>
      </c>
      <c r="D200" s="2" t="s">
        <v>921</v>
      </c>
      <c r="F200" s="2" t="str">
        <f>A200</f>
        <v>IAB-RP-D13</v>
      </c>
      <c r="G200" s="2" t="str">
        <f>A201</f>
        <v>DWm4 INTRENDS LTD. (Est‐2014)</v>
      </c>
      <c r="H200" s="2" t="str">
        <f>A202</f>
        <v>Office Address: 236, Lake Road, New DOHS, Mohakhali, Dhaka‐1206</v>
      </c>
      <c r="I200" s="2" t="str">
        <f>A203</f>
        <v>Email ID: info@dwm4intrends.com Contact: +88 02‐222280802</v>
      </c>
      <c r="J200" s="2" t="str">
        <f>A204</f>
        <v>Website: www.dwm4intrends.com</v>
      </c>
      <c r="K200" s="2" t="str">
        <f>A205</f>
        <v>NAME OF PROPRIETOR/ PARTNER/ DIRECTOR(s) &amp; DESIGNATION</v>
      </c>
      <c r="L200" s="2" t="str">
        <f>A206</f>
        <v>Ar. Mamnoon M. Chowdhury (C‐031) Chairman &amp; Ar. Mahmudul Anwar Riyaad (R‐081) Director</v>
      </c>
      <c r="M200" s="2" t="str">
        <f>A207</f>
        <v>FULL TIME ARCHITECTURAL PERSONNEL OF THE FIRM/COMPANY:</v>
      </c>
      <c r="N200" s="2" t="str">
        <f>A208</f>
        <v>IAB Member Architect Architectural Graduate Total</v>
      </c>
    </row>
    <row r="201" ht="15.75" customHeight="1">
      <c r="A201" s="2" t="s">
        <v>163</v>
      </c>
      <c r="B201" s="2">
        <v>1.0</v>
      </c>
      <c r="D201" s="2" t="s">
        <v>922</v>
      </c>
    </row>
    <row r="202" ht="15.75" customHeight="1">
      <c r="A202" s="2" t="s">
        <v>164</v>
      </c>
      <c r="B202" s="2">
        <v>1.0</v>
      </c>
      <c r="D202" s="2" t="s">
        <v>923</v>
      </c>
    </row>
    <row r="203" ht="15.75" customHeight="1">
      <c r="A203" s="2" t="s">
        <v>165</v>
      </c>
      <c r="B203" s="2">
        <v>1.0</v>
      </c>
      <c r="D203" s="2" t="s">
        <v>924</v>
      </c>
    </row>
    <row r="204" ht="15.75" customHeight="1">
      <c r="A204" s="2" t="s">
        <v>166</v>
      </c>
      <c r="B204" s="2">
        <v>1.0</v>
      </c>
      <c r="D204" s="2" t="s">
        <v>925</v>
      </c>
    </row>
    <row r="205" ht="15.75" customHeight="1">
      <c r="A205" s="2" t="s">
        <v>7</v>
      </c>
      <c r="B205" s="2">
        <v>1.0</v>
      </c>
      <c r="D205" s="2" t="s">
        <v>926</v>
      </c>
    </row>
    <row r="206" ht="15.75" customHeight="1">
      <c r="A206" s="2" t="s">
        <v>943</v>
      </c>
      <c r="B206" s="2">
        <v>1.0</v>
      </c>
      <c r="D206" s="2" t="s">
        <v>927</v>
      </c>
    </row>
    <row r="207" ht="15.75" customHeight="1">
      <c r="A207" s="2" t="s">
        <v>37</v>
      </c>
      <c r="B207" s="2">
        <v>1.0</v>
      </c>
      <c r="D207" s="2" t="s">
        <v>928</v>
      </c>
    </row>
    <row r="208" ht="15.75" customHeight="1">
      <c r="A208" s="2" t="s">
        <v>161</v>
      </c>
      <c r="B208" s="2">
        <v>1.0</v>
      </c>
      <c r="D208" s="2" t="s">
        <v>929</v>
      </c>
    </row>
    <row r="209" ht="15.75" customHeight="1">
      <c r="A209" s="1" t="s">
        <v>169</v>
      </c>
      <c r="B209" s="1"/>
      <c r="C209" s="5">
        <f>B210+B211+B212+B213+B214+B215+B216+B217+B218</f>
        <v>8</v>
      </c>
      <c r="D209" s="2" t="s">
        <v>921</v>
      </c>
      <c r="F209" s="2" t="str">
        <f>A209</f>
        <v>IAB-RP-E01</v>
      </c>
      <c r="G209" s="2" t="str">
        <f>A210</f>
        <v>ENVIRON STRUCTURE LTD. (Est‐1989)</v>
      </c>
      <c r="H209" s="2" t="str">
        <f>A211</f>
        <v>Office Address: 86 Laboratory Road, Dhanmondi R/A, Dhaka‐1205</v>
      </c>
      <c r="I209" s="2" t="str">
        <f>A212</f>
        <v>Email ID: esl_arch@yahoo.com Contact: +88‐02‐9660876, 9660851</v>
      </c>
      <c r="J209" s="2" t="str">
        <f>A213</f>
        <v>website:</v>
      </c>
      <c r="K209" s="2" t="str">
        <f>A214</f>
        <v>NAME OF PROPRIETOR/ PARTNER/ DIRECTOR(s) &amp; DESIGNATION</v>
      </c>
      <c r="L209" s="2" t="str">
        <f>A215</f>
        <v>Ar. Moid Ul Ahsan (A‐028) Managing Director</v>
      </c>
      <c r="M209" s="2" t="str">
        <f>A216</f>
        <v>FULL TIME TECHNICAL PERSONNEL OF THE FIRM/COMPANY:</v>
      </c>
      <c r="N209" s="2" t="str">
        <f>A217</f>
        <v>IAB Member Architect 6 Architectural Graduate 9 Total 15</v>
      </c>
    </row>
    <row r="210" ht="15.75" customHeight="1">
      <c r="A210" s="2" t="s">
        <v>170</v>
      </c>
      <c r="B210" s="2">
        <v>1.0</v>
      </c>
      <c r="D210" s="2" t="s">
        <v>922</v>
      </c>
    </row>
    <row r="211" ht="15.75" customHeight="1">
      <c r="A211" s="2" t="s">
        <v>171</v>
      </c>
      <c r="B211" s="2">
        <v>1.0</v>
      </c>
      <c r="D211" s="2" t="s">
        <v>923</v>
      </c>
    </row>
    <row r="212" ht="15.75" customHeight="1">
      <c r="A212" s="2" t="s">
        <v>172</v>
      </c>
      <c r="B212" s="2">
        <v>1.0</v>
      </c>
      <c r="D212" s="2" t="s">
        <v>924</v>
      </c>
    </row>
    <row r="213" ht="15.75" customHeight="1">
      <c r="A213" s="2" t="s">
        <v>936</v>
      </c>
      <c r="B213" s="2">
        <v>1.0</v>
      </c>
      <c r="D213" s="2" t="s">
        <v>925</v>
      </c>
    </row>
    <row r="214" ht="15.75" customHeight="1">
      <c r="A214" s="2" t="s">
        <v>7</v>
      </c>
      <c r="B214" s="2">
        <v>1.0</v>
      </c>
      <c r="D214" s="2" t="s">
        <v>926</v>
      </c>
    </row>
    <row r="215" ht="15.75" customHeight="1">
      <c r="A215" s="2" t="s">
        <v>173</v>
      </c>
      <c r="B215" s="2">
        <v>1.0</v>
      </c>
      <c r="D215" s="2" t="s">
        <v>927</v>
      </c>
    </row>
    <row r="216" ht="15.75" customHeight="1">
      <c r="A216" s="2" t="s">
        <v>9</v>
      </c>
      <c r="B216" s="2">
        <v>1.0</v>
      </c>
      <c r="D216" s="2" t="s">
        <v>928</v>
      </c>
    </row>
    <row r="217" ht="15.75" customHeight="1">
      <c r="A217" s="2" t="s">
        <v>174</v>
      </c>
      <c r="B217" s="2">
        <v>1.0</v>
      </c>
      <c r="D217" s="2" t="s">
        <v>929</v>
      </c>
    </row>
    <row r="218" ht="15.75" customHeight="1">
      <c r="A218" s="1" t="s">
        <v>175</v>
      </c>
      <c r="B218" s="1"/>
      <c r="C218" s="5">
        <f>B219+B220+B221+B222+B223+B224+B225+B226+B227</f>
        <v>8</v>
      </c>
      <c r="D218" s="2" t="s">
        <v>921</v>
      </c>
      <c r="F218" s="2" t="str">
        <f>A218</f>
        <v>IAB-RP-E02</v>
      </c>
      <c r="G218" s="2" t="str">
        <f>A219</f>
        <v>ECLIPTIC (Est‐2009)</v>
      </c>
      <c r="H218" s="2" t="str">
        <f>A220</f>
        <v>Office Address: 27/D, Monipuripara, Tejgaon, Dhaka‐1215</v>
      </c>
      <c r="I218" s="2" t="str">
        <f>A221</f>
        <v>Email ID: eclipticbd@gmail.com Contact: +88‐02‐9145364, +8801819244544</v>
      </c>
      <c r="J218" s="2" t="str">
        <f>A222</f>
        <v>website:</v>
      </c>
      <c r="K218" s="2" t="str">
        <f>A223</f>
        <v>NAME OF PROPRIETOR/ PARTNER/ DIRECTOR(s) &amp; DESIGNATION</v>
      </c>
      <c r="L218" s="2" t="str">
        <f>A224</f>
        <v>Ar. Tanwir Serajuddowla (S‐075) Chairman &amp; Principal Architect</v>
      </c>
      <c r="M218" s="2" t="str">
        <f>A225</f>
        <v>FULL TIME ARCHITECTURAL PERSONNEL OF THE FIRM/COMPANY:</v>
      </c>
      <c r="N218" s="2" t="str">
        <f>A226</f>
        <v>IAB Member Architect 3 Architectural Graduate 2 Total 5</v>
      </c>
    </row>
    <row r="219" ht="15.75" customHeight="1">
      <c r="A219" s="2" t="s">
        <v>176</v>
      </c>
      <c r="B219" s="2">
        <v>1.0</v>
      </c>
      <c r="D219" s="2" t="s">
        <v>922</v>
      </c>
    </row>
    <row r="220" ht="15.75" customHeight="1">
      <c r="A220" s="2" t="s">
        <v>177</v>
      </c>
      <c r="B220" s="2">
        <v>1.0</v>
      </c>
      <c r="D220" s="2" t="s">
        <v>923</v>
      </c>
    </row>
    <row r="221" ht="15.75" customHeight="1">
      <c r="A221" s="2" t="s">
        <v>178</v>
      </c>
      <c r="B221" s="2">
        <v>1.0</v>
      </c>
      <c r="D221" s="2" t="s">
        <v>924</v>
      </c>
    </row>
    <row r="222" ht="15.75" customHeight="1">
      <c r="A222" s="2" t="s">
        <v>936</v>
      </c>
      <c r="B222" s="2">
        <v>1.0</v>
      </c>
      <c r="D222" s="2" t="s">
        <v>925</v>
      </c>
    </row>
    <row r="223" ht="15.75" customHeight="1">
      <c r="A223" s="2" t="s">
        <v>7</v>
      </c>
      <c r="B223" s="2">
        <v>1.0</v>
      </c>
      <c r="D223" s="2" t="s">
        <v>926</v>
      </c>
    </row>
    <row r="224" ht="15.75" customHeight="1">
      <c r="A224" s="2" t="s">
        <v>179</v>
      </c>
      <c r="B224" s="2">
        <v>1.0</v>
      </c>
      <c r="D224" s="2" t="s">
        <v>927</v>
      </c>
    </row>
    <row r="225" ht="15.75" customHeight="1">
      <c r="A225" s="2" t="s">
        <v>37</v>
      </c>
      <c r="B225" s="2">
        <v>1.0</v>
      </c>
      <c r="D225" s="2" t="s">
        <v>928</v>
      </c>
    </row>
    <row r="226" ht="15.75" customHeight="1">
      <c r="A226" s="2" t="s">
        <v>146</v>
      </c>
      <c r="B226" s="2">
        <v>1.0</v>
      </c>
      <c r="D226" s="2" t="s">
        <v>929</v>
      </c>
    </row>
    <row r="227" ht="15.75" customHeight="1">
      <c r="A227" s="1" t="s">
        <v>180</v>
      </c>
      <c r="B227" s="1"/>
      <c r="C227" s="5">
        <f>B228+B229+B230+B231+B232+B233+B234+B235+B236</f>
        <v>8</v>
      </c>
      <c r="D227" s="2" t="s">
        <v>921</v>
      </c>
      <c r="F227" s="2" t="str">
        <f>A227</f>
        <v>IAB-RP-E03</v>
      </c>
      <c r="G227" s="2" t="str">
        <f>A228</f>
        <v>EHSAN KHAN ARCHITECTS LTD. (Est‐2010)</v>
      </c>
      <c r="H227" s="2" t="str">
        <f>A229</f>
        <v>Office Address: 25, Gulshan Avenue, Taj Casilina (5th Floor), 6/E, Gulshan‐1, Dhaka‐1212</v>
      </c>
      <c r="I227" s="2" t="str">
        <f>A230</f>
        <v>Email ID: ehsan@ekarchitects.com.bd, admin@ekarchitects.com.bd Contact: +88‐02‐9890855</v>
      </c>
      <c r="J227" s="2" t="str">
        <f>A231</f>
        <v>website:</v>
      </c>
      <c r="K227" s="2" t="str">
        <f>A232</f>
        <v>NAME OF PROPRIETOR/ PARTNER/ DIRECTOR(s) &amp; DESIGNATION:</v>
      </c>
      <c r="L227" s="2" t="str">
        <f>A233</f>
        <v>Ar. Md. Ehsan Khan (K‐047) Managing Director</v>
      </c>
      <c r="M227" s="2" t="str">
        <f>A234</f>
        <v>FULL TIME ARCHITECTURAL PERSONNEL OF THE FIRM/COMPANY:</v>
      </c>
      <c r="N227" s="2" t="str">
        <f>A235</f>
        <v>IAB Member Architect 10 Architectural Graduate 3 Total 13</v>
      </c>
    </row>
    <row r="228" ht="15.75" customHeight="1">
      <c r="A228" s="2" t="s">
        <v>181</v>
      </c>
      <c r="B228" s="2">
        <v>1.0</v>
      </c>
      <c r="D228" s="2" t="s">
        <v>922</v>
      </c>
    </row>
    <row r="229" ht="15.75" customHeight="1">
      <c r="A229" s="2" t="s">
        <v>182</v>
      </c>
      <c r="B229" s="2">
        <v>1.0</v>
      </c>
      <c r="D229" s="2" t="s">
        <v>923</v>
      </c>
    </row>
    <row r="230" ht="15.75" customHeight="1">
      <c r="A230" s="2" t="s">
        <v>183</v>
      </c>
      <c r="B230" s="2">
        <v>1.0</v>
      </c>
      <c r="D230" s="2" t="s">
        <v>924</v>
      </c>
    </row>
    <row r="231" ht="15.75" customHeight="1">
      <c r="A231" s="2" t="s">
        <v>936</v>
      </c>
      <c r="B231" s="2">
        <v>1.0</v>
      </c>
      <c r="D231" s="2" t="s">
        <v>925</v>
      </c>
    </row>
    <row r="232" ht="15.75" customHeight="1">
      <c r="A232" s="2" t="s">
        <v>44</v>
      </c>
      <c r="B232" s="2">
        <v>1.0</v>
      </c>
      <c r="D232" s="2" t="s">
        <v>926</v>
      </c>
    </row>
    <row r="233" ht="15.75" customHeight="1">
      <c r="A233" s="2" t="s">
        <v>184</v>
      </c>
      <c r="B233" s="2">
        <v>1.0</v>
      </c>
      <c r="D233" s="2" t="s">
        <v>927</v>
      </c>
    </row>
    <row r="234" ht="15.75" customHeight="1">
      <c r="A234" s="2" t="s">
        <v>37</v>
      </c>
      <c r="B234" s="2">
        <v>1.0</v>
      </c>
      <c r="D234" s="2" t="s">
        <v>928</v>
      </c>
    </row>
    <row r="235" ht="15.75" customHeight="1">
      <c r="A235" s="2" t="s">
        <v>185</v>
      </c>
      <c r="B235" s="2">
        <v>1.0</v>
      </c>
      <c r="D235" s="2" t="s">
        <v>929</v>
      </c>
    </row>
    <row r="236" ht="15.75" customHeight="1">
      <c r="A236" s="1" t="s">
        <v>186</v>
      </c>
      <c r="B236" s="1"/>
      <c r="C236" s="5">
        <f>B237+B238+B239+B240+B241+B242+B243+B244</f>
        <v>8</v>
      </c>
      <c r="D236" s="2" t="s">
        <v>921</v>
      </c>
      <c r="F236" s="2" t="str">
        <f>A236</f>
        <v>IAB-RP-E04</v>
      </c>
      <c r="G236" s="2" t="str">
        <f>A237</f>
        <v>ENVISION ARCHITECTS (Est‐1999)</v>
      </c>
      <c r="H236" s="2" t="str">
        <f>A238</f>
        <v>Office Address: 6/2, Block‐B, 1st Floor, Lalmatia, Dhaka‐1207</v>
      </c>
      <c r="I236" s="2" t="str">
        <f>A239</f>
        <v>Email ID: qazimarif2012@gmail.com, principal@envision‐arch.org Contact: +88‐02‐58151763</v>
      </c>
      <c r="J236" s="2" t="str">
        <f>A240</f>
        <v>Website : www.envision‐arch.org</v>
      </c>
      <c r="K236" s="2" t="str">
        <f>A241</f>
        <v>NAME OF PROPRIETOR/ PARTNER/ DIRECTOR(s) &amp; DESIGNATION</v>
      </c>
      <c r="L236" s="2" t="str">
        <f>A242</f>
        <v>Ar. Qazi Muhammad Arif (A‐059) Principal Architect</v>
      </c>
      <c r="M236" s="2" t="str">
        <f>A243</f>
        <v>FULL TIME ARCHITECTURAL PERSONNEL OF THE FIRM/COMPANY:</v>
      </c>
      <c r="N236" s="2" t="str">
        <f>A244</f>
        <v>IAB Member Architect 3 Architectural Graduate 1 Total 4</v>
      </c>
    </row>
    <row r="237" ht="15.75" customHeight="1">
      <c r="A237" s="2" t="s">
        <v>187</v>
      </c>
      <c r="B237" s="2">
        <v>1.0</v>
      </c>
      <c r="D237" s="2" t="s">
        <v>922</v>
      </c>
    </row>
    <row r="238" ht="15.75" customHeight="1">
      <c r="A238" s="2" t="s">
        <v>188</v>
      </c>
      <c r="B238" s="2">
        <v>1.0</v>
      </c>
      <c r="D238" s="2" t="s">
        <v>923</v>
      </c>
    </row>
    <row r="239" ht="15.75" customHeight="1">
      <c r="A239" s="2" t="s">
        <v>189</v>
      </c>
      <c r="B239" s="2">
        <v>1.0</v>
      </c>
      <c r="D239" s="2" t="s">
        <v>924</v>
      </c>
    </row>
    <row r="240" ht="15.75" customHeight="1">
      <c r="A240" s="2" t="s">
        <v>190</v>
      </c>
      <c r="B240" s="2">
        <v>1.0</v>
      </c>
      <c r="D240" s="2" t="s">
        <v>925</v>
      </c>
    </row>
    <row r="241" ht="15.75" customHeight="1">
      <c r="A241" s="2" t="s">
        <v>7</v>
      </c>
      <c r="B241" s="2">
        <v>1.0</v>
      </c>
      <c r="D241" s="2" t="s">
        <v>926</v>
      </c>
    </row>
    <row r="242" ht="15.75" customHeight="1">
      <c r="A242" s="2" t="s">
        <v>191</v>
      </c>
      <c r="B242" s="2">
        <v>1.0</v>
      </c>
      <c r="D242" s="2" t="s">
        <v>927</v>
      </c>
    </row>
    <row r="243" ht="15.75" customHeight="1">
      <c r="A243" s="2" t="s">
        <v>37</v>
      </c>
      <c r="B243" s="2">
        <v>1.0</v>
      </c>
      <c r="D243" s="2" t="s">
        <v>928</v>
      </c>
    </row>
    <row r="244" ht="15.75" customHeight="1">
      <c r="A244" s="2" t="s">
        <v>138</v>
      </c>
      <c r="B244" s="2">
        <v>1.0</v>
      </c>
      <c r="D244" s="2" t="s">
        <v>929</v>
      </c>
    </row>
    <row r="245" ht="15.75" customHeight="1">
      <c r="A245" s="1" t="s">
        <v>192</v>
      </c>
      <c r="B245" s="1"/>
      <c r="C245" s="5">
        <f>B246+B247+B248+B249+B250+B251+B252+B253</f>
        <v>8</v>
      </c>
      <c r="D245" s="2" t="s">
        <v>921</v>
      </c>
      <c r="F245" s="2" t="str">
        <f>A245</f>
        <v>IAB-RP-F01</v>
      </c>
      <c r="G245" s="2" t="str">
        <f>A246</f>
        <v>FOURTH DIMENSION (Est‐2007)</v>
      </c>
      <c r="H245" s="2" t="str">
        <f>A247</f>
        <v>Office Address: House‐25/A, Road‐18, Sector‐3, Uttara Model Town, Dhaka‐1230</v>
      </c>
      <c r="I245" s="2" t="str">
        <f>A248</f>
        <v>Email ID: turjo_96inte@yahoo.com</v>
      </c>
      <c r="J245" s="2" t="str">
        <f>A249</f>
        <v>Website : www.fourthdimensionbd.com Contact: +88‐02‐7913394, 8957701</v>
      </c>
      <c r="K245" s="2" t="str">
        <f>A250</f>
        <v>NAME OF PROPRIETOR/ PARTNER/ DIRECTOR(s) &amp; DESIGNATION</v>
      </c>
      <c r="L245" s="2" t="str">
        <f>A251</f>
        <v>Ar. A. F. M. Ashek Imran (I‐061) Proprietor &amp; Principal Architect</v>
      </c>
      <c r="M245" s="2" t="str">
        <f>A252</f>
        <v>FULL TIME TECHNICAL PERSONNEL OF THE FIRM/COMPANY:</v>
      </c>
      <c r="N245" s="2" t="str">
        <f>A253</f>
        <v>IAB Member Architect 2 Architectural Graduate 12 Total 14</v>
      </c>
    </row>
    <row r="246" ht="15.75" customHeight="1">
      <c r="A246" s="2" t="s">
        <v>193</v>
      </c>
      <c r="B246" s="2">
        <v>1.0</v>
      </c>
      <c r="D246" s="2" t="s">
        <v>922</v>
      </c>
    </row>
    <row r="247" ht="15.75" customHeight="1">
      <c r="A247" s="2" t="s">
        <v>194</v>
      </c>
      <c r="B247" s="2">
        <v>1.0</v>
      </c>
      <c r="D247" s="2" t="s">
        <v>923</v>
      </c>
    </row>
    <row r="248" ht="15.75" customHeight="1">
      <c r="A248" s="2" t="s">
        <v>195</v>
      </c>
      <c r="B248" s="2">
        <v>1.0</v>
      </c>
      <c r="D248" s="2" t="s">
        <v>924</v>
      </c>
    </row>
    <row r="249" ht="15.75" customHeight="1">
      <c r="A249" s="2" t="s">
        <v>196</v>
      </c>
      <c r="B249" s="2">
        <v>1.0</v>
      </c>
      <c r="D249" s="2" t="s">
        <v>925</v>
      </c>
    </row>
    <row r="250" ht="15.75" customHeight="1">
      <c r="A250" s="2" t="s">
        <v>7</v>
      </c>
      <c r="B250" s="2">
        <v>1.0</v>
      </c>
      <c r="D250" s="2" t="s">
        <v>926</v>
      </c>
    </row>
    <row r="251" ht="15.75" customHeight="1">
      <c r="A251" s="2" t="s">
        <v>197</v>
      </c>
      <c r="B251" s="2">
        <v>1.0</v>
      </c>
      <c r="D251" s="2" t="s">
        <v>927</v>
      </c>
    </row>
    <row r="252" ht="15.75" customHeight="1">
      <c r="A252" s="2" t="s">
        <v>9</v>
      </c>
      <c r="B252" s="2">
        <v>1.0</v>
      </c>
      <c r="D252" s="2" t="s">
        <v>928</v>
      </c>
    </row>
    <row r="253" ht="15.75" customHeight="1">
      <c r="A253" s="2" t="s">
        <v>198</v>
      </c>
      <c r="B253" s="2">
        <v>1.0</v>
      </c>
      <c r="D253" s="2" t="s">
        <v>929</v>
      </c>
    </row>
    <row r="254" ht="15.75" customHeight="1">
      <c r="A254" s="1" t="s">
        <v>199</v>
      </c>
      <c r="B254" s="1"/>
      <c r="C254" s="5">
        <f>B255+B256+B257+B258+B259+B260+B261+B262+B263</f>
        <v>8</v>
      </c>
      <c r="D254" s="2" t="s">
        <v>921</v>
      </c>
      <c r="F254" s="2" t="str">
        <f>A254</f>
        <v>IAB-RP-F02</v>
      </c>
      <c r="G254" s="2" t="str">
        <f>A255</f>
        <v>FALGUNI MALLICK &amp; ASSOCIATES (Est‐ 2011)</v>
      </c>
      <c r="H254" s="2" t="str">
        <f>A256</f>
        <v>Office Address: Flat‐B2, House‐29&amp;31, Road‐18, Sector‐7, Uttara, Dhaka‐1230</v>
      </c>
      <c r="I254" s="2" t="str">
        <f>A257</f>
        <v>Email ID: fma_architects@yahoo.com, fmallick74@gmail.com Contact: +8801970112299</v>
      </c>
      <c r="J254" s="2" t="str">
        <f>A258</f>
        <v>website:</v>
      </c>
      <c r="K254" s="2" t="str">
        <f>A259</f>
        <v>NAME OF PROPRIETOR/ PARTNER/ DIRECTOR(s) &amp; DESIGNATION</v>
      </c>
      <c r="L254" s="2" t="str">
        <f>A260</f>
        <v>Ar. Falguni Mallick (M‐046) Principal Architect</v>
      </c>
      <c r="M254" s="2" t="str">
        <f>A261</f>
        <v>FULL TIME ARCHITECTURAL PERSONNEL OF THE FIRM/COMPANY:</v>
      </c>
      <c r="N254" s="2" t="str">
        <f>A262</f>
        <v>IAB Member Architect 2 Architectural Graduate 4 Total 6</v>
      </c>
    </row>
    <row r="255" ht="15.75" customHeight="1">
      <c r="A255" s="2" t="s">
        <v>200</v>
      </c>
      <c r="B255" s="2">
        <v>1.0</v>
      </c>
      <c r="D255" s="2" t="s">
        <v>922</v>
      </c>
    </row>
    <row r="256" ht="15.75" customHeight="1">
      <c r="A256" s="2" t="s">
        <v>201</v>
      </c>
      <c r="B256" s="2">
        <v>1.0</v>
      </c>
      <c r="D256" s="2" t="s">
        <v>923</v>
      </c>
    </row>
    <row r="257" ht="15.75" customHeight="1">
      <c r="A257" s="2" t="s">
        <v>202</v>
      </c>
      <c r="B257" s="2">
        <v>1.0</v>
      </c>
      <c r="D257" s="2" t="s">
        <v>924</v>
      </c>
    </row>
    <row r="258" ht="15.75" customHeight="1">
      <c r="A258" s="2" t="s">
        <v>936</v>
      </c>
      <c r="B258" s="2">
        <v>1.0</v>
      </c>
      <c r="D258" s="2" t="s">
        <v>925</v>
      </c>
    </row>
    <row r="259" ht="15.75" customHeight="1">
      <c r="A259" s="2" t="s">
        <v>7</v>
      </c>
      <c r="B259" s="2">
        <v>1.0</v>
      </c>
      <c r="D259" s="2" t="s">
        <v>926</v>
      </c>
    </row>
    <row r="260" ht="15.75" customHeight="1">
      <c r="A260" s="2" t="s">
        <v>203</v>
      </c>
      <c r="B260" s="2">
        <v>1.0</v>
      </c>
      <c r="D260" s="2" t="s">
        <v>927</v>
      </c>
    </row>
    <row r="261" ht="15.75" customHeight="1">
      <c r="A261" s="2" t="s">
        <v>37</v>
      </c>
      <c r="B261" s="2">
        <v>1.0</v>
      </c>
      <c r="D261" s="2" t="s">
        <v>928</v>
      </c>
    </row>
    <row r="262" ht="15.75" customHeight="1">
      <c r="A262" s="2" t="s">
        <v>204</v>
      </c>
      <c r="B262" s="2">
        <v>1.0</v>
      </c>
      <c r="D262" s="2" t="s">
        <v>929</v>
      </c>
    </row>
    <row r="263" ht="15.75" customHeight="1">
      <c r="A263" s="1" t="s">
        <v>205</v>
      </c>
      <c r="B263" s="1"/>
      <c r="C263" s="5">
        <f>B264+B265+B266+B267+B268+B269+B270+B271</f>
        <v>8</v>
      </c>
      <c r="D263" s="2" t="s">
        <v>921</v>
      </c>
      <c r="F263" s="2" t="str">
        <f>A263</f>
        <v>IAB-RP-F03</v>
      </c>
      <c r="G263" s="2" t="str">
        <f>A264</f>
        <v>FIALKA (Est‐1999)</v>
      </c>
      <c r="H263" s="2" t="str">
        <f>A265</f>
        <v>Office Address: Press Club Building, (2 nd Floor), Jamal Khan Road, Chittagong.</v>
      </c>
      <c r="I263" s="2" t="str">
        <f>A266</f>
        <v>Email ID: ashiq.fialka@gmail.com Contact: +88‐031‐618599, +88‐031‐2863269</v>
      </c>
      <c r="J263" s="2" t="str">
        <f>A267</f>
        <v>website:</v>
      </c>
      <c r="K263" s="2" t="str">
        <f>A268</f>
        <v>NAME OF PROPRIETOR/ PARTNER/ DIRECTOR(s) &amp; DESIGNATION</v>
      </c>
      <c r="L263" s="2" t="str">
        <f>A269</f>
        <v>Ar. Ashiq Imran (I‐044) Principal Architect</v>
      </c>
      <c r="M263" s="2" t="str">
        <f>A270</f>
        <v>FULL TIME ARCHITECTURAL PERSONNEL OF THE FIRM/COMPANY:</v>
      </c>
      <c r="N263" s="2" t="str">
        <f>A271</f>
        <v>IAB Member Architect 3 Architectural Graduate 2 Total 5</v>
      </c>
    </row>
    <row r="264" ht="15.75" customHeight="1">
      <c r="A264" s="2" t="s">
        <v>206</v>
      </c>
      <c r="B264" s="2">
        <v>1.0</v>
      </c>
      <c r="D264" s="2" t="s">
        <v>922</v>
      </c>
    </row>
    <row r="265" ht="15.75" customHeight="1">
      <c r="A265" s="2" t="s">
        <v>207</v>
      </c>
      <c r="B265" s="2">
        <v>1.0</v>
      </c>
      <c r="D265" s="2" t="s">
        <v>923</v>
      </c>
    </row>
    <row r="266" ht="15.75" customHeight="1">
      <c r="A266" s="2" t="s">
        <v>944</v>
      </c>
      <c r="B266" s="2">
        <v>1.0</v>
      </c>
      <c r="D266" s="2" t="s">
        <v>924</v>
      </c>
    </row>
    <row r="267" ht="15.75" customHeight="1">
      <c r="A267" s="2" t="s">
        <v>936</v>
      </c>
      <c r="B267" s="2">
        <v>1.0</v>
      </c>
      <c r="D267" s="2" t="s">
        <v>925</v>
      </c>
    </row>
    <row r="268" ht="15.75" customHeight="1">
      <c r="A268" s="2" t="s">
        <v>7</v>
      </c>
      <c r="B268" s="2">
        <v>1.0</v>
      </c>
      <c r="D268" s="2" t="s">
        <v>926</v>
      </c>
    </row>
    <row r="269" ht="15.75" customHeight="1">
      <c r="A269" s="2" t="s">
        <v>209</v>
      </c>
      <c r="B269" s="2">
        <v>1.0</v>
      </c>
      <c r="D269" s="2" t="s">
        <v>927</v>
      </c>
    </row>
    <row r="270" ht="15.75" customHeight="1">
      <c r="A270" s="2" t="s">
        <v>37</v>
      </c>
      <c r="B270" s="2">
        <v>1.0</v>
      </c>
      <c r="D270" s="2" t="s">
        <v>928</v>
      </c>
    </row>
    <row r="271" ht="15.75" customHeight="1">
      <c r="A271" s="2" t="s">
        <v>146</v>
      </c>
      <c r="B271" s="2">
        <v>1.0</v>
      </c>
      <c r="D271" s="2" t="s">
        <v>929</v>
      </c>
    </row>
    <row r="272" ht="15.75" customHeight="1">
      <c r="A272" s="1" t="s">
        <v>210</v>
      </c>
      <c r="B272" s="1"/>
      <c r="C272" s="5">
        <f>B273+B274+B275+B276+B277+B278+B279+B280</f>
        <v>8</v>
      </c>
      <c r="D272" s="2" t="s">
        <v>921</v>
      </c>
      <c r="F272" s="2" t="str">
        <f>A272</f>
        <v>IAB-RP-G01</v>
      </c>
      <c r="G272" s="2" t="str">
        <f>A273</f>
        <v>GKA &amp; ASSOCIATES (Est‐may 2009)</v>
      </c>
      <c r="H272" s="2" t="str">
        <f>A274</f>
        <v>Office Address: 5A, 5 th Floor, House‐99, Road‐11/A, Dhanmondi R/A, Dhaka‐1209</v>
      </c>
      <c r="I272" s="2" t="str">
        <f>A275</f>
        <v>Email ID: gakhan0306@yahoo.com</v>
      </c>
      <c r="J272" s="2" t="str">
        <f>A276</f>
        <v>Website : www.gka‐bd.com Contact: +88‐02‐8191082</v>
      </c>
      <c r="K272" s="2" t="str">
        <f>A277</f>
        <v>NAME OF PROPRIETOR/ PARTNER/ DIRECTOR(s) &amp; DESIGNATION</v>
      </c>
      <c r="L272" s="2" t="str">
        <f>A278</f>
        <v>Ar. Ghausul Alam Khan (K‐027) CEO/Proprietor</v>
      </c>
      <c r="M272" s="2" t="str">
        <f>A279</f>
        <v>FULL TIME TECHNICAL PERSONNEL OF THE FIRM/COMPANY:</v>
      </c>
      <c r="N272" s="2" t="str">
        <f>A280</f>
        <v>IAB Member Architect 1 Architectural Graduate 4 Total 5</v>
      </c>
    </row>
    <row r="273" ht="15.75" customHeight="1">
      <c r="A273" s="2" t="s">
        <v>211</v>
      </c>
      <c r="B273" s="2">
        <v>1.0</v>
      </c>
      <c r="D273" s="2" t="s">
        <v>922</v>
      </c>
    </row>
    <row r="274" ht="15.75" customHeight="1">
      <c r="A274" s="2" t="s">
        <v>212</v>
      </c>
      <c r="B274" s="2">
        <v>1.0</v>
      </c>
      <c r="D274" s="2" t="s">
        <v>923</v>
      </c>
    </row>
    <row r="275" ht="15.75" customHeight="1">
      <c r="A275" s="2" t="s">
        <v>213</v>
      </c>
      <c r="B275" s="2">
        <v>1.0</v>
      </c>
      <c r="D275" s="2" t="s">
        <v>924</v>
      </c>
    </row>
    <row r="276" ht="15.75" customHeight="1">
      <c r="A276" s="2" t="s">
        <v>214</v>
      </c>
      <c r="B276" s="2">
        <v>1.0</v>
      </c>
      <c r="D276" s="2" t="s">
        <v>925</v>
      </c>
    </row>
    <row r="277" ht="15.75" customHeight="1">
      <c r="A277" s="2" t="s">
        <v>7</v>
      </c>
      <c r="B277" s="2">
        <v>1.0</v>
      </c>
      <c r="D277" s="2" t="s">
        <v>926</v>
      </c>
    </row>
    <row r="278" ht="15.75" customHeight="1">
      <c r="A278" s="2" t="s">
        <v>215</v>
      </c>
      <c r="B278" s="2">
        <v>1.0</v>
      </c>
      <c r="D278" s="2" t="s">
        <v>927</v>
      </c>
    </row>
    <row r="279" ht="15.75" customHeight="1">
      <c r="A279" s="2" t="s">
        <v>9</v>
      </c>
      <c r="B279" s="2">
        <v>1.0</v>
      </c>
      <c r="D279" s="2" t="s">
        <v>928</v>
      </c>
    </row>
    <row r="280" ht="15.75" customHeight="1">
      <c r="A280" s="2" t="s">
        <v>216</v>
      </c>
      <c r="B280" s="2">
        <v>1.0</v>
      </c>
      <c r="D280" s="2" t="s">
        <v>929</v>
      </c>
    </row>
    <row r="281" ht="15.75" customHeight="1">
      <c r="A281" s="1" t="s">
        <v>217</v>
      </c>
      <c r="B281" s="1"/>
      <c r="C281" s="5">
        <f>B282+B283+B284+B285+B286+B287+B288+B289</f>
        <v>8</v>
      </c>
      <c r="D281" s="2" t="s">
        <v>921</v>
      </c>
      <c r="F281" s="2" t="str">
        <f>A281</f>
        <v>IAB-RP-G02</v>
      </c>
      <c r="G281" s="2" t="str">
        <f>A282</f>
        <v>GENESIS ARCHITECTS (Est‐2017)</v>
      </c>
      <c r="H281" s="2" t="str">
        <f>A283</f>
        <v>Office Address: House‐F‐214/3, Uttar Chaya Bithy, Gazipur Sadar, Gazipur‐1700</v>
      </c>
      <c r="I281" s="2" t="str">
        <f>A284</f>
        <v>Email ID: info@genesis.archi Contact: +8801812807687</v>
      </c>
      <c r="J281" s="2" t="str">
        <f>A285</f>
        <v>Website : www.genesis.archi</v>
      </c>
      <c r="K281" s="2" t="str">
        <f>A286</f>
        <v>NAME OF PROPRIETOR/ PARTNER/ DIRECTOR(s) &amp; DESIGNATION</v>
      </c>
      <c r="L281" s="2" t="str">
        <f>A287</f>
        <v>Ar. Noymul Haque Nohon (N‐040) CEO</v>
      </c>
      <c r="M281" s="2" t="str">
        <f>A288</f>
        <v>FULL TIME ARCHITECTURAL PERSONNEL OF THE FIRM/COMPANY:</v>
      </c>
      <c r="N281" s="2" t="str">
        <f>A289</f>
        <v>IAB Member Architect 1 Architectural Graduate 4 Total 5</v>
      </c>
    </row>
    <row r="282" ht="15.75" customHeight="1">
      <c r="A282" s="2" t="s">
        <v>218</v>
      </c>
      <c r="B282" s="2">
        <v>1.0</v>
      </c>
      <c r="D282" s="2" t="s">
        <v>922</v>
      </c>
    </row>
    <row r="283" ht="15.75" customHeight="1">
      <c r="A283" s="2" t="s">
        <v>219</v>
      </c>
      <c r="B283" s="2">
        <v>1.0</v>
      </c>
      <c r="D283" s="2" t="s">
        <v>923</v>
      </c>
    </row>
    <row r="284" ht="15.75" customHeight="1">
      <c r="A284" s="2" t="s">
        <v>220</v>
      </c>
      <c r="B284" s="2">
        <v>1.0</v>
      </c>
      <c r="D284" s="2" t="s">
        <v>924</v>
      </c>
    </row>
    <row r="285" ht="15.75" customHeight="1">
      <c r="A285" s="2" t="s">
        <v>221</v>
      </c>
      <c r="B285" s="2">
        <v>1.0</v>
      </c>
      <c r="D285" s="2" t="s">
        <v>925</v>
      </c>
    </row>
    <row r="286" ht="15.75" customHeight="1">
      <c r="A286" s="2" t="s">
        <v>7</v>
      </c>
      <c r="B286" s="2">
        <v>1.0</v>
      </c>
      <c r="D286" s="2" t="s">
        <v>926</v>
      </c>
    </row>
    <row r="287" ht="15.75" customHeight="1">
      <c r="A287" s="2" t="s">
        <v>222</v>
      </c>
      <c r="B287" s="2">
        <v>1.0</v>
      </c>
      <c r="D287" s="2" t="s">
        <v>927</v>
      </c>
    </row>
    <row r="288" ht="15.75" customHeight="1">
      <c r="A288" s="2" t="s">
        <v>37</v>
      </c>
      <c r="B288" s="2">
        <v>1.0</v>
      </c>
      <c r="D288" s="2" t="s">
        <v>928</v>
      </c>
    </row>
    <row r="289" ht="15.75" customHeight="1">
      <c r="A289" s="2" t="s">
        <v>216</v>
      </c>
      <c r="B289" s="2">
        <v>1.0</v>
      </c>
      <c r="D289" s="2" t="s">
        <v>929</v>
      </c>
    </row>
    <row r="290" ht="15.75" customHeight="1">
      <c r="A290" s="1" t="s">
        <v>223</v>
      </c>
      <c r="B290" s="1"/>
      <c r="C290" s="5">
        <f>B291+B292+B293+B294+B295+B296+B297+B298</f>
        <v>8</v>
      </c>
      <c r="D290" s="2" t="s">
        <v>921</v>
      </c>
      <c r="F290" s="2" t="str">
        <f>A290</f>
        <v>IAB-RP-G03</v>
      </c>
      <c r="G290" s="2" t="str">
        <f>A291</f>
        <v>GRAVITY ARCHITECTURE STUDIO (Est‐2017)</v>
      </c>
      <c r="H290" s="2" t="str">
        <f>A292</f>
        <v>Office Address: House 268 (4th Floor‐Right), Road 19, New DOHS Mohakhali, Dhaka‐1206.</v>
      </c>
      <c r="I290" s="2" t="str">
        <f>A293</f>
        <v>Email ID: gravity.asbd@gmail.com Contact: +88 01730096986, +88 01676057570</v>
      </c>
      <c r="J290" s="2" t="str">
        <f>A294</f>
        <v>Website: www.gravityarchitecturestudio.com</v>
      </c>
      <c r="K290" s="2" t="str">
        <f>A295</f>
        <v>NAME OF PROPRIETOR/ PARTNER/ DIRECTOR(s) &amp; DESIGNATION</v>
      </c>
      <c r="L290" s="2" t="str">
        <f>A296</f>
        <v>Ar. Md. Nahid Hasan (H‐186) Managing Partner &amp; Ar. S M Ruhul Amin (A‐221) Partner &amp; Ar. Animesh Provaker Debnath (D‐018) Partner</v>
      </c>
      <c r="M290" s="2" t="str">
        <f>A297</f>
        <v>FULL TIME ARCHITECTURAL PERSONNEL OF THE FIRM/COMPANY:</v>
      </c>
      <c r="N290" s="2" t="str">
        <f>A298</f>
        <v>IAB Member Architect 5 Architectural Graduate 1 Total 6</v>
      </c>
    </row>
    <row r="291" ht="15.75" customHeight="1">
      <c r="A291" s="2" t="s">
        <v>224</v>
      </c>
      <c r="B291" s="2">
        <v>1.0</v>
      </c>
      <c r="D291" s="2" t="s">
        <v>922</v>
      </c>
    </row>
    <row r="292" ht="15.75" customHeight="1">
      <c r="A292" s="2" t="s">
        <v>225</v>
      </c>
      <c r="B292" s="2">
        <v>1.0</v>
      </c>
      <c r="D292" s="2" t="s">
        <v>923</v>
      </c>
    </row>
    <row r="293" ht="15.75" customHeight="1">
      <c r="A293" s="2" t="s">
        <v>226</v>
      </c>
      <c r="B293" s="2">
        <v>1.0</v>
      </c>
      <c r="D293" s="2" t="s">
        <v>924</v>
      </c>
    </row>
    <row r="294" ht="15.75" customHeight="1">
      <c r="A294" s="2" t="s">
        <v>227</v>
      </c>
      <c r="B294" s="2">
        <v>1.0</v>
      </c>
      <c r="D294" s="2" t="s">
        <v>925</v>
      </c>
    </row>
    <row r="295" ht="15.75" customHeight="1">
      <c r="A295" s="2" t="s">
        <v>7</v>
      </c>
      <c r="B295" s="2">
        <v>1.0</v>
      </c>
      <c r="D295" s="2" t="s">
        <v>926</v>
      </c>
    </row>
    <row r="296" ht="15.75" customHeight="1">
      <c r="A296" s="2" t="s">
        <v>945</v>
      </c>
      <c r="B296" s="2">
        <v>1.0</v>
      </c>
      <c r="D296" s="2" t="s">
        <v>927</v>
      </c>
    </row>
    <row r="297" ht="15.75" customHeight="1">
      <c r="A297" s="2" t="s">
        <v>37</v>
      </c>
      <c r="B297" s="2">
        <v>1.0</v>
      </c>
      <c r="D297" s="2" t="s">
        <v>928</v>
      </c>
    </row>
    <row r="298" ht="15.75" customHeight="1">
      <c r="A298" s="2" t="s">
        <v>231</v>
      </c>
      <c r="B298" s="2">
        <v>1.0</v>
      </c>
      <c r="D298" s="2" t="s">
        <v>929</v>
      </c>
    </row>
    <row r="299" ht="15.75" customHeight="1">
      <c r="A299" s="1" t="s">
        <v>232</v>
      </c>
      <c r="B299" s="1"/>
      <c r="C299" s="5">
        <f>B300+B301+B302+B304+B305+B306+B307+B308</f>
        <v>7</v>
      </c>
      <c r="D299" s="2" t="s">
        <v>921</v>
      </c>
      <c r="F299" s="2" t="str">
        <f>A299</f>
        <v>IAB-RP-H01</v>
      </c>
      <c r="G299" s="2" t="str">
        <f>A300</f>
        <v>H I ARCHITECTS (Est‐2019)</v>
      </c>
      <c r="H299" s="2" t="str">
        <f>A301</f>
        <v>Office Address: 101, R M Centre (Level‐3), CWN (C) 5, Gulshan Avenue, Gulshan, Dhaka‐121</v>
      </c>
      <c r="I299" s="2" t="str">
        <f>A302</f>
        <v>Email ID: md.hasan.imam23@gmail.com Contact: +88 01714110471</v>
      </c>
      <c r="J299" s="2" t="str">
        <f>A303</f>
        <v>website:</v>
      </c>
      <c r="K299" s="2" t="str">
        <f>A304</f>
        <v>NAME OF PROPRIETOR/ PARTNER/ DIRECTOR(s) &amp; DESIGNATION</v>
      </c>
      <c r="L299" s="2" t="str">
        <f>A305</f>
        <v>Ar. Mohammad Hasan Imam (I‐037) Principal Architect</v>
      </c>
      <c r="M299" s="2" t="str">
        <f>A306</f>
        <v>FULL TIME ARCHITECTURAL PERSONNEL OF THE FIRM/COMPANY:</v>
      </c>
      <c r="N299" s="2" t="str">
        <f>A307</f>
        <v>IAB Member Architect 1 Architectural Graduate 0 Total 1</v>
      </c>
    </row>
    <row r="300" ht="15.75" customHeight="1">
      <c r="A300" s="2" t="s">
        <v>233</v>
      </c>
      <c r="B300" s="2">
        <v>1.0</v>
      </c>
      <c r="D300" s="2" t="s">
        <v>922</v>
      </c>
    </row>
    <row r="301" ht="15.75" customHeight="1">
      <c r="A301" s="2" t="s">
        <v>234</v>
      </c>
      <c r="B301" s="2">
        <v>1.0</v>
      </c>
      <c r="D301" s="2" t="s">
        <v>923</v>
      </c>
    </row>
    <row r="302" ht="15.75" customHeight="1">
      <c r="A302" s="2" t="s">
        <v>235</v>
      </c>
      <c r="B302" s="2">
        <v>1.0</v>
      </c>
      <c r="D302" s="2" t="s">
        <v>924</v>
      </c>
    </row>
    <row r="303" ht="15.75" customHeight="1">
      <c r="A303" s="2" t="s">
        <v>936</v>
      </c>
      <c r="B303" s="2">
        <v>1.0</v>
      </c>
      <c r="D303" s="2" t="s">
        <v>925</v>
      </c>
    </row>
    <row r="304" ht="15.75" customHeight="1">
      <c r="A304" s="2" t="s">
        <v>7</v>
      </c>
      <c r="B304" s="2">
        <v>1.0</v>
      </c>
      <c r="D304" s="2" t="s">
        <v>926</v>
      </c>
    </row>
    <row r="305" ht="15.75" customHeight="1">
      <c r="A305" s="2" t="s">
        <v>236</v>
      </c>
      <c r="B305" s="2">
        <v>1.0</v>
      </c>
      <c r="D305" s="2" t="s">
        <v>927</v>
      </c>
    </row>
    <row r="306" ht="15.75" customHeight="1">
      <c r="A306" s="2" t="s">
        <v>37</v>
      </c>
      <c r="B306" s="2">
        <v>1.0</v>
      </c>
      <c r="D306" s="2" t="s">
        <v>928</v>
      </c>
    </row>
    <row r="307" ht="15.75" customHeight="1">
      <c r="A307" s="2" t="s">
        <v>66</v>
      </c>
      <c r="B307" s="2">
        <v>1.0</v>
      </c>
      <c r="D307" s="2" t="s">
        <v>929</v>
      </c>
    </row>
    <row r="308" ht="15.75" customHeight="1">
      <c r="A308" s="1" t="s">
        <v>237</v>
      </c>
      <c r="B308" s="1"/>
      <c r="C308" s="5">
        <f>B309+B310+B311+B312+B313+B314+B315+B316+B317</f>
        <v>8</v>
      </c>
      <c r="D308" s="2" t="s">
        <v>921</v>
      </c>
      <c r="F308" s="2" t="str">
        <f>A308</f>
        <v>IAB-RP-I01</v>
      </c>
      <c r="G308" s="2" t="str">
        <f>A309</f>
        <v>IDEA (Est‐2003)</v>
      </c>
      <c r="H308" s="2" t="str">
        <f>A310</f>
        <v>Office Address: JMC Plaza, Flat‐A‐6, House‐8/A/9, Road‐13(New), Dhanmondi, Dhaka‐1209</v>
      </c>
      <c r="I308" s="2" t="str">
        <f>A311</f>
        <v>Email ID: idea@enstudio.org Contact: +88‐02‐9144347</v>
      </c>
      <c r="J308" s="2" t="str">
        <f>A312</f>
        <v>website:</v>
      </c>
      <c r="K308" s="2" t="str">
        <f>A313</f>
        <v>NAME OF PROPRIETOR/ PARTNER/ DIRECTOR(s) &amp; DESIGNATION</v>
      </c>
      <c r="L308" s="2" t="str">
        <f>A314</f>
        <v>Ar. Moushumi Ahmed (A‐159) Managing Director</v>
      </c>
      <c r="M308" s="2" t="str">
        <f>A315</f>
        <v>FULL TIME TECHNICAL PERSONNEL OF THE FIRM/COMPANY:</v>
      </c>
      <c r="N308" s="2" t="str">
        <f>A316</f>
        <v>IAB Member Architect 1 Architectural Graduate 3 Total 4</v>
      </c>
    </row>
    <row r="309" ht="15.75" customHeight="1">
      <c r="A309" s="2" t="s">
        <v>238</v>
      </c>
      <c r="B309" s="2">
        <v>1.0</v>
      </c>
      <c r="D309" s="2" t="s">
        <v>922</v>
      </c>
    </row>
    <row r="310" ht="15.75" customHeight="1">
      <c r="A310" s="2" t="s">
        <v>239</v>
      </c>
      <c r="B310" s="2">
        <v>1.0</v>
      </c>
      <c r="D310" s="2" t="s">
        <v>923</v>
      </c>
    </row>
    <row r="311" ht="15.75" customHeight="1">
      <c r="A311" s="2" t="s">
        <v>240</v>
      </c>
      <c r="B311" s="2">
        <v>1.0</v>
      </c>
      <c r="D311" s="2" t="s">
        <v>924</v>
      </c>
    </row>
    <row r="312" ht="15.75" customHeight="1">
      <c r="A312" s="2" t="s">
        <v>936</v>
      </c>
      <c r="B312" s="2">
        <v>1.0</v>
      </c>
      <c r="D312" s="2" t="s">
        <v>925</v>
      </c>
    </row>
    <row r="313" ht="15.75" customHeight="1">
      <c r="A313" s="2" t="s">
        <v>7</v>
      </c>
      <c r="B313" s="2">
        <v>1.0</v>
      </c>
      <c r="D313" s="2" t="s">
        <v>926</v>
      </c>
    </row>
    <row r="314" ht="15.75" customHeight="1">
      <c r="A314" s="2" t="s">
        <v>241</v>
      </c>
      <c r="B314" s="2">
        <v>1.0</v>
      </c>
      <c r="D314" s="2" t="s">
        <v>927</v>
      </c>
    </row>
    <row r="315" ht="15.75" customHeight="1">
      <c r="A315" s="2" t="s">
        <v>9</v>
      </c>
      <c r="B315" s="2">
        <v>1.0</v>
      </c>
      <c r="D315" s="2" t="s">
        <v>928</v>
      </c>
    </row>
    <row r="316" ht="15.75" customHeight="1">
      <c r="A316" s="2" t="s">
        <v>89</v>
      </c>
      <c r="B316" s="2">
        <v>1.0</v>
      </c>
      <c r="D316" s="2" t="s">
        <v>929</v>
      </c>
    </row>
    <row r="317" ht="15.75" customHeight="1">
      <c r="A317" s="1" t="s">
        <v>242</v>
      </c>
      <c r="B317" s="1"/>
      <c r="C317" s="5">
        <f>B318+B319+B320+B322+B323+B324+B325+B326</f>
        <v>7</v>
      </c>
      <c r="D317" s="2" t="s">
        <v>921</v>
      </c>
      <c r="F317" s="2" t="str">
        <f>A317</f>
        <v>IAB-RP-I02</v>
      </c>
      <c r="G317" s="2" t="str">
        <f>A318</f>
        <v>IMAGE ARCHITECTS (Est‐2010)</v>
      </c>
      <c r="H317" s="2" t="str">
        <f>A319</f>
        <v>Office Address: House‐10/GA, Road‐2, Shyamoli, Dhaka‐1207</v>
      </c>
      <c r="I317" s="2" t="str">
        <f>A320</f>
        <v>Email ID: image_architects@yahoo.com Contact: +8801712573353, +8801681235750</v>
      </c>
      <c r="J317" s="2" t="str">
        <f>A321</f>
        <v>website:</v>
      </c>
      <c r="K317" s="2" t="str">
        <f>A322</f>
        <v>NAME OF PROPRIETOR/ PARTNER/ DIRECTOR(s) &amp; DESIGNATION</v>
      </c>
      <c r="L317" s="2" t="str">
        <f>A323</f>
        <v>Ar. Md. Emdadul Habib (H‐155) Principal Architect</v>
      </c>
      <c r="M317" s="2" t="str">
        <f>A324</f>
        <v>FULL TIME TECHNICAL PERSONNEL OF THE FIRM/COMPANY:</v>
      </c>
      <c r="N317" s="2" t="str">
        <f>A325</f>
        <v>IAB Member Architect 2 Architectural Graduate 3 Total 5</v>
      </c>
    </row>
    <row r="318" ht="15.75" customHeight="1">
      <c r="A318" s="2" t="s">
        <v>243</v>
      </c>
      <c r="B318" s="2">
        <v>1.0</v>
      </c>
      <c r="D318" s="2" t="s">
        <v>922</v>
      </c>
    </row>
    <row r="319" ht="15.75" customHeight="1">
      <c r="A319" s="2" t="s">
        <v>244</v>
      </c>
      <c r="B319" s="2">
        <v>1.0</v>
      </c>
      <c r="D319" s="2" t="s">
        <v>923</v>
      </c>
    </row>
    <row r="320" ht="15.75" customHeight="1">
      <c r="A320" s="2" t="s">
        <v>245</v>
      </c>
      <c r="B320" s="2">
        <v>1.0</v>
      </c>
      <c r="D320" s="2" t="s">
        <v>924</v>
      </c>
    </row>
    <row r="321" ht="15.75" customHeight="1">
      <c r="A321" s="2" t="s">
        <v>936</v>
      </c>
      <c r="B321" s="2"/>
      <c r="D321" s="2" t="s">
        <v>925</v>
      </c>
    </row>
    <row r="322" ht="15.75" customHeight="1">
      <c r="A322" s="2" t="s">
        <v>7</v>
      </c>
      <c r="B322" s="2">
        <v>1.0</v>
      </c>
      <c r="D322" s="2" t="s">
        <v>926</v>
      </c>
    </row>
    <row r="323" ht="15.75" customHeight="1">
      <c r="A323" s="2" t="s">
        <v>246</v>
      </c>
      <c r="B323" s="2">
        <v>1.0</v>
      </c>
      <c r="D323" s="2" t="s">
        <v>927</v>
      </c>
    </row>
    <row r="324" ht="15.75" customHeight="1">
      <c r="A324" s="2" t="s">
        <v>9</v>
      </c>
      <c r="B324" s="2">
        <v>1.0</v>
      </c>
      <c r="D324" s="2" t="s">
        <v>928</v>
      </c>
    </row>
    <row r="325" ht="15.75" customHeight="1">
      <c r="A325" s="2" t="s">
        <v>31</v>
      </c>
      <c r="B325" s="2">
        <v>1.0</v>
      </c>
      <c r="D325" s="2" t="s">
        <v>929</v>
      </c>
    </row>
    <row r="326" ht="15.75" customHeight="1">
      <c r="A326" s="1" t="s">
        <v>247</v>
      </c>
      <c r="B326" s="1"/>
      <c r="C326" s="5">
        <f>B327+B328+B329+B330+B331+B332+B333+B334</f>
        <v>8</v>
      </c>
      <c r="D326" s="2" t="s">
        <v>921</v>
      </c>
      <c r="F326" s="2" t="str">
        <f>A326</f>
        <v>IAB-RP-I03</v>
      </c>
      <c r="G326" s="2" t="str">
        <f>A327</f>
        <v>INGRID ARCHITECTS (Est‐1996)</v>
      </c>
      <c r="H326" s="2" t="str">
        <f>A328</f>
        <v>Office Address: House#394(3rd floor), Road#29, DOHS Mohakhali , Dhaka 1206</v>
      </c>
      <c r="I326" s="2" t="str">
        <f>A329</f>
        <v>Email ID: ingrid_dhaka@yahoo.com Contact: +88‐02‐9880507</v>
      </c>
      <c r="J326" s="2" t="str">
        <f>A330</f>
        <v>Website :</v>
      </c>
      <c r="K326" s="2" t="str">
        <f>A331</f>
        <v>NAME OF PROPRIETOR/ PARTNER/ DIRECTOR(s) &amp; DESIGNATION</v>
      </c>
      <c r="L326" s="2" t="str">
        <f>A332</f>
        <v>Ar. Anwarul Islam Khan (K‐083) Partner &amp; A.K.M. Abu Hasan (H‐116) Partner &amp; Md. Mahfil Ali (A‐076) Partner &amp;  Md. Mushtaque Ahmed Tanvir (A‐096) Partner</v>
      </c>
      <c r="M326" s="2" t="str">
        <f>A333</f>
        <v>FULL TIME TECHNICAL PERSONNEL OF THE FIRM/COMPANY:</v>
      </c>
      <c r="N326" s="2" t="str">
        <f>A334</f>
        <v>IAB Member Architect 3 Architectural Graduate 7 Total 10</v>
      </c>
    </row>
    <row r="327" ht="15.75" customHeight="1">
      <c r="A327" s="2" t="s">
        <v>248</v>
      </c>
      <c r="B327" s="2">
        <v>1.0</v>
      </c>
      <c r="D327" s="2" t="s">
        <v>922</v>
      </c>
    </row>
    <row r="328" ht="15.75" customHeight="1">
      <c r="A328" s="2" t="s">
        <v>249</v>
      </c>
      <c r="B328" s="2">
        <v>1.0</v>
      </c>
      <c r="D328" s="2" t="s">
        <v>923</v>
      </c>
    </row>
    <row r="329" ht="15.75" customHeight="1">
      <c r="A329" s="2" t="s">
        <v>250</v>
      </c>
      <c r="B329" s="2">
        <v>1.0</v>
      </c>
      <c r="D329" s="2" t="s">
        <v>924</v>
      </c>
    </row>
    <row r="330" ht="15.75" customHeight="1">
      <c r="A330" s="2" t="s">
        <v>50</v>
      </c>
      <c r="B330" s="2">
        <v>1.0</v>
      </c>
      <c r="D330" s="2" t="s">
        <v>925</v>
      </c>
    </row>
    <row r="331" ht="15.75" customHeight="1">
      <c r="A331" s="2" t="s">
        <v>7</v>
      </c>
      <c r="B331" s="2">
        <v>1.0</v>
      </c>
      <c r="D331" s="2" t="s">
        <v>926</v>
      </c>
    </row>
    <row r="332" ht="15.75" customHeight="1">
      <c r="A332" s="2" t="s">
        <v>946</v>
      </c>
      <c r="B332" s="2">
        <v>1.0</v>
      </c>
      <c r="D332" s="2" t="s">
        <v>927</v>
      </c>
    </row>
    <row r="333" ht="15.75" customHeight="1">
      <c r="A333" s="2" t="s">
        <v>9</v>
      </c>
      <c r="B333" s="2">
        <v>1.0</v>
      </c>
      <c r="D333" s="2" t="s">
        <v>928</v>
      </c>
    </row>
    <row r="334" ht="15.75" customHeight="1">
      <c r="A334" s="2" t="s">
        <v>255</v>
      </c>
      <c r="B334" s="2">
        <v>1.0</v>
      </c>
      <c r="D334" s="2" t="s">
        <v>929</v>
      </c>
    </row>
    <row r="335" ht="15.75" customHeight="1">
      <c r="A335" s="1" t="s">
        <v>256</v>
      </c>
      <c r="B335" s="1"/>
      <c r="C335" s="5">
        <f>B336+B337+B338+B340+B341+B342+B343+B344</f>
        <v>7</v>
      </c>
      <c r="D335" s="2" t="s">
        <v>921</v>
      </c>
      <c r="F335" s="2" t="str">
        <f>A335</f>
        <v>IAB-RP-I04</v>
      </c>
      <c r="G335" s="2" t="str">
        <f>A336</f>
        <v>ICON DESIGN STUDIO (Est‐2014)</v>
      </c>
      <c r="H335" s="2" t="str">
        <f>A337</f>
        <v>Office Address: Icon Elan, House‐29, Road‐7, 1 st Floor, Dhanmondi, Dhaka‐1205</v>
      </c>
      <c r="I335" s="2" t="str">
        <f>A338</f>
        <v>Email ID: suriti@icon‐bd.com Contact: +8801819211608</v>
      </c>
      <c r="J335" s="2" t="str">
        <f>A339</f>
        <v>website:</v>
      </c>
      <c r="K335" s="2" t="str">
        <f>A340</f>
        <v>NAME OF PROPRIETOR/ PARTNER/ DIRECTOR(s) &amp; DESIGNATION:</v>
      </c>
      <c r="L335" s="2" t="str">
        <f>A341</f>
        <v>Ar. Suriti Tassannum (T‐022) Principal Architect</v>
      </c>
      <c r="M335" s="2" t="str">
        <f>A342</f>
        <v>FULL TIME ARCHITECTURAL PERSONNEL OF THE FIRM/COMPANY:</v>
      </c>
      <c r="N335" s="2" t="str">
        <f>A343</f>
        <v>IAB Member Architect 2 Architectural Graduate 0 Total 2</v>
      </c>
    </row>
    <row r="336" ht="15.75" customHeight="1">
      <c r="A336" s="2" t="s">
        <v>257</v>
      </c>
      <c r="B336" s="2">
        <v>1.0</v>
      </c>
      <c r="D336" s="2" t="s">
        <v>922</v>
      </c>
    </row>
    <row r="337" ht="15.75" customHeight="1">
      <c r="A337" s="2" t="s">
        <v>258</v>
      </c>
      <c r="B337" s="2">
        <v>1.0</v>
      </c>
      <c r="D337" s="2" t="s">
        <v>923</v>
      </c>
    </row>
    <row r="338" ht="15.75" customHeight="1">
      <c r="A338" s="2" t="s">
        <v>259</v>
      </c>
      <c r="B338" s="2">
        <v>1.0</v>
      </c>
      <c r="D338" s="2" t="s">
        <v>924</v>
      </c>
    </row>
    <row r="339" ht="15.75" customHeight="1">
      <c r="A339" s="2" t="s">
        <v>936</v>
      </c>
      <c r="B339" s="2"/>
      <c r="D339" s="2" t="s">
        <v>925</v>
      </c>
    </row>
    <row r="340" ht="15.75" customHeight="1">
      <c r="A340" s="2" t="s">
        <v>44</v>
      </c>
      <c r="B340" s="2">
        <v>1.0</v>
      </c>
      <c r="D340" s="2" t="s">
        <v>926</v>
      </c>
    </row>
    <row r="341" ht="15.75" customHeight="1">
      <c r="A341" s="2" t="s">
        <v>260</v>
      </c>
      <c r="B341" s="2">
        <v>1.0</v>
      </c>
      <c r="D341" s="2" t="s">
        <v>927</v>
      </c>
    </row>
    <row r="342" ht="15.75" customHeight="1">
      <c r="A342" s="2" t="s">
        <v>37</v>
      </c>
      <c r="B342" s="2">
        <v>1.0</v>
      </c>
      <c r="D342" s="2" t="s">
        <v>928</v>
      </c>
    </row>
    <row r="343" ht="15.75" customHeight="1">
      <c r="A343" s="2" t="s">
        <v>261</v>
      </c>
      <c r="B343" s="2">
        <v>1.0</v>
      </c>
      <c r="D343" s="2" t="s">
        <v>929</v>
      </c>
    </row>
    <row r="344" ht="15.75" customHeight="1">
      <c r="A344" s="1" t="s">
        <v>262</v>
      </c>
      <c r="B344" s="1"/>
      <c r="C344" s="5">
        <f>B345+B346+B347+B348+B349+B350+B351+B352</f>
        <v>8</v>
      </c>
      <c r="D344" s="2" t="s">
        <v>921</v>
      </c>
      <c r="F344" s="2" t="str">
        <f>A344</f>
        <v>IAB-RP-I05</v>
      </c>
      <c r="G344" s="2" t="str">
        <f>A345</f>
        <v>INARCH STUDIO AND CONSTRUCTION LIMITED (Est‐2010)</v>
      </c>
      <c r="H344" s="2" t="str">
        <f>A346</f>
        <v>Office Address: House‐140, 3rd Floor, Road‐04, New DOHS, Mohakhali, Dhaka‐1206</v>
      </c>
      <c r="I344" s="2" t="str">
        <f>A347</f>
        <v>Email ID: studio.inarch@gmail.com</v>
      </c>
      <c r="J344" s="2" t="str">
        <f>A348</f>
        <v>Website : www.studioinarch.com.bd Contact: +8801715005352</v>
      </c>
      <c r="K344" s="2" t="str">
        <f>A349</f>
        <v>NAME OF PROPRIETOR/ PARTNER/ DIRECTOR(s) &amp; DESIGNATION</v>
      </c>
      <c r="L344" s="2" t="str">
        <f>A350</f>
        <v>Ar. Mohammad Mamunur Rasheed (R‐089) Managing Director &amp; Principal Architect</v>
      </c>
      <c r="M344" s="2" t="str">
        <f>A351</f>
        <v>FULL TIME ARCHITECTURAL PERSONNEL OF THE FIRM/COMPANY:</v>
      </c>
      <c r="N344" s="2" t="str">
        <f>A352</f>
        <v>IAB Member Architect 2 Architectural Graduate 1 Total 3</v>
      </c>
    </row>
    <row r="345" ht="15.75" customHeight="1">
      <c r="A345" s="2" t="s">
        <v>263</v>
      </c>
      <c r="B345" s="2">
        <v>1.0</v>
      </c>
      <c r="D345" s="2" t="s">
        <v>922</v>
      </c>
    </row>
    <row r="346" ht="15.75" customHeight="1">
      <c r="A346" s="2" t="s">
        <v>264</v>
      </c>
      <c r="B346" s="2">
        <v>1.0</v>
      </c>
      <c r="D346" s="2" t="s">
        <v>923</v>
      </c>
    </row>
    <row r="347" ht="15.75" customHeight="1">
      <c r="A347" s="2" t="s">
        <v>265</v>
      </c>
      <c r="B347" s="2">
        <v>1.0</v>
      </c>
      <c r="D347" s="2" t="s">
        <v>924</v>
      </c>
    </row>
    <row r="348" ht="15.75" customHeight="1">
      <c r="A348" s="2" t="s">
        <v>266</v>
      </c>
      <c r="B348" s="2">
        <v>1.0</v>
      </c>
      <c r="D348" s="2" t="s">
        <v>925</v>
      </c>
    </row>
    <row r="349" ht="15.75" customHeight="1">
      <c r="A349" s="2" t="s">
        <v>7</v>
      </c>
      <c r="B349" s="2">
        <v>1.0</v>
      </c>
      <c r="D349" s="2" t="s">
        <v>926</v>
      </c>
    </row>
    <row r="350" ht="15.75" customHeight="1">
      <c r="A350" s="2" t="s">
        <v>947</v>
      </c>
      <c r="B350" s="2">
        <v>1.0</v>
      </c>
      <c r="D350" s="2" t="s">
        <v>927</v>
      </c>
    </row>
    <row r="351" ht="15.75" customHeight="1">
      <c r="A351" s="2" t="s">
        <v>37</v>
      </c>
      <c r="B351" s="2">
        <v>1.0</v>
      </c>
      <c r="D351" s="2" t="s">
        <v>928</v>
      </c>
    </row>
    <row r="352" ht="15.75" customHeight="1">
      <c r="A352" s="2" t="s">
        <v>52</v>
      </c>
      <c r="B352" s="2">
        <v>1.0</v>
      </c>
      <c r="D352" s="2" t="s">
        <v>929</v>
      </c>
    </row>
    <row r="353" ht="15.75" customHeight="1">
      <c r="A353" s="1" t="s">
        <v>269</v>
      </c>
      <c r="B353" s="1"/>
      <c r="C353" s="5">
        <f>B354+B355+B356+B357+B358+B359+B360+B361</f>
        <v>8</v>
      </c>
      <c r="D353" s="2" t="s">
        <v>921</v>
      </c>
      <c r="F353" s="2" t="str">
        <f>A353</f>
        <v>IAB-RP-I06</v>
      </c>
      <c r="G353" s="2" t="str">
        <f>A354</f>
        <v>INSIGHT ARCHITECTS (Est‐2010)</v>
      </c>
      <c r="H353" s="2" t="str">
        <f>A355</f>
        <v>Office Address: House‐122, Road‐01, Mohammadi Housing Society, Mohammadpur, Dhaka‐1207</v>
      </c>
      <c r="I353" s="2" t="str">
        <f>A356</f>
        <v>Email ID: insightarcdhaka@gmail.com Contact: +8801711577032</v>
      </c>
      <c r="J353" s="2" t="str">
        <f>A357</f>
        <v>Website : www.facebook.com/insightarch</v>
      </c>
      <c r="K353" s="2" t="str">
        <f>A358</f>
        <v>NAME OF PROPRIETOR/ PARTNER/ DIRECTOR(s) &amp; DESIGNATION</v>
      </c>
      <c r="L353" s="2" t="str">
        <f>A359</f>
        <v>Ar. Masud Ur Rashid (R‐104) Principal Architect</v>
      </c>
      <c r="M353" s="2" t="str">
        <f>A360</f>
        <v>FULL TIME ARCHITECTURAL PERSONNEL OF THE FIRM/COMPANY:</v>
      </c>
      <c r="N353" s="2" t="str">
        <f>A361</f>
        <v>IAB Member Architect 6 Architectural Graduate 1 Total 7</v>
      </c>
    </row>
    <row r="354" ht="15.75" customHeight="1">
      <c r="A354" s="2" t="s">
        <v>270</v>
      </c>
      <c r="B354" s="2">
        <v>1.0</v>
      </c>
      <c r="D354" s="2" t="s">
        <v>922</v>
      </c>
    </row>
    <row r="355" ht="15.75" customHeight="1">
      <c r="A355" s="2" t="s">
        <v>271</v>
      </c>
      <c r="B355" s="2">
        <v>1.0</v>
      </c>
      <c r="D355" s="2" t="s">
        <v>923</v>
      </c>
    </row>
    <row r="356" ht="15.75" customHeight="1">
      <c r="A356" s="2" t="s">
        <v>272</v>
      </c>
      <c r="B356" s="2">
        <v>1.0</v>
      </c>
      <c r="D356" s="2" t="s">
        <v>924</v>
      </c>
    </row>
    <row r="357" ht="15.75" customHeight="1">
      <c r="A357" s="2" t="s">
        <v>273</v>
      </c>
      <c r="B357" s="2">
        <v>1.0</v>
      </c>
      <c r="D357" s="2" t="s">
        <v>925</v>
      </c>
    </row>
    <row r="358" ht="15.75" customHeight="1">
      <c r="A358" s="2" t="s">
        <v>7</v>
      </c>
      <c r="B358" s="2">
        <v>1.0</v>
      </c>
      <c r="D358" s="2" t="s">
        <v>926</v>
      </c>
    </row>
    <row r="359" ht="15.75" customHeight="1">
      <c r="A359" s="2" t="s">
        <v>274</v>
      </c>
      <c r="B359" s="2">
        <v>1.0</v>
      </c>
      <c r="D359" s="2" t="s">
        <v>927</v>
      </c>
    </row>
    <row r="360" ht="15.75" customHeight="1">
      <c r="A360" s="2" t="s">
        <v>37</v>
      </c>
      <c r="B360" s="2">
        <v>1.0</v>
      </c>
      <c r="D360" s="2" t="s">
        <v>928</v>
      </c>
    </row>
    <row r="361" ht="15.75" customHeight="1">
      <c r="A361" s="2" t="s">
        <v>275</v>
      </c>
      <c r="B361" s="2">
        <v>1.0</v>
      </c>
      <c r="D361" s="2" t="s">
        <v>929</v>
      </c>
    </row>
    <row r="362" ht="15.75" customHeight="1">
      <c r="A362" s="1" t="s">
        <v>276</v>
      </c>
      <c r="B362" s="1"/>
      <c r="C362" s="5">
        <f>B363+B364+B365+B366+B367+B368+B369+B370</f>
        <v>8</v>
      </c>
      <c r="D362" s="2" t="s">
        <v>921</v>
      </c>
      <c r="F362" s="2" t="str">
        <f>A362</f>
        <v>IAB-RP-I07</v>
      </c>
      <c r="G362" s="2" t="str">
        <f>A363</f>
        <v>IN QUEST DESIGN STUDIO (Est‐2017)</v>
      </c>
      <c r="H362" s="2" t="str">
        <f>A364</f>
        <v>Office Address: House‐5/12, Ground Floor, Block‐D, Lalmatia, Dhaka‐1209</v>
      </c>
      <c r="I362" s="2" t="str">
        <f>A365</f>
        <v>Email ID: inquestbd@gmail.com Contact: 02 58153033, +88 01713038759, +88 01717602792</v>
      </c>
      <c r="J362" s="2" t="str">
        <f>A366</f>
        <v>Website: www.inquestbd.com</v>
      </c>
      <c r="K362" s="2" t="str">
        <f>A367</f>
        <v>NAME OF PROPRIETOR/ PARTNER/ DIRECTOR(s) &amp; DESIGNATION</v>
      </c>
      <c r="L362" s="2" t="str">
        <f>A368</f>
        <v>Ar. Selim Altaf Biplob (B‐025) Sr. Partner &amp; Ar. Tamanna Sayeed (S‐061) Sr. Partner &amp; Ar. Khalid Bin Kabir (K‐129) Partner</v>
      </c>
      <c r="M362" s="2" t="str">
        <f>A369</f>
        <v>FULL TIME ARCHITECTURAL PERSONNEL OF THE FIRM/COMPANY:</v>
      </c>
      <c r="N362" s="2" t="str">
        <f>A370</f>
        <v>IAB Member Architect 7 Architectural Graduate 1 Total 8</v>
      </c>
    </row>
    <row r="363" ht="15.75" customHeight="1">
      <c r="A363" s="2" t="s">
        <v>277</v>
      </c>
      <c r="B363" s="2">
        <v>1.0</v>
      </c>
      <c r="D363" s="2" t="s">
        <v>922</v>
      </c>
    </row>
    <row r="364" ht="15.75" customHeight="1">
      <c r="A364" s="2" t="s">
        <v>278</v>
      </c>
      <c r="B364" s="2">
        <v>1.0</v>
      </c>
      <c r="D364" s="2" t="s">
        <v>923</v>
      </c>
    </row>
    <row r="365" ht="15.75" customHeight="1">
      <c r="A365" s="2" t="s">
        <v>279</v>
      </c>
      <c r="B365" s="2">
        <v>1.0</v>
      </c>
      <c r="D365" s="2" t="s">
        <v>924</v>
      </c>
    </row>
    <row r="366" ht="15.75" customHeight="1">
      <c r="A366" s="2" t="s">
        <v>280</v>
      </c>
      <c r="B366" s="2">
        <v>1.0</v>
      </c>
      <c r="D366" s="2" t="s">
        <v>925</v>
      </c>
    </row>
    <row r="367" ht="15.75" customHeight="1">
      <c r="A367" s="2" t="s">
        <v>7</v>
      </c>
      <c r="B367" s="2">
        <v>1.0</v>
      </c>
      <c r="D367" s="2" t="s">
        <v>926</v>
      </c>
    </row>
    <row r="368" ht="15.75" customHeight="1">
      <c r="A368" s="2" t="s">
        <v>948</v>
      </c>
      <c r="B368" s="2">
        <v>1.0</v>
      </c>
      <c r="D368" s="2" t="s">
        <v>927</v>
      </c>
    </row>
    <row r="369" ht="15.75" customHeight="1">
      <c r="A369" s="2" t="s">
        <v>37</v>
      </c>
      <c r="B369" s="2">
        <v>1.0</v>
      </c>
      <c r="D369" s="2" t="s">
        <v>928</v>
      </c>
    </row>
    <row r="370" ht="15.75" customHeight="1">
      <c r="A370" s="2" t="s">
        <v>284</v>
      </c>
      <c r="B370" s="2">
        <v>1.0</v>
      </c>
      <c r="D370" s="2" t="s">
        <v>929</v>
      </c>
    </row>
    <row r="371" ht="15.75" customHeight="1">
      <c r="A371" s="1" t="s">
        <v>285</v>
      </c>
      <c r="B371" s="1"/>
      <c r="C371" s="5">
        <f>B372+B373+B374+B375+B376+B377+B378+B379</f>
        <v>8</v>
      </c>
      <c r="D371" s="2" t="s">
        <v>921</v>
      </c>
      <c r="F371" s="2" t="str">
        <f>A371</f>
        <v>IAB-RP-I08</v>
      </c>
      <c r="G371" s="2" t="str">
        <f>A372</f>
        <v>INTEGRATED DESIGNERS, ENGINEERS AND ARCHITECTS LIMITED (Est‐2020)</v>
      </c>
      <c r="H371" s="2" t="str">
        <f>A373</f>
        <v>Office Address: Flat‐C5, Mother’s Dream Apartments, 1/2, 1/3 Darussalam, Dhaka‐1216</v>
      </c>
      <c r="I371" s="2" t="str">
        <f>A374</f>
        <v>Email ID: contact.ideal.consultants@gmail.com Contact: +88 01912085801</v>
      </c>
      <c r="J371" s="2" t="str">
        <f>A375</f>
        <v>Website:</v>
      </c>
      <c r="K371" s="2" t="str">
        <f>A376</f>
        <v>NAME OF PROPRIETOR/ PARTNER/ DIRECTOR(s) &amp; DESIGNATION</v>
      </c>
      <c r="L371" s="2" t="str">
        <f>A377</f>
        <v>Ar. Syed Abdul Halim (H‐233) Managing Director</v>
      </c>
      <c r="M371" s="2" t="str">
        <f>A378</f>
        <v>FULL TIME ARCHITECTURAL PERSONNEL OF THE FIRM/COMPANY:</v>
      </c>
      <c r="N371" s="2" t="str">
        <f>A379</f>
        <v>IAB Member Architect 03 Architectural Graduate Total 03</v>
      </c>
    </row>
    <row r="372" ht="15.75" customHeight="1">
      <c r="A372" s="2" t="s">
        <v>286</v>
      </c>
      <c r="B372" s="2">
        <v>1.0</v>
      </c>
      <c r="D372" s="2" t="s">
        <v>922</v>
      </c>
    </row>
    <row r="373" ht="15.75" customHeight="1">
      <c r="A373" s="2" t="s">
        <v>287</v>
      </c>
      <c r="B373" s="2">
        <v>1.0</v>
      </c>
      <c r="D373" s="2" t="s">
        <v>923</v>
      </c>
    </row>
    <row r="374" ht="15.75" customHeight="1">
      <c r="A374" s="2" t="s">
        <v>288</v>
      </c>
      <c r="B374" s="2">
        <v>1.0</v>
      </c>
      <c r="D374" s="2" t="s">
        <v>924</v>
      </c>
    </row>
    <row r="375" ht="15.75" customHeight="1">
      <c r="A375" s="2" t="s">
        <v>289</v>
      </c>
      <c r="B375" s="2">
        <v>1.0</v>
      </c>
      <c r="D375" s="2" t="s">
        <v>925</v>
      </c>
    </row>
    <row r="376" ht="15.75" customHeight="1">
      <c r="A376" s="2" t="s">
        <v>7</v>
      </c>
      <c r="B376" s="2">
        <v>1.0</v>
      </c>
      <c r="D376" s="2" t="s">
        <v>926</v>
      </c>
    </row>
    <row r="377" ht="15.75" customHeight="1">
      <c r="A377" s="2" t="s">
        <v>290</v>
      </c>
      <c r="B377" s="2">
        <v>1.0</v>
      </c>
      <c r="D377" s="2" t="s">
        <v>927</v>
      </c>
    </row>
    <row r="378" ht="15.75" customHeight="1">
      <c r="A378" s="2" t="s">
        <v>37</v>
      </c>
      <c r="B378" s="2">
        <v>1.0</v>
      </c>
      <c r="D378" s="2" t="s">
        <v>928</v>
      </c>
    </row>
    <row r="379" ht="15.75" customHeight="1">
      <c r="A379" s="2" t="s">
        <v>291</v>
      </c>
      <c r="B379" s="2">
        <v>1.0</v>
      </c>
      <c r="D379" s="2" t="s">
        <v>929</v>
      </c>
    </row>
    <row r="380" ht="15.75" customHeight="1">
      <c r="A380" s="1" t="s">
        <v>292</v>
      </c>
      <c r="B380" s="1"/>
      <c r="C380" s="5">
        <f>B381+B382+B383+B384+B385+B386+B387+B388</f>
        <v>8</v>
      </c>
      <c r="D380" s="2" t="s">
        <v>921</v>
      </c>
      <c r="F380" s="2" t="str">
        <f>A380</f>
        <v>IAB-RP-J01</v>
      </c>
      <c r="G380" s="2" t="str">
        <f>A381</f>
        <v>J.A.ARCHITECTS LTD. (Est‐2005)</v>
      </c>
      <c r="H380" s="2" t="str">
        <f>A382</f>
        <v>Office Address: Apt: C1, 1st Floor, Rabbee House, CEN(B)11, Road 99,Gulshan 2, Dhaka‐1212</v>
      </c>
      <c r="I380" s="2" t="str">
        <f>A383</f>
        <v>Email ID: mail@jaarchitects.com.bd</v>
      </c>
      <c r="J380" s="2" t="str">
        <f>A384</f>
        <v>Website : www.jaarchitects.com.bd Contact: +88‐02‐9889196, 9887311</v>
      </c>
      <c r="K380" s="2" t="str">
        <f>A385</f>
        <v>NAME OF PROPRIETOR/ PARTNER/ DIRECTOR(s) &amp; DESIGNATION</v>
      </c>
      <c r="L380" s="2" t="str">
        <f>A386</f>
        <v>Ar. Afroza Ahmed (A‐087) Chairperson &amp; Ar. Jalal Ahmed (A‐036) Managing Director &amp; Ar. Md. Ismail Ibrahim (I‐057) Director &amp; Ar. Md. Atiqul Haq (H‐073) Director</v>
      </c>
      <c r="M380" s="2" t="str">
        <f>A387</f>
        <v>FULL TIME ARCHITECTURAL PERSONNEL OF THE FIRM/COMPANY:</v>
      </c>
      <c r="N380" s="2" t="str">
        <f>A388</f>
        <v>IAB Member Architect 13 Architectural Graduate 3 Total 16</v>
      </c>
    </row>
    <row r="381" ht="15.75" customHeight="1">
      <c r="A381" s="2" t="s">
        <v>293</v>
      </c>
      <c r="B381" s="2">
        <v>1.0</v>
      </c>
      <c r="D381" s="2" t="s">
        <v>922</v>
      </c>
    </row>
    <row r="382" ht="15.75" customHeight="1">
      <c r="A382" s="2" t="s">
        <v>294</v>
      </c>
      <c r="B382" s="2">
        <v>1.0</v>
      </c>
      <c r="D382" s="2" t="s">
        <v>923</v>
      </c>
    </row>
    <row r="383" ht="15.75" customHeight="1">
      <c r="A383" s="2" t="s">
        <v>295</v>
      </c>
      <c r="B383" s="2">
        <v>1.0</v>
      </c>
      <c r="D383" s="2" t="s">
        <v>924</v>
      </c>
    </row>
    <row r="384" ht="15.75" customHeight="1">
      <c r="A384" s="2" t="s">
        <v>296</v>
      </c>
      <c r="B384" s="2">
        <v>1.0</v>
      </c>
      <c r="D384" s="2" t="s">
        <v>925</v>
      </c>
    </row>
    <row r="385" ht="15.75" customHeight="1">
      <c r="A385" s="2" t="s">
        <v>7</v>
      </c>
      <c r="B385" s="2">
        <v>1.0</v>
      </c>
      <c r="D385" s="2" t="s">
        <v>926</v>
      </c>
    </row>
    <row r="386" ht="15.75" customHeight="1">
      <c r="A386" s="2" t="s">
        <v>949</v>
      </c>
      <c r="B386" s="2">
        <v>1.0</v>
      </c>
      <c r="D386" s="2" t="s">
        <v>927</v>
      </c>
    </row>
    <row r="387" ht="15.75" customHeight="1">
      <c r="A387" s="2" t="s">
        <v>37</v>
      </c>
      <c r="B387" s="2">
        <v>1.0</v>
      </c>
      <c r="D387" s="2" t="s">
        <v>928</v>
      </c>
    </row>
    <row r="388" ht="15.75" customHeight="1">
      <c r="A388" s="2" t="s">
        <v>301</v>
      </c>
      <c r="B388" s="2">
        <v>1.0</v>
      </c>
      <c r="D388" s="2" t="s">
        <v>929</v>
      </c>
    </row>
    <row r="389" ht="15.75" customHeight="1">
      <c r="A389" s="1" t="s">
        <v>302</v>
      </c>
      <c r="B389" s="1"/>
      <c r="C389" s="5">
        <f>B390+B391+B392+B394+B395+B396+B397+B398+B393</f>
        <v>8</v>
      </c>
      <c r="D389" s="2" t="s">
        <v>921</v>
      </c>
      <c r="F389" s="2" t="str">
        <f>A389</f>
        <v>IAB-RP-J02</v>
      </c>
      <c r="G389" s="2" t="str">
        <f>A390</f>
        <v>J.M. CONSULTANT (Est‐2009)</v>
      </c>
      <c r="H389" s="2" t="str">
        <f>A391</f>
        <v>Office Address: 937, Flat‐G5, Eidgha Road, Ibrahimpur, Kafrul, Cantonment, Dhaka</v>
      </c>
      <c r="I389" s="2" t="str">
        <f>A392</f>
        <v>Email ID: consultant.jm878@gmail.com, mrinmoyadhakary@yahoo.com Contact: +8801712621792, +8801942909110</v>
      </c>
      <c r="J389" s="2" t="str">
        <f>A393</f>
        <v>website:</v>
      </c>
      <c r="K389" s="2" t="str">
        <f>A394</f>
        <v>NAME OF PROPRIETOR/ PARTNER/ DIRECTOR(s) &amp; DESIGNATION</v>
      </c>
      <c r="L389" s="2" t="str">
        <f>A395</f>
        <v>Ar. Mrinmoy Adhikary (A‐121) Sr. Architect</v>
      </c>
      <c r="M389" s="2" t="str">
        <f>A396</f>
        <v>FULL TIME ARCHITECTURAL PERSONNEL OF THE FIRM/COMPANY:</v>
      </c>
      <c r="N389" s="2" t="str">
        <f>A397</f>
        <v>IAB Member Architect 1 Architectural Graduate 2 Total 3</v>
      </c>
    </row>
    <row r="390" ht="15.75" customHeight="1">
      <c r="A390" s="2" t="s">
        <v>303</v>
      </c>
      <c r="B390" s="2">
        <v>1.0</v>
      </c>
      <c r="D390" s="2" t="s">
        <v>922</v>
      </c>
    </row>
    <row r="391" ht="15.75" customHeight="1">
      <c r="A391" s="2" t="s">
        <v>304</v>
      </c>
      <c r="B391" s="2">
        <v>1.0</v>
      </c>
      <c r="D391" s="2" t="s">
        <v>923</v>
      </c>
    </row>
    <row r="392" ht="15.75" customHeight="1">
      <c r="A392" s="2" t="s">
        <v>305</v>
      </c>
      <c r="B392" s="2">
        <v>1.0</v>
      </c>
      <c r="D392" s="2" t="s">
        <v>924</v>
      </c>
    </row>
    <row r="393" ht="15.75" customHeight="1">
      <c r="A393" s="2" t="s">
        <v>936</v>
      </c>
      <c r="B393" s="2">
        <v>1.0</v>
      </c>
      <c r="D393" s="2" t="s">
        <v>925</v>
      </c>
    </row>
    <row r="394" ht="15.75" customHeight="1">
      <c r="A394" s="2" t="s">
        <v>7</v>
      </c>
      <c r="B394" s="2">
        <v>1.0</v>
      </c>
      <c r="D394" s="2" t="s">
        <v>926</v>
      </c>
    </row>
    <row r="395" ht="15.75" customHeight="1">
      <c r="A395" s="2" t="s">
        <v>306</v>
      </c>
      <c r="B395" s="2">
        <v>1.0</v>
      </c>
      <c r="D395" s="2" t="s">
        <v>927</v>
      </c>
    </row>
    <row r="396" ht="15.75" customHeight="1">
      <c r="A396" s="2" t="s">
        <v>37</v>
      </c>
      <c r="B396" s="2">
        <v>1.0</v>
      </c>
      <c r="D396" s="2" t="s">
        <v>928</v>
      </c>
    </row>
    <row r="397" ht="15.75" customHeight="1">
      <c r="A397" s="2" t="s">
        <v>130</v>
      </c>
      <c r="B397" s="2">
        <v>1.0</v>
      </c>
      <c r="D397" s="2" t="s">
        <v>929</v>
      </c>
    </row>
    <row r="398" ht="15.75" customHeight="1">
      <c r="A398" s="1" t="s">
        <v>307</v>
      </c>
      <c r="B398" s="1"/>
      <c r="C398" s="5">
        <f>B399+B400+B401+B402+B403+B404+B405+B406</f>
        <v>8</v>
      </c>
      <c r="D398" s="2" t="s">
        <v>921</v>
      </c>
      <c r="F398" s="2" t="str">
        <f>A398</f>
        <v>IAB-RP-K01</v>
      </c>
      <c r="G398" s="2" t="str">
        <f>A399</f>
        <v>KHETRO (Est‐2007)</v>
      </c>
      <c r="H398" s="2" t="str">
        <f>A400</f>
        <v>Office Address: Flat ‐1, House‐431,Road‐30,New DOHS,Mohakhali, Dhaka‐1206</v>
      </c>
      <c r="I398" s="2" t="str">
        <f>A401</f>
        <v>Email ID: info@khetro.com</v>
      </c>
      <c r="J398" s="2" t="str">
        <f>A402</f>
        <v>Website : www.khetro.com Contact: +88‐02‐8872212</v>
      </c>
      <c r="K398" s="2" t="str">
        <f>A403</f>
        <v>NAME OF PROPRIETOR/ PARTNER/ DIRECTOR(s) &amp; DESIGNATION</v>
      </c>
      <c r="L398" s="2" t="str">
        <f>A404</f>
        <v>Ar. Al Numan Md. Yunus(Y‐008) Managing Partner &amp; Ar. Dhrubajyoti Das (D‐014) Partner &amp; Md. Shumsuddin Ahmed Bhuiyan (B‐041) Partner &amp; Md. Hasan Al Emtiaz Zafree (CZ‐011) Partner</v>
      </c>
      <c r="M398" s="2" t="str">
        <f>A405</f>
        <v>FULL TIME TECHNICAL PERSONNEL OF THE FIRM/COMPANY:</v>
      </c>
      <c r="N398" s="2" t="str">
        <f>A406</f>
        <v>IAB Member Architect 4 Architectural Graduate 5 Total 9</v>
      </c>
    </row>
    <row r="399" ht="15.75" customHeight="1">
      <c r="A399" s="2" t="s">
        <v>308</v>
      </c>
      <c r="B399" s="2">
        <v>1.0</v>
      </c>
      <c r="D399" s="2" t="s">
        <v>922</v>
      </c>
    </row>
    <row r="400" ht="15.75" customHeight="1">
      <c r="A400" s="2" t="s">
        <v>309</v>
      </c>
      <c r="B400" s="2">
        <v>1.0</v>
      </c>
      <c r="D400" s="2" t="s">
        <v>923</v>
      </c>
    </row>
    <row r="401" ht="15.75" customHeight="1">
      <c r="A401" s="2" t="s">
        <v>310</v>
      </c>
      <c r="B401" s="2">
        <v>1.0</v>
      </c>
      <c r="D401" s="2" t="s">
        <v>924</v>
      </c>
    </row>
    <row r="402" ht="15.75" customHeight="1">
      <c r="A402" s="2" t="s">
        <v>311</v>
      </c>
      <c r="B402" s="2">
        <v>1.0</v>
      </c>
      <c r="D402" s="2" t="s">
        <v>925</v>
      </c>
    </row>
    <row r="403" ht="15.75" customHeight="1">
      <c r="A403" s="2" t="s">
        <v>7</v>
      </c>
      <c r="B403" s="2">
        <v>1.0</v>
      </c>
      <c r="D403" s="2" t="s">
        <v>926</v>
      </c>
    </row>
    <row r="404" ht="15.75" customHeight="1">
      <c r="A404" s="2" t="s">
        <v>950</v>
      </c>
      <c r="B404" s="2">
        <v>1.0</v>
      </c>
      <c r="D404" s="2" t="s">
        <v>927</v>
      </c>
    </row>
    <row r="405" ht="15.75" customHeight="1">
      <c r="A405" s="2" t="s">
        <v>9</v>
      </c>
      <c r="B405" s="2">
        <v>1.0</v>
      </c>
      <c r="D405" s="2" t="s">
        <v>928</v>
      </c>
    </row>
    <row r="406" ht="15.75" customHeight="1">
      <c r="A406" s="2" t="s">
        <v>123</v>
      </c>
      <c r="B406" s="2">
        <v>1.0</v>
      </c>
      <c r="D406" s="2" t="s">
        <v>929</v>
      </c>
    </row>
    <row r="407" ht="15.75" customHeight="1">
      <c r="A407" s="1" t="s">
        <v>316</v>
      </c>
      <c r="B407" s="1"/>
      <c r="C407" s="5">
        <f>B408+B409+B410+B411+B412+B413+B414+B415</f>
        <v>8</v>
      </c>
      <c r="D407" s="2" t="s">
        <v>921</v>
      </c>
      <c r="F407" s="2" t="str">
        <f>A407</f>
        <v>IAB-RP-K02</v>
      </c>
      <c r="G407" s="2" t="str">
        <f>A408</f>
        <v>KHETTRA ARCHITECTS (Est‐2005)</v>
      </c>
      <c r="H407" s="2" t="str">
        <f>A409</f>
        <v>Office Address: H#72,Ground Floor,R#8/A, Dhanmondi,Dhaka‐1209</v>
      </c>
      <c r="I407" s="2" t="str">
        <f>A410</f>
        <v>Email ID: khettra@gmail.com</v>
      </c>
      <c r="J407" s="2" t="str">
        <f>A411</f>
        <v>Website : www.khettraarchitects.com Contact: +88‐02‐ 8142871</v>
      </c>
      <c r="K407" s="2" t="str">
        <f>A412</f>
        <v>NAME OF PROPRIETOR/ PARTNER/ DIRECTOR(s) &amp; DESIGNATION</v>
      </c>
      <c r="L407" s="2" t="str">
        <f>A413</f>
        <v>Ar. Mainul Quader Tito (T‐006) CEO</v>
      </c>
      <c r="M407" s="2" t="str">
        <f>A414</f>
        <v>FULL TIME TECHNICAL PERSONNEL OF THE FIRM/COMPANY:</v>
      </c>
      <c r="N407" s="2" t="str">
        <f>A415</f>
        <v>IAB Member Architect 1 Architectural Graduate 6 Total 7</v>
      </c>
    </row>
    <row r="408" ht="15.75" customHeight="1">
      <c r="A408" s="2" t="s">
        <v>317</v>
      </c>
      <c r="B408" s="2">
        <v>1.0</v>
      </c>
      <c r="D408" s="2" t="s">
        <v>922</v>
      </c>
    </row>
    <row r="409" ht="15.75" customHeight="1">
      <c r="A409" s="2" t="s">
        <v>318</v>
      </c>
      <c r="B409" s="2">
        <v>1.0</v>
      </c>
      <c r="D409" s="2" t="s">
        <v>923</v>
      </c>
    </row>
    <row r="410" ht="15.75" customHeight="1">
      <c r="A410" s="2" t="s">
        <v>319</v>
      </c>
      <c r="B410" s="2">
        <v>1.0</v>
      </c>
      <c r="D410" s="2" t="s">
        <v>924</v>
      </c>
    </row>
    <row r="411" ht="15.75" customHeight="1">
      <c r="A411" s="2" t="s">
        <v>320</v>
      </c>
      <c r="B411" s="2">
        <v>1.0</v>
      </c>
      <c r="D411" s="2" t="s">
        <v>925</v>
      </c>
    </row>
    <row r="412" ht="15.75" customHeight="1">
      <c r="A412" s="2" t="s">
        <v>7</v>
      </c>
      <c r="B412" s="2">
        <v>1.0</v>
      </c>
      <c r="D412" s="2" t="s">
        <v>926</v>
      </c>
    </row>
    <row r="413" ht="15.75" customHeight="1">
      <c r="A413" s="2" t="s">
        <v>321</v>
      </c>
      <c r="B413" s="2">
        <v>1.0</v>
      </c>
      <c r="D413" s="2" t="s">
        <v>927</v>
      </c>
    </row>
    <row r="414" ht="15.75" customHeight="1">
      <c r="A414" s="2" t="s">
        <v>9</v>
      </c>
      <c r="B414" s="2">
        <v>1.0</v>
      </c>
      <c r="D414" s="2" t="s">
        <v>928</v>
      </c>
    </row>
    <row r="415" ht="15.75" customHeight="1">
      <c r="A415" s="2" t="s">
        <v>10</v>
      </c>
      <c r="B415" s="2">
        <v>1.0</v>
      </c>
      <c r="D415" s="2" t="s">
        <v>929</v>
      </c>
    </row>
    <row r="416" ht="15.75" customHeight="1">
      <c r="A416" s="1" t="s">
        <v>322</v>
      </c>
      <c r="B416" s="1"/>
      <c r="C416" s="5">
        <f>B417+B418+B419+B420+B423+B421+B422+B424</f>
        <v>8</v>
      </c>
      <c r="D416" s="2" t="s">
        <v>921</v>
      </c>
      <c r="F416" s="2" t="str">
        <f>A416</f>
        <v>IAB-RP-K03</v>
      </c>
      <c r="G416" s="2" t="str">
        <f>A417</f>
        <v>K2AH+ ARCHITECTS (Est‐2014)</v>
      </c>
      <c r="H416" s="2" t="str">
        <f>A418</f>
        <v>Office Address: House‐91, 1 st Floor, Road‐9/A, Dhanmondi, Dhaka‐1209</v>
      </c>
      <c r="I416" s="2" t="str">
        <f>A419</f>
        <v>Email ID: k2ah.architects@gmail.com</v>
      </c>
      <c r="J416" s="2" t="str">
        <f>A420</f>
        <v>Website : https://www.facebook.com/K2AHArchitects Contact: +8801717183918, 8801717068255</v>
      </c>
      <c r="K416" s="2" t="str">
        <f>A421</f>
        <v>NAME OF PROPRIETOR/ PARTNER/ DIRECTOR(s) &amp; DESIGNATION</v>
      </c>
      <c r="L416" s="2" t="str">
        <f>A422</f>
        <v>Ar. Ahsanul Haque Rubel (R‐153) Managing Partner &amp; Ar. Kawsary Perveen (P‐011) Managing Partner</v>
      </c>
      <c r="M416" s="2" t="str">
        <f>A423</f>
        <v>FULL TIME ARCHITECTURAL PERSONNEL OF THE FIRM/COMPANY:</v>
      </c>
      <c r="N416" s="2" t="str">
        <f>A424</f>
        <v>IAB Member Architect 3 Architectural Graduate 3 Total 6</v>
      </c>
    </row>
    <row r="417" ht="15.75" customHeight="1">
      <c r="A417" s="2" t="s">
        <v>323</v>
      </c>
      <c r="B417" s="2">
        <v>1.0</v>
      </c>
      <c r="D417" s="2" t="s">
        <v>922</v>
      </c>
    </row>
    <row r="418" ht="15.75" customHeight="1">
      <c r="A418" s="2" t="s">
        <v>324</v>
      </c>
      <c r="B418" s="2">
        <v>1.0</v>
      </c>
      <c r="D418" s="2" t="s">
        <v>923</v>
      </c>
    </row>
    <row r="419" ht="15.75" customHeight="1">
      <c r="A419" s="2" t="s">
        <v>325</v>
      </c>
      <c r="B419" s="2">
        <v>1.0</v>
      </c>
      <c r="D419" s="2" t="s">
        <v>924</v>
      </c>
    </row>
    <row r="420" ht="15.75" customHeight="1">
      <c r="A420" s="2" t="s">
        <v>951</v>
      </c>
      <c r="B420" s="2">
        <v>1.0</v>
      </c>
      <c r="D420" s="2" t="s">
        <v>925</v>
      </c>
    </row>
    <row r="421" ht="15.75" customHeight="1">
      <c r="A421" s="2" t="s">
        <v>7</v>
      </c>
      <c r="B421" s="2">
        <v>1.0</v>
      </c>
      <c r="D421" s="2" t="s">
        <v>926</v>
      </c>
    </row>
    <row r="422" ht="15.75" customHeight="1">
      <c r="A422" s="2" t="s">
        <v>952</v>
      </c>
      <c r="B422" s="2">
        <v>1.0</v>
      </c>
      <c r="D422" s="2" t="s">
        <v>927</v>
      </c>
    </row>
    <row r="423" ht="15.75" customHeight="1">
      <c r="A423" s="2" t="s">
        <v>37</v>
      </c>
      <c r="B423" s="2">
        <v>1.0</v>
      </c>
      <c r="D423" s="2" t="s">
        <v>928</v>
      </c>
    </row>
    <row r="424" ht="15.75" customHeight="1">
      <c r="A424" s="2" t="s">
        <v>116</v>
      </c>
      <c r="B424" s="2">
        <v>1.0</v>
      </c>
      <c r="D424" s="2" t="s">
        <v>929</v>
      </c>
    </row>
    <row r="425" ht="15.75" customHeight="1">
      <c r="A425" s="1" t="s">
        <v>329</v>
      </c>
      <c r="B425" s="1"/>
      <c r="C425" s="5">
        <f>B426+B427+B428+B430+B431+B432+B433+B434+B429</f>
        <v>8</v>
      </c>
      <c r="D425" s="2" t="s">
        <v>921</v>
      </c>
      <c r="F425" s="2" t="str">
        <f>A425</f>
        <v>IAB-RP-K04</v>
      </c>
      <c r="G425" s="2" t="str">
        <f>A426</f>
        <v>KHETTRA ARCHITECTS &amp; ENGINEERS LIMITED (Est‐2000)</v>
      </c>
      <c r="H425" s="2" t="str">
        <f>A427</f>
        <v>Office Address: House‐337, Ground Floor, Road‐23, New DOHS, Mohakhali, Dhaka‐1206</v>
      </c>
      <c r="I425" s="2" t="str">
        <f>A428</f>
        <v>Email ID: khettra2000@gmail.com Contact: +88‐02‐8835831</v>
      </c>
      <c r="J425" s="2" t="str">
        <f>A429</f>
        <v>website:</v>
      </c>
      <c r="K425" s="2" t="str">
        <f>A430</f>
        <v>NAME OF PROPRIETOR/ PARTNER/ DIRECTOR(s) &amp; DESIGNATION</v>
      </c>
      <c r="L425" s="2" t="str">
        <f>A431</f>
        <v>Ar. A.K.M Lutful Kabir (K‐065) Managing Director</v>
      </c>
      <c r="M425" s="2" t="str">
        <f>A432</f>
        <v>FULL TIME ARCHITECTURAL PERSONNEL OF THE FIRM/COMPANY:</v>
      </c>
      <c r="N425" s="2" t="str">
        <f>A433</f>
        <v>IAB Member Architect 4 Architectural Graduate 2 Total 6</v>
      </c>
    </row>
    <row r="426" ht="15.75" customHeight="1">
      <c r="A426" s="2" t="s">
        <v>330</v>
      </c>
      <c r="B426" s="2">
        <v>1.0</v>
      </c>
      <c r="D426" s="2" t="s">
        <v>922</v>
      </c>
    </row>
    <row r="427" ht="15.75" customHeight="1">
      <c r="A427" s="2" t="s">
        <v>331</v>
      </c>
      <c r="B427" s="2">
        <v>1.0</v>
      </c>
      <c r="D427" s="2" t="s">
        <v>923</v>
      </c>
    </row>
    <row r="428" ht="15.75" customHeight="1">
      <c r="A428" s="2" t="s">
        <v>332</v>
      </c>
      <c r="B428" s="2">
        <v>1.0</v>
      </c>
      <c r="D428" s="2" t="s">
        <v>924</v>
      </c>
    </row>
    <row r="429" ht="15.75" customHeight="1">
      <c r="A429" s="2" t="s">
        <v>936</v>
      </c>
      <c r="B429" s="2">
        <v>1.0</v>
      </c>
      <c r="D429" s="2" t="s">
        <v>925</v>
      </c>
    </row>
    <row r="430" ht="15.75" customHeight="1">
      <c r="A430" s="2" t="s">
        <v>7</v>
      </c>
      <c r="B430" s="2">
        <v>1.0</v>
      </c>
      <c r="D430" s="2" t="s">
        <v>926</v>
      </c>
    </row>
    <row r="431" ht="15.75" customHeight="1">
      <c r="A431" s="2" t="s">
        <v>333</v>
      </c>
      <c r="B431" s="2">
        <v>1.0</v>
      </c>
      <c r="D431" s="2" t="s">
        <v>927</v>
      </c>
    </row>
    <row r="432" ht="15.75" customHeight="1">
      <c r="A432" s="2" t="s">
        <v>37</v>
      </c>
      <c r="B432" s="2">
        <v>1.0</v>
      </c>
      <c r="D432" s="2" t="s">
        <v>928</v>
      </c>
    </row>
    <row r="433" ht="15.75" customHeight="1">
      <c r="A433" s="2" t="s">
        <v>334</v>
      </c>
      <c r="B433" s="2">
        <v>1.0</v>
      </c>
      <c r="D433" s="2" t="s">
        <v>929</v>
      </c>
    </row>
    <row r="434" ht="15.75" customHeight="1">
      <c r="A434" s="1" t="s">
        <v>335</v>
      </c>
      <c r="B434" s="1"/>
      <c r="C434" s="5">
        <f>B435+B436+B437+B439+B440+B438+B441+B442</f>
        <v>8</v>
      </c>
      <c r="D434" s="2" t="s">
        <v>921</v>
      </c>
      <c r="F434" s="2" t="str">
        <f>A434</f>
        <v>IAB-RP-K05</v>
      </c>
      <c r="G434" s="2" t="str">
        <f>A435</f>
        <v>KALPAK ARCHITECTS (Est‐2019)</v>
      </c>
      <c r="H434" s="2" t="str">
        <f>A436</f>
        <v>Office Address: 13‐B, Rupsha Tower, 07, Kemal Ataturk Avenue, Banani, Dhaka</v>
      </c>
      <c r="I434" s="2" t="str">
        <f>A437</f>
        <v>Email ID: kkalpon@gmail.com Contact: +88 01711899081</v>
      </c>
      <c r="J434" s="2" t="str">
        <f>A438</f>
        <v>website:</v>
      </c>
      <c r="K434" s="2" t="str">
        <f>A439</f>
        <v>NAME OF PROPRIETOR/ PARTNER/ DIRECTOR(s) &amp; DESIGNATION</v>
      </c>
      <c r="L434" s="2" t="str">
        <f>A440</f>
        <v>Ar. Kazi Touhidul Islam (I‐041) Partner &amp; Ar. Hasina Shams (S‐097) Partner</v>
      </c>
      <c r="M434" s="2" t="str">
        <f>A441</f>
        <v>FULL TIME ARCHITECTURAL PERSONNEL OF THE FIRM/COMPANY:</v>
      </c>
      <c r="N434" s="2" t="str">
        <f>A442</f>
        <v>IAB Member Architect 2 Architectural Graduate 0 Total 2</v>
      </c>
    </row>
    <row r="435" ht="15.75" customHeight="1">
      <c r="A435" s="2" t="s">
        <v>336</v>
      </c>
      <c r="B435" s="2">
        <v>1.0</v>
      </c>
      <c r="D435" s="2" t="s">
        <v>922</v>
      </c>
    </row>
    <row r="436" ht="15.75" customHeight="1">
      <c r="A436" s="2" t="s">
        <v>337</v>
      </c>
      <c r="B436" s="2">
        <v>1.0</v>
      </c>
      <c r="D436" s="2" t="s">
        <v>923</v>
      </c>
    </row>
    <row r="437" ht="15.75" customHeight="1">
      <c r="A437" s="2" t="s">
        <v>338</v>
      </c>
      <c r="B437" s="2">
        <v>1.0</v>
      </c>
      <c r="D437" s="2" t="s">
        <v>924</v>
      </c>
    </row>
    <row r="438" ht="15.75" customHeight="1">
      <c r="A438" s="2" t="s">
        <v>936</v>
      </c>
      <c r="B438" s="2">
        <v>1.0</v>
      </c>
      <c r="D438" s="2" t="s">
        <v>925</v>
      </c>
    </row>
    <row r="439" ht="15.75" customHeight="1">
      <c r="A439" s="2" t="s">
        <v>7</v>
      </c>
      <c r="B439" s="2">
        <v>1.0</v>
      </c>
      <c r="D439" s="2" t="s">
        <v>926</v>
      </c>
    </row>
    <row r="440" ht="15.75" customHeight="1">
      <c r="A440" s="2" t="s">
        <v>953</v>
      </c>
      <c r="B440" s="2">
        <v>1.0</v>
      </c>
      <c r="D440" s="2" t="s">
        <v>927</v>
      </c>
    </row>
    <row r="441" ht="15.75" customHeight="1">
      <c r="A441" s="2" t="s">
        <v>37</v>
      </c>
      <c r="B441" s="2">
        <v>1.0</v>
      </c>
      <c r="D441" s="2" t="s">
        <v>928</v>
      </c>
    </row>
    <row r="442" ht="15.75" customHeight="1">
      <c r="A442" s="2" t="s">
        <v>261</v>
      </c>
      <c r="B442" s="2">
        <v>1.0</v>
      </c>
      <c r="D442" s="2" t="s">
        <v>929</v>
      </c>
    </row>
    <row r="443" ht="15.75" customHeight="1">
      <c r="A443" s="1" t="s">
        <v>341</v>
      </c>
      <c r="B443" s="1"/>
      <c r="C443" s="5">
        <f>B444+B445+B446+B447+B448+B449+B450+B451+B452</f>
        <v>8</v>
      </c>
      <c r="D443" s="2" t="s">
        <v>921</v>
      </c>
      <c r="F443" s="2" t="str">
        <f>A443</f>
        <v>IAB-RP-M01</v>
      </c>
      <c r="G443" s="2" t="str">
        <f>A444</f>
        <v>MATRIX (Est‐2000)</v>
      </c>
      <c r="H443" s="2" t="str">
        <f>A445</f>
        <v>Office Address: House‐B‐181, (3rd Floor), Road‐23, New DOHS, Mohakhali, Dhaka‐1206</v>
      </c>
      <c r="I443" s="2" t="str">
        <f>A446</f>
        <v>Email ID: archmiraz@yahoo.com Contact: +8801191557292</v>
      </c>
      <c r="J443" s="2" t="str">
        <f>A447</f>
        <v>website:</v>
      </c>
      <c r="K443" s="2" t="str">
        <f>A448</f>
        <v>NAME OF PROPRIETOR/ PARTNER/ DIRECTOR(s) &amp; DESIGNATION</v>
      </c>
      <c r="L443" s="2" t="str">
        <f>A449</f>
        <v>Ar. Muhammed Miraz Ur Rahman (R‐087) Principal Architect</v>
      </c>
      <c r="M443" s="2" t="str">
        <f>A450</f>
        <v>FULL TIME TECHNICAL PERSONNEL OF THE FIRM/COMPANY:</v>
      </c>
      <c r="N443" s="2" t="str">
        <f>A451</f>
        <v>IAB Member Architect 1 Architectural Graduate 7 Total 8</v>
      </c>
    </row>
    <row r="444" ht="15.75" customHeight="1">
      <c r="A444" s="2" t="s">
        <v>342</v>
      </c>
      <c r="B444" s="2">
        <v>1.0</v>
      </c>
      <c r="D444" s="2" t="s">
        <v>922</v>
      </c>
    </row>
    <row r="445" ht="15.75" customHeight="1">
      <c r="A445" s="2" t="s">
        <v>343</v>
      </c>
      <c r="B445" s="2">
        <v>1.0</v>
      </c>
      <c r="D445" s="2" t="s">
        <v>923</v>
      </c>
    </row>
    <row r="446" ht="15.75" customHeight="1">
      <c r="A446" s="2" t="s">
        <v>344</v>
      </c>
      <c r="B446" s="2">
        <v>1.0</v>
      </c>
      <c r="D446" s="2" t="s">
        <v>924</v>
      </c>
    </row>
    <row r="447" ht="15.75" customHeight="1">
      <c r="A447" s="2" t="s">
        <v>936</v>
      </c>
      <c r="B447" s="2">
        <v>1.0</v>
      </c>
      <c r="D447" s="2" t="s">
        <v>925</v>
      </c>
    </row>
    <row r="448" ht="15.75" customHeight="1">
      <c r="A448" s="2" t="s">
        <v>7</v>
      </c>
      <c r="B448" s="2">
        <v>1.0</v>
      </c>
      <c r="D448" s="2" t="s">
        <v>926</v>
      </c>
    </row>
    <row r="449" ht="15.75" customHeight="1">
      <c r="A449" s="2" t="s">
        <v>345</v>
      </c>
      <c r="B449" s="2">
        <v>1.0</v>
      </c>
      <c r="D449" s="2" t="s">
        <v>927</v>
      </c>
    </row>
    <row r="450" ht="15.75" customHeight="1">
      <c r="A450" s="2" t="s">
        <v>9</v>
      </c>
      <c r="B450" s="2">
        <v>1.0</v>
      </c>
      <c r="D450" s="2" t="s">
        <v>928</v>
      </c>
    </row>
    <row r="451" ht="15.75" customHeight="1">
      <c r="A451" s="2" t="s">
        <v>346</v>
      </c>
      <c r="B451" s="2">
        <v>1.0</v>
      </c>
      <c r="D451" s="2" t="s">
        <v>929</v>
      </c>
    </row>
    <row r="452" ht="15.75" customHeight="1">
      <c r="A452" s="1" t="s">
        <v>347</v>
      </c>
      <c r="B452" s="1"/>
      <c r="C452" s="5">
        <f>B453+B454+B455+B456+B457+B458+B459+B460</f>
        <v>8</v>
      </c>
      <c r="D452" s="2" t="s">
        <v>921</v>
      </c>
      <c r="F452" s="2" t="str">
        <f>A452</f>
        <v>IAB-RP-M02</v>
      </c>
      <c r="G452" s="2" t="str">
        <f>A453</f>
        <v>MAATRIK ARCHITECTS (Est‐2000)</v>
      </c>
      <c r="H452" s="2" t="str">
        <f>A454</f>
        <v>Office Address: 137/A/1, Jahanara Garden, Green Road, Dhaka‐1205</v>
      </c>
      <c r="I452" s="2" t="str">
        <f>A455</f>
        <v>Email ID: maatrikmail@gmail.com Contact: +8801723563209, +8801673545909</v>
      </c>
      <c r="J452" s="2" t="str">
        <f>A456</f>
        <v>Website : www.maatrik.net</v>
      </c>
      <c r="K452" s="2" t="str">
        <f>A457</f>
        <v>NAME OF PROPRIETOR/ PARTNER/ DIRECTOR(s) &amp; DESIGNATION</v>
      </c>
      <c r="L452" s="2" t="str">
        <f>A458</f>
        <v>Ar. Md. Aminul Islam (I‐051) CEO</v>
      </c>
      <c r="M452" s="2" t="str">
        <f>A459</f>
        <v>FULL TIME ARCHITECTURAL PERSONNEL OF THE FIRM/COMPANY:</v>
      </c>
      <c r="N452" s="2" t="str">
        <f>A460</f>
        <v>IAB Member Architect 1 Architectural Graduate 3 Total 4</v>
      </c>
    </row>
    <row r="453" ht="15.75" customHeight="1">
      <c r="A453" s="2" t="s">
        <v>348</v>
      </c>
      <c r="B453" s="2">
        <v>1.0</v>
      </c>
      <c r="D453" s="2" t="s">
        <v>922</v>
      </c>
    </row>
    <row r="454" ht="15.75" customHeight="1">
      <c r="A454" s="2" t="s">
        <v>349</v>
      </c>
      <c r="B454" s="2">
        <v>1.0</v>
      </c>
      <c r="D454" s="2" t="s">
        <v>923</v>
      </c>
    </row>
    <row r="455" ht="15.75" customHeight="1">
      <c r="A455" s="2" t="s">
        <v>350</v>
      </c>
      <c r="B455" s="2">
        <v>1.0</v>
      </c>
      <c r="D455" s="2" t="s">
        <v>924</v>
      </c>
    </row>
    <row r="456" ht="15.75" customHeight="1">
      <c r="A456" s="2" t="s">
        <v>351</v>
      </c>
      <c r="B456" s="2">
        <v>1.0</v>
      </c>
      <c r="D456" s="2" t="s">
        <v>925</v>
      </c>
    </row>
    <row r="457" ht="15.75" customHeight="1">
      <c r="A457" s="2" t="s">
        <v>7</v>
      </c>
      <c r="B457" s="2">
        <v>1.0</v>
      </c>
      <c r="D457" s="2" t="s">
        <v>926</v>
      </c>
    </row>
    <row r="458" ht="15.75" customHeight="1">
      <c r="A458" s="2" t="s">
        <v>352</v>
      </c>
      <c r="B458" s="2">
        <v>1.0</v>
      </c>
      <c r="D458" s="2" t="s">
        <v>927</v>
      </c>
    </row>
    <row r="459" ht="15.75" customHeight="1">
      <c r="A459" s="2" t="s">
        <v>37</v>
      </c>
      <c r="B459" s="2">
        <v>1.0</v>
      </c>
      <c r="D459" s="2" t="s">
        <v>928</v>
      </c>
    </row>
    <row r="460" ht="15.75" customHeight="1">
      <c r="A460" s="2" t="s">
        <v>89</v>
      </c>
      <c r="B460" s="2">
        <v>1.0</v>
      </c>
      <c r="D460" s="2" t="s">
        <v>929</v>
      </c>
    </row>
    <row r="461" ht="15.75" customHeight="1">
      <c r="A461" s="1" t="s">
        <v>353</v>
      </c>
      <c r="B461" s="1"/>
      <c r="C461" s="5">
        <f>B462+B463+B464+B465+B466+B467+B468+B469</f>
        <v>8</v>
      </c>
      <c r="D461" s="2" t="s">
        <v>921</v>
      </c>
      <c r="F461" s="2" t="str">
        <f>A461</f>
        <v>IAB-RP-M03</v>
      </c>
      <c r="G461" s="2" t="str">
        <f>A462</f>
        <v>MW3 DESIGN + PARTNERS (Est‐2014)</v>
      </c>
      <c r="H461" s="2" t="str">
        <f>A463</f>
        <v>Office Address: House‐24 (7th Floor), Road‐14, Block‐G, Niketon, Gulshan‐1, Dhaka‐1212</v>
      </c>
      <c r="I461" s="2" t="str">
        <f>A464</f>
        <v>Email ID: mahtab@mw3.com.bd, mw3designpartners@gmail.com Contact: +88‐02‐9840957</v>
      </c>
      <c r="J461" s="2" t="str">
        <f>A465</f>
        <v>Website : www.mw3.com.bd</v>
      </c>
      <c r="K461" s="2" t="str">
        <f>A466</f>
        <v>NAME OF PROPRIETOR/ PARTNER/ DIRECTOR(s) &amp; DESIGNATION</v>
      </c>
      <c r="L461" s="2" t="str">
        <f>A467</f>
        <v>Ar. Mahtab Hussain Siddique (S‐101) President &amp; Principal Architect</v>
      </c>
      <c r="M461" s="2" t="str">
        <f>A468</f>
        <v>FULL TIME ARCHITECTURAL PERSONNEL OF THE FIRM/COMPANY:</v>
      </c>
      <c r="N461" s="2" t="str">
        <f>A469</f>
        <v>IAB Member Architect 10 Architectural Graduate 0 Total 10</v>
      </c>
    </row>
    <row r="462" ht="15.75" customHeight="1">
      <c r="A462" s="2" t="s">
        <v>354</v>
      </c>
      <c r="B462" s="2">
        <v>1.0</v>
      </c>
      <c r="D462" s="2" t="s">
        <v>922</v>
      </c>
    </row>
    <row r="463" ht="15.75" customHeight="1">
      <c r="A463" s="2" t="s">
        <v>355</v>
      </c>
      <c r="B463" s="2">
        <v>1.0</v>
      </c>
      <c r="D463" s="2" t="s">
        <v>923</v>
      </c>
    </row>
    <row r="464" ht="15.75" customHeight="1">
      <c r="A464" s="2" t="s">
        <v>356</v>
      </c>
      <c r="B464" s="2">
        <v>1.0</v>
      </c>
      <c r="D464" s="2" t="s">
        <v>924</v>
      </c>
    </row>
    <row r="465" ht="15.75" customHeight="1">
      <c r="A465" s="2" t="s">
        <v>357</v>
      </c>
      <c r="B465" s="2">
        <v>1.0</v>
      </c>
      <c r="D465" s="2" t="s">
        <v>925</v>
      </c>
    </row>
    <row r="466" ht="15.75" customHeight="1">
      <c r="A466" s="2" t="s">
        <v>7</v>
      </c>
      <c r="B466" s="2">
        <v>1.0</v>
      </c>
      <c r="D466" s="2" t="s">
        <v>926</v>
      </c>
    </row>
    <row r="467" ht="15.75" customHeight="1">
      <c r="A467" s="2" t="s">
        <v>358</v>
      </c>
      <c r="B467" s="2">
        <v>1.0</v>
      </c>
      <c r="D467" s="2" t="s">
        <v>927</v>
      </c>
    </row>
    <row r="468" ht="15.75" customHeight="1">
      <c r="A468" s="2" t="s">
        <v>37</v>
      </c>
      <c r="B468" s="2">
        <v>1.0</v>
      </c>
      <c r="D468" s="2" t="s">
        <v>928</v>
      </c>
    </row>
    <row r="469" ht="15.75" customHeight="1">
      <c r="A469" s="2" t="s">
        <v>359</v>
      </c>
      <c r="B469" s="2">
        <v>1.0</v>
      </c>
      <c r="D469" s="2" t="s">
        <v>929</v>
      </c>
    </row>
    <row r="470" ht="15.75" customHeight="1">
      <c r="A470" s="1" t="s">
        <v>361</v>
      </c>
      <c r="B470" s="1"/>
      <c r="C470" s="5">
        <f>B471+B472+B473+B474+B475+B476+B477+B478</f>
        <v>8</v>
      </c>
      <c r="D470" s="2" t="s">
        <v>921</v>
      </c>
      <c r="F470" s="2" t="str">
        <f>A470</f>
        <v>IAB-RP-N01</v>
      </c>
      <c r="G470" s="2" t="str">
        <f>A471</f>
        <v>NAYREET ARCHITECTS (Est‐2007)</v>
      </c>
      <c r="H470" s="2" t="str">
        <f>A472</f>
        <v>Office Address: House‐14, Road‐13/C, Block‐E, Banani, Dhaka‐1213</v>
      </c>
      <c r="I470" s="2" t="str">
        <f>A473</f>
        <v>Email ID: nayreet_architects@yahoo.com</v>
      </c>
      <c r="J470" s="2" t="str">
        <f>A474</f>
        <v>Website : www.nayreetarchitects.com Contact: +88‐02‐7913394, 8957701</v>
      </c>
      <c r="K470" s="2" t="str">
        <f>A475</f>
        <v>NAME OF PROPRIETOR/ PARTNER/ DIRECTOR(s) &amp; DESIGNATION</v>
      </c>
      <c r="L470" s="2" t="str">
        <f>A476</f>
        <v>Ar. Shaila Joarder (J‐013) Managing Partner &amp; Ar. Md. Ruhul Amin (A‐196) Partner &amp; Ar. Atiqur Rahman (R‐115) Partner</v>
      </c>
      <c r="M470" s="2" t="str">
        <f>A477</f>
        <v>FULL TIME TECHNICAL PERSONNEL OF THE FIRM/COMPANY:</v>
      </c>
      <c r="N470" s="2" t="str">
        <f>A478</f>
        <v>IAB Member Architect 5 Architectural Graduate 18 Total 23</v>
      </c>
    </row>
    <row r="471" ht="15.75" customHeight="1">
      <c r="A471" s="2" t="s">
        <v>362</v>
      </c>
      <c r="B471" s="2">
        <v>1.0</v>
      </c>
      <c r="D471" s="2" t="s">
        <v>922</v>
      </c>
    </row>
    <row r="472" ht="15.75" customHeight="1">
      <c r="A472" s="2" t="s">
        <v>363</v>
      </c>
      <c r="B472" s="2">
        <v>1.0</v>
      </c>
      <c r="D472" s="2" t="s">
        <v>923</v>
      </c>
    </row>
    <row r="473" ht="15.75" customHeight="1">
      <c r="A473" s="2" t="s">
        <v>364</v>
      </c>
      <c r="B473" s="2">
        <v>1.0</v>
      </c>
      <c r="D473" s="2" t="s">
        <v>924</v>
      </c>
    </row>
    <row r="474" ht="15.75" customHeight="1">
      <c r="A474" s="2" t="s">
        <v>365</v>
      </c>
      <c r="B474" s="2">
        <v>1.0</v>
      </c>
      <c r="D474" s="2" t="s">
        <v>925</v>
      </c>
    </row>
    <row r="475" ht="15.75" customHeight="1">
      <c r="A475" s="2" t="s">
        <v>7</v>
      </c>
      <c r="B475" s="2">
        <v>1.0</v>
      </c>
      <c r="D475" s="2" t="s">
        <v>926</v>
      </c>
    </row>
    <row r="476" ht="15.75" customHeight="1">
      <c r="A476" s="2" t="s">
        <v>954</v>
      </c>
      <c r="B476" s="2">
        <v>1.0</v>
      </c>
      <c r="D476" s="2" t="s">
        <v>927</v>
      </c>
    </row>
    <row r="477" ht="15.75" customHeight="1">
      <c r="A477" s="2" t="s">
        <v>9</v>
      </c>
      <c r="B477" s="2">
        <v>1.0</v>
      </c>
      <c r="D477" s="2" t="s">
        <v>928</v>
      </c>
    </row>
    <row r="478" ht="15.75" customHeight="1">
      <c r="A478" s="2" t="s">
        <v>369</v>
      </c>
      <c r="B478" s="2">
        <v>1.0</v>
      </c>
      <c r="D478" s="2" t="s">
        <v>929</v>
      </c>
    </row>
    <row r="479" ht="15.75" customHeight="1">
      <c r="A479" s="1" t="s">
        <v>370</v>
      </c>
      <c r="B479" s="1"/>
      <c r="C479" s="5">
        <f>B480+B481+B482+B484+B485+B486+B487+B488</f>
        <v>7</v>
      </c>
      <c r="D479" s="2" t="s">
        <v>921</v>
      </c>
      <c r="F479" s="2" t="str">
        <f>A479</f>
        <v>IAB-RP-N02</v>
      </c>
      <c r="G479" s="2" t="str">
        <f>A480</f>
        <v>NOUVEAU ARCHITECTS. (Est‐2009)</v>
      </c>
      <c r="H479" s="2" t="str">
        <f>A481</f>
        <v>Office Address: House‐F5, Ground Floor, Block‐E, Jakir Hossain Road, Mohammadpur, Dhaka‐1207</v>
      </c>
      <c r="I479" s="2" t="str">
        <f>A482</f>
        <v>Email ID: razaoull@gmail.com Contact: +8801912137212</v>
      </c>
      <c r="J479" s="2" t="str">
        <f>A483</f>
        <v>website:</v>
      </c>
      <c r="K479" s="2" t="str">
        <f>A484</f>
        <v>NAME OF PROPRIETOR/ PARTNER/ DIRECTOR(s) &amp; DESIGNATION</v>
      </c>
      <c r="L479" s="2" t="str">
        <f>A485</f>
        <v>Ar. Mohammed Razaoull Karim (K‐132) Proprietor</v>
      </c>
      <c r="M479" s="2" t="str">
        <f>A486</f>
        <v>FULL TIME ARCHITECTURAL PERSONNEL OF THE FIRM/COMPANY:</v>
      </c>
      <c r="N479" s="2" t="str">
        <f>A487</f>
        <v>IAB Member Architect 5 Architectural Graduate Total 5</v>
      </c>
    </row>
    <row r="480" ht="15.75" customHeight="1">
      <c r="A480" s="2" t="s">
        <v>371</v>
      </c>
      <c r="B480" s="2">
        <v>1.0</v>
      </c>
      <c r="D480" s="2" t="s">
        <v>922</v>
      </c>
    </row>
    <row r="481" ht="15.75" customHeight="1">
      <c r="A481" s="2" t="s">
        <v>372</v>
      </c>
      <c r="B481" s="2">
        <v>1.0</v>
      </c>
      <c r="D481" s="2" t="s">
        <v>923</v>
      </c>
    </row>
    <row r="482" ht="15.75" customHeight="1">
      <c r="A482" s="2" t="s">
        <v>373</v>
      </c>
      <c r="B482" s="2">
        <v>1.0</v>
      </c>
      <c r="D482" s="2" t="s">
        <v>924</v>
      </c>
    </row>
    <row r="483" ht="15.75" customHeight="1">
      <c r="A483" s="2" t="s">
        <v>936</v>
      </c>
      <c r="B483" s="2"/>
      <c r="D483" s="2" t="s">
        <v>925</v>
      </c>
    </row>
    <row r="484" ht="15.75" customHeight="1">
      <c r="A484" s="2" t="s">
        <v>7</v>
      </c>
      <c r="B484" s="2">
        <v>1.0</v>
      </c>
      <c r="D484" s="2" t="s">
        <v>926</v>
      </c>
    </row>
    <row r="485" ht="15.75" customHeight="1">
      <c r="A485" s="2" t="s">
        <v>374</v>
      </c>
      <c r="B485" s="2">
        <v>1.0</v>
      </c>
      <c r="D485" s="2" t="s">
        <v>927</v>
      </c>
    </row>
    <row r="486" ht="15.75" customHeight="1">
      <c r="A486" s="2" t="s">
        <v>37</v>
      </c>
      <c r="B486" s="2">
        <v>1.0</v>
      </c>
      <c r="D486" s="2" t="s">
        <v>928</v>
      </c>
    </row>
    <row r="487" ht="15.75" customHeight="1">
      <c r="A487" s="2" t="s">
        <v>375</v>
      </c>
      <c r="B487" s="2">
        <v>1.0</v>
      </c>
      <c r="D487" s="2" t="s">
        <v>929</v>
      </c>
    </row>
    <row r="488" ht="15.75" customHeight="1">
      <c r="A488" s="1" t="s">
        <v>376</v>
      </c>
      <c r="B488" s="1"/>
      <c r="C488" s="5">
        <f>B489+B490+B491+B492+B493+B494+B495+B496</f>
        <v>8</v>
      </c>
      <c r="D488" s="2" t="s">
        <v>921</v>
      </c>
      <c r="F488" s="2" t="str">
        <f>A488</f>
        <v>IAB-RP-N03</v>
      </c>
      <c r="G488" s="2" t="str">
        <f>A489</f>
        <v>NAKSHABID ARCHITECTS (Est‐2006)</v>
      </c>
      <c r="H488" s="2" t="str">
        <f>A490</f>
        <v>Office Address: 8, Kemal Ataturk Avenue, ABC House (5th Floor), Banani C/A, Dhaka‐1213.</v>
      </c>
      <c r="I488" s="2" t="str">
        <f>A491</f>
        <v>Email ID: nakshabid@gmail.com Contact: +88 01819221011, +88 02‐9845080</v>
      </c>
      <c r="J488" s="2" t="str">
        <f>A492</f>
        <v>Website: www.nakshabid.com</v>
      </c>
      <c r="K488" s="2" t="str">
        <f>A493</f>
        <v>NAME OF PROPRIETOR/ PARTNER/ DIRECTOR(s) &amp; DESIGNATION</v>
      </c>
      <c r="L488" s="2" t="str">
        <f>A494</f>
        <v>Ar. Bayejid Mahbub Khondker (K‐077) Principal Architect</v>
      </c>
      <c r="M488" s="2" t="str">
        <f>A495</f>
        <v>FULL TIME ARCHITECTURAL PERSONNEL OF THE FIRM/COMPANY:</v>
      </c>
      <c r="N488" s="2" t="str">
        <f>A496</f>
        <v>IAB Member Architect Architectural Graduate Total</v>
      </c>
    </row>
    <row r="489" ht="15.75" customHeight="1">
      <c r="A489" s="2" t="s">
        <v>377</v>
      </c>
      <c r="B489" s="2">
        <v>1.0</v>
      </c>
      <c r="D489" s="2" t="s">
        <v>922</v>
      </c>
    </row>
    <row r="490" ht="15.75" customHeight="1">
      <c r="A490" s="2" t="s">
        <v>378</v>
      </c>
      <c r="B490" s="2">
        <v>1.0</v>
      </c>
      <c r="D490" s="2" t="s">
        <v>923</v>
      </c>
    </row>
    <row r="491" ht="15.75" customHeight="1">
      <c r="A491" s="2" t="s">
        <v>379</v>
      </c>
      <c r="B491" s="2">
        <v>1.0</v>
      </c>
      <c r="D491" s="2" t="s">
        <v>924</v>
      </c>
    </row>
    <row r="492" ht="15.75" customHeight="1">
      <c r="A492" s="2" t="s">
        <v>380</v>
      </c>
      <c r="B492" s="2">
        <v>1.0</v>
      </c>
      <c r="D492" s="2" t="s">
        <v>925</v>
      </c>
    </row>
    <row r="493" ht="15.75" customHeight="1">
      <c r="A493" s="2" t="s">
        <v>7</v>
      </c>
      <c r="B493" s="2">
        <v>1.0</v>
      </c>
      <c r="D493" s="2" t="s">
        <v>926</v>
      </c>
    </row>
    <row r="494" ht="15.75" customHeight="1">
      <c r="A494" s="2" t="s">
        <v>381</v>
      </c>
      <c r="B494" s="2">
        <v>1.0</v>
      </c>
      <c r="D494" s="2" t="s">
        <v>927</v>
      </c>
    </row>
    <row r="495" ht="15.75" customHeight="1">
      <c r="A495" s="2" t="s">
        <v>37</v>
      </c>
      <c r="B495" s="2">
        <v>1.0</v>
      </c>
      <c r="D495" s="2" t="s">
        <v>928</v>
      </c>
    </row>
    <row r="496" ht="15.75" customHeight="1">
      <c r="A496" s="2" t="s">
        <v>161</v>
      </c>
      <c r="B496" s="2">
        <v>1.0</v>
      </c>
      <c r="D496" s="2" t="s">
        <v>929</v>
      </c>
    </row>
    <row r="497" ht="15.75" customHeight="1">
      <c r="A497" s="1" t="s">
        <v>382</v>
      </c>
      <c r="B497" s="1"/>
      <c r="C497" s="5">
        <f>B498+B499+B500+B501+B502+B503+B504+B505</f>
        <v>8</v>
      </c>
      <c r="D497" s="2" t="s">
        <v>921</v>
      </c>
      <c r="F497" s="2" t="str">
        <f>A497</f>
        <v>IAB-RP-O01</v>
      </c>
      <c r="G497" s="2" t="str">
        <f>A498</f>
        <v>OLI MAHMUD ARCHITECTS (Est‐2008)</v>
      </c>
      <c r="H497" s="2" t="str">
        <f>A499</f>
        <v>Office Address: 170‐171,Elephant Road (B‐1),Hatirpool ,Dhaka 1205</v>
      </c>
      <c r="I497" s="2" t="str">
        <f>A500</f>
        <v>Email ID: olimahmud@gmail.com</v>
      </c>
      <c r="J497" s="2" t="str">
        <f>A501</f>
        <v>Website : www.olimahmud.com Contact: +88‐02‐9668945</v>
      </c>
      <c r="K497" s="2" t="str">
        <f>A502</f>
        <v>NAME OF PROPRIETOR/ PARTNER/ DIRECTOR(s) &amp; DESIGNATION</v>
      </c>
      <c r="L497" s="2" t="str">
        <f>A503</f>
        <v>Ar. Oli Mahmud (M‐059) Managing Director</v>
      </c>
      <c r="M497" s="2" t="str">
        <f>A504</f>
        <v>FULL TIME TECHNICAL PERSONNEL OF THE FIRM/COMPANY:</v>
      </c>
      <c r="N497" s="2" t="str">
        <f>A505</f>
        <v>IAB Member Architect 4 Architectural Graduate 3 Total 7</v>
      </c>
    </row>
    <row r="498" ht="15.75" customHeight="1">
      <c r="A498" s="2" t="s">
        <v>383</v>
      </c>
      <c r="B498" s="2">
        <v>1.0</v>
      </c>
      <c r="D498" s="2" t="s">
        <v>922</v>
      </c>
    </row>
    <row r="499" ht="15.75" customHeight="1">
      <c r="A499" s="2" t="s">
        <v>384</v>
      </c>
      <c r="B499" s="2">
        <v>1.0</v>
      </c>
      <c r="D499" s="2" t="s">
        <v>923</v>
      </c>
    </row>
    <row r="500" ht="15.75" customHeight="1">
      <c r="A500" s="2" t="s">
        <v>385</v>
      </c>
      <c r="B500" s="2">
        <v>1.0</v>
      </c>
      <c r="D500" s="2" t="s">
        <v>924</v>
      </c>
    </row>
    <row r="501" ht="15.75" customHeight="1">
      <c r="A501" s="2" t="s">
        <v>386</v>
      </c>
      <c r="B501" s="2">
        <v>1.0</v>
      </c>
      <c r="D501" s="2" t="s">
        <v>925</v>
      </c>
    </row>
    <row r="502" ht="15.75" customHeight="1">
      <c r="A502" s="2" t="s">
        <v>7</v>
      </c>
      <c r="B502" s="2">
        <v>1.0</v>
      </c>
      <c r="D502" s="2" t="s">
        <v>926</v>
      </c>
    </row>
    <row r="503" ht="15.75" customHeight="1">
      <c r="A503" s="2" t="s">
        <v>387</v>
      </c>
      <c r="B503" s="2">
        <v>1.0</v>
      </c>
      <c r="D503" s="2" t="s">
        <v>927</v>
      </c>
    </row>
    <row r="504" ht="15.75" customHeight="1">
      <c r="A504" s="2" t="s">
        <v>9</v>
      </c>
      <c r="B504" s="2">
        <v>1.0</v>
      </c>
      <c r="D504" s="2" t="s">
        <v>928</v>
      </c>
    </row>
    <row r="505" ht="15.75" customHeight="1">
      <c r="A505" s="2" t="s">
        <v>388</v>
      </c>
      <c r="B505" s="2">
        <v>1.0</v>
      </c>
      <c r="D505" s="2" t="s">
        <v>929</v>
      </c>
    </row>
    <row r="506" ht="15.75" customHeight="1">
      <c r="A506" s="1" t="s">
        <v>389</v>
      </c>
      <c r="B506" s="1"/>
      <c r="C506" s="5">
        <f>B507+B508+B509+B510+B511+B512+B513+B514</f>
        <v>8</v>
      </c>
      <c r="D506" s="2" t="s">
        <v>921</v>
      </c>
      <c r="F506" s="2" t="str">
        <f>A506</f>
        <v>IAB-RP-P01</v>
      </c>
      <c r="G506" s="2" t="str">
        <f>A507</f>
        <v>PRACHEE STHAPATI (Est‐2008)</v>
      </c>
      <c r="H506" s="2" t="str">
        <f>A508</f>
        <v>Office Address: Room‐F‐5 (3 rd Floor), 113 Lake Circus, Kalabagan, Dhaka‐1205</v>
      </c>
      <c r="I506" s="2" t="str">
        <f>A509</f>
        <v>Email ID: saumenhazra@yahoo.com</v>
      </c>
      <c r="J506" s="2" t="str">
        <f>A510</f>
        <v>Website : www.pracheesthapati.com Contact: +88‐02‐9112912, +8801713065657</v>
      </c>
      <c r="K506" s="2" t="str">
        <f>A511</f>
        <v>NAME OF PROPRIETOR/ PARTNER/ DIRECTOR(s) &amp; DESIGNATION</v>
      </c>
      <c r="L506" s="2" t="str">
        <f>A512</f>
        <v>Ar. Saumen Hazra (H‐109) Principal Architect</v>
      </c>
      <c r="M506" s="2" t="str">
        <f>A513</f>
        <v>FULL TIME TECHNICAL PERSONNEL OF THE FIRM/COMPANY:</v>
      </c>
      <c r="N506" s="2" t="str">
        <f>A514</f>
        <v>IAB Member Architect 1 Architectural Graduate 4 Total 5</v>
      </c>
    </row>
    <row r="507" ht="15.75" customHeight="1">
      <c r="A507" s="2" t="s">
        <v>390</v>
      </c>
      <c r="B507" s="2">
        <v>1.0</v>
      </c>
      <c r="D507" s="2" t="s">
        <v>922</v>
      </c>
    </row>
    <row r="508" ht="15.75" customHeight="1">
      <c r="A508" s="2" t="s">
        <v>391</v>
      </c>
      <c r="B508" s="2">
        <v>1.0</v>
      </c>
      <c r="D508" s="2" t="s">
        <v>923</v>
      </c>
    </row>
    <row r="509" ht="15.75" customHeight="1">
      <c r="A509" s="2" t="s">
        <v>392</v>
      </c>
      <c r="B509" s="2">
        <v>1.0</v>
      </c>
      <c r="D509" s="2" t="s">
        <v>924</v>
      </c>
    </row>
    <row r="510" ht="15.75" customHeight="1">
      <c r="A510" s="2" t="s">
        <v>393</v>
      </c>
      <c r="B510" s="2">
        <v>1.0</v>
      </c>
      <c r="D510" s="2" t="s">
        <v>925</v>
      </c>
    </row>
    <row r="511" ht="15.75" customHeight="1">
      <c r="A511" s="2" t="s">
        <v>7</v>
      </c>
      <c r="B511" s="2">
        <v>1.0</v>
      </c>
      <c r="D511" s="2" t="s">
        <v>926</v>
      </c>
    </row>
    <row r="512" ht="15.75" customHeight="1">
      <c r="A512" s="2" t="s">
        <v>394</v>
      </c>
      <c r="B512" s="2">
        <v>1.0</v>
      </c>
      <c r="D512" s="2" t="s">
        <v>927</v>
      </c>
    </row>
    <row r="513" ht="15.75" customHeight="1">
      <c r="A513" s="2" t="s">
        <v>9</v>
      </c>
      <c r="B513" s="2">
        <v>1.0</v>
      </c>
      <c r="D513" s="2" t="s">
        <v>928</v>
      </c>
    </row>
    <row r="514" ht="15.75" customHeight="1">
      <c r="A514" s="2" t="s">
        <v>216</v>
      </c>
      <c r="B514" s="2">
        <v>1.0</v>
      </c>
      <c r="D514" s="2" t="s">
        <v>929</v>
      </c>
    </row>
    <row r="515" ht="15.75" customHeight="1">
      <c r="A515" s="1" t="s">
        <v>395</v>
      </c>
      <c r="B515" s="1"/>
      <c r="C515" s="5">
        <f>B516+B517+B518+B519+B520+B521+B522+B523</f>
        <v>8</v>
      </c>
      <c r="D515" s="2" t="s">
        <v>921</v>
      </c>
      <c r="F515" s="2" t="str">
        <f>A515</f>
        <v>IAB-RP-P02</v>
      </c>
      <c r="G515" s="2" t="str">
        <f>A516</f>
        <v>PROFILE LTD (Est‐28/8/1996)</v>
      </c>
      <c r="H515" s="2" t="str">
        <f>A517</f>
        <v>Office Address: House 18, Road 6,Gulshan‐1 , Dhaka 1213.</v>
      </c>
      <c r="I515" s="2" t="str">
        <f>A518</f>
        <v>Email ID: profileltd@gmail.com, info@profilelimited.com</v>
      </c>
      <c r="J515" s="2" t="str">
        <f>A519</f>
        <v>Website : www.profilelimited.com Contact: +88‐02‐9854672‐5,8812145,8815034,8816538 Fax: 9855153‐4</v>
      </c>
      <c r="K515" s="2" t="str">
        <f>A520</f>
        <v>NAME OF PROPRIETOR/ PARTNER/ DIRECTOR(s) &amp; DESIGNATION</v>
      </c>
      <c r="L515" s="2" t="str">
        <f>A521</f>
        <v>Ar. Md. Abdus Salam(S‐047) Managing Director</v>
      </c>
      <c r="M515" s="2" t="str">
        <f>A522</f>
        <v>FULL TIME TECHNICAL PERSONNEL OF THE FIRM/COMPANY:</v>
      </c>
      <c r="N515" s="2" t="str">
        <f>A523</f>
        <v>IAB Member Architect 21 Architectural Graduate 46 Total 67</v>
      </c>
    </row>
    <row r="516" ht="15.75" customHeight="1">
      <c r="A516" s="2" t="s">
        <v>396</v>
      </c>
      <c r="B516" s="2">
        <v>1.0</v>
      </c>
      <c r="D516" s="2" t="s">
        <v>922</v>
      </c>
    </row>
    <row r="517" ht="15.75" customHeight="1">
      <c r="A517" s="2" t="s">
        <v>397</v>
      </c>
      <c r="B517" s="2">
        <v>1.0</v>
      </c>
      <c r="D517" s="2" t="s">
        <v>923</v>
      </c>
    </row>
    <row r="518" ht="15.75" customHeight="1">
      <c r="A518" s="2" t="s">
        <v>398</v>
      </c>
      <c r="B518" s="2">
        <v>1.0</v>
      </c>
      <c r="D518" s="2" t="s">
        <v>924</v>
      </c>
    </row>
    <row r="519" ht="15.75" customHeight="1">
      <c r="A519" s="2" t="s">
        <v>399</v>
      </c>
      <c r="B519" s="2">
        <v>1.0</v>
      </c>
      <c r="D519" s="2" t="s">
        <v>925</v>
      </c>
    </row>
    <row r="520" ht="15.75" customHeight="1">
      <c r="A520" s="2" t="s">
        <v>7</v>
      </c>
      <c r="B520" s="2">
        <v>1.0</v>
      </c>
      <c r="D520" s="2" t="s">
        <v>926</v>
      </c>
    </row>
    <row r="521" ht="15.75" customHeight="1">
      <c r="A521" s="2" t="s">
        <v>400</v>
      </c>
      <c r="B521" s="2">
        <v>1.0</v>
      </c>
      <c r="D521" s="2" t="s">
        <v>927</v>
      </c>
    </row>
    <row r="522" ht="15.75" customHeight="1">
      <c r="A522" s="2" t="s">
        <v>9</v>
      </c>
      <c r="B522" s="2">
        <v>1.0</v>
      </c>
      <c r="D522" s="2" t="s">
        <v>928</v>
      </c>
    </row>
    <row r="523" ht="15.75" customHeight="1">
      <c r="A523" s="2" t="s">
        <v>401</v>
      </c>
      <c r="B523" s="2">
        <v>1.0</v>
      </c>
      <c r="D523" s="2" t="s">
        <v>929</v>
      </c>
    </row>
    <row r="524" ht="15.75" customHeight="1">
      <c r="A524" s="1" t="s">
        <v>402</v>
      </c>
      <c r="B524" s="1"/>
      <c r="C524" s="5">
        <f>B525+B526+B527+B528+B529+B530+B531+B532</f>
        <v>8</v>
      </c>
      <c r="D524" s="2" t="s">
        <v>921</v>
      </c>
      <c r="F524" s="2" t="str">
        <f>A524</f>
        <v>IAB-RP-P03</v>
      </c>
      <c r="G524" s="2" t="str">
        <f>A525</f>
        <v>PROKALPA UPODESHTA LTD (Est‐8/11/1984)</v>
      </c>
      <c r="H524" s="2" t="str">
        <f>A526</f>
        <v>Office Address: House 2/16 (5th &amp; 6 th Fl), Block B, Lalmatia, Dhaka‐1207.</v>
      </c>
      <c r="I524" s="2" t="str">
        <f>A527</f>
        <v>Email ID: info@pulbd.com</v>
      </c>
      <c r="J524" s="2" t="str">
        <f>A528</f>
        <v>Website : www.pulbd.com Contact: +88‐02‐9117689, 9126909</v>
      </c>
      <c r="K524" s="2" t="str">
        <f>A529</f>
        <v>NAME OF PROPRIETOR/ PARTNER/ DIRECTOR(s) &amp; DESIGNATION</v>
      </c>
      <c r="L524" s="2" t="str">
        <f>A530</f>
        <v>Ar. Shahidul Hasan Azad (H‐045) Managing Director &amp; Ar. Ferdous Ahmed (A‐038) Director &amp; Ar. Yeafesh Osman (O‐001)</v>
      </c>
      <c r="M524" s="2" t="str">
        <f>A531</f>
        <v>FULL TIME TECHNICAL PERSONNEL OF THE FIRM/COMPANY:</v>
      </c>
      <c r="N524" s="2" t="str">
        <f>A532</f>
        <v>IAB Member Architect 3 Architectural Graduate 57 Total 60</v>
      </c>
    </row>
    <row r="525" ht="15.75" customHeight="1">
      <c r="A525" s="2" t="s">
        <v>403</v>
      </c>
      <c r="B525" s="2">
        <v>1.0</v>
      </c>
      <c r="D525" s="2" t="s">
        <v>922</v>
      </c>
    </row>
    <row r="526" ht="15.75" customHeight="1">
      <c r="A526" s="2" t="s">
        <v>404</v>
      </c>
      <c r="B526" s="2">
        <v>1.0</v>
      </c>
      <c r="D526" s="2" t="s">
        <v>923</v>
      </c>
    </row>
    <row r="527" ht="15.75" customHeight="1">
      <c r="A527" s="2" t="s">
        <v>405</v>
      </c>
      <c r="B527" s="2">
        <v>1.0</v>
      </c>
      <c r="D527" s="2" t="s">
        <v>924</v>
      </c>
    </row>
    <row r="528" ht="15.75" customHeight="1">
      <c r="A528" s="2" t="s">
        <v>406</v>
      </c>
      <c r="B528" s="2">
        <v>1.0</v>
      </c>
      <c r="D528" s="2" t="s">
        <v>925</v>
      </c>
    </row>
    <row r="529" ht="15.75" customHeight="1">
      <c r="A529" s="2" t="s">
        <v>7</v>
      </c>
      <c r="B529" s="2">
        <v>1.0</v>
      </c>
      <c r="D529" s="2" t="s">
        <v>926</v>
      </c>
    </row>
    <row r="530" ht="15.75" customHeight="1">
      <c r="A530" s="2" t="s">
        <v>955</v>
      </c>
      <c r="B530" s="2">
        <v>1.0</v>
      </c>
      <c r="D530" s="2" t="s">
        <v>927</v>
      </c>
    </row>
    <row r="531" ht="15.75" customHeight="1">
      <c r="A531" s="2" t="s">
        <v>9</v>
      </c>
      <c r="B531" s="2">
        <v>1.0</v>
      </c>
      <c r="D531" s="2" t="s">
        <v>928</v>
      </c>
    </row>
    <row r="532" ht="15.75" customHeight="1">
      <c r="A532" s="2" t="s">
        <v>410</v>
      </c>
      <c r="B532" s="2">
        <v>1.0</v>
      </c>
      <c r="D532" s="2" t="s">
        <v>929</v>
      </c>
    </row>
    <row r="533" ht="15.75" customHeight="1">
      <c r="A533" s="1" t="s">
        <v>411</v>
      </c>
      <c r="B533" s="1"/>
      <c r="C533" s="5">
        <f>B534+B535+B536+B537+B538+B539+B540+B541</f>
        <v>8</v>
      </c>
      <c r="D533" s="2" t="s">
        <v>921</v>
      </c>
      <c r="F533" s="2" t="str">
        <f>A533</f>
        <v>IAB-RP-P04</v>
      </c>
      <c r="G533" s="2" t="str">
        <f>A534</f>
        <v>PRONAYON (Est‐1990)</v>
      </c>
      <c r="H533" s="2" t="str">
        <f>A535</f>
        <v>Office Address: Comm.Court(3 rd Floor), 95 Agrabad C/A, Chittagong</v>
      </c>
      <c r="I533" s="2" t="str">
        <f>A536</f>
        <v>Email ID: pronayon@capcobd.com , shakoor_sohail@yahoo.com</v>
      </c>
      <c r="J533" s="2" t="str">
        <f>A537</f>
        <v>Website: www.pronayon.com Contact: 031‐716066</v>
      </c>
      <c r="K533" s="2" t="str">
        <f>A538</f>
        <v>NAME OF PROPRIETOR/ PARTNER/ DIRECTOR(s) &amp; DESIGNATION:</v>
      </c>
      <c r="L533" s="2" t="str">
        <f>A539</f>
        <v>Ar. Sohail M Shakoor (S‐021) Principal Architect &amp; CEO</v>
      </c>
      <c r="M533" s="2" t="str">
        <f>A540</f>
        <v>FULL TIME TECHNICAL PERSONNEL OF THE FIRM/COMPANY:</v>
      </c>
      <c r="N533" s="2" t="str">
        <f>A541</f>
        <v>IAB Member Architect 7 Architectural Graduate 23 Total 30</v>
      </c>
    </row>
    <row r="534" ht="15.75" customHeight="1">
      <c r="A534" s="2" t="s">
        <v>412</v>
      </c>
      <c r="B534" s="2">
        <v>1.0</v>
      </c>
      <c r="D534" s="2" t="s">
        <v>922</v>
      </c>
    </row>
    <row r="535" ht="15.75" customHeight="1">
      <c r="A535" s="2" t="s">
        <v>413</v>
      </c>
      <c r="B535" s="2">
        <v>1.0</v>
      </c>
      <c r="D535" s="2" t="s">
        <v>923</v>
      </c>
    </row>
    <row r="536" ht="15.75" customHeight="1">
      <c r="A536" s="2" t="s">
        <v>414</v>
      </c>
      <c r="B536" s="2">
        <v>1.0</v>
      </c>
      <c r="D536" s="2" t="s">
        <v>924</v>
      </c>
    </row>
    <row r="537" ht="15.75" customHeight="1">
      <c r="A537" s="2" t="s">
        <v>415</v>
      </c>
      <c r="B537" s="2">
        <v>1.0</v>
      </c>
      <c r="D537" s="2" t="s">
        <v>925</v>
      </c>
    </row>
    <row r="538" ht="15.75" customHeight="1">
      <c r="A538" s="2" t="s">
        <v>44</v>
      </c>
      <c r="B538" s="2">
        <v>1.0</v>
      </c>
      <c r="D538" s="2" t="s">
        <v>926</v>
      </c>
    </row>
    <row r="539" ht="15.75" customHeight="1">
      <c r="A539" s="2" t="s">
        <v>956</v>
      </c>
      <c r="B539" s="2">
        <v>1.0</v>
      </c>
      <c r="D539" s="2" t="s">
        <v>927</v>
      </c>
    </row>
    <row r="540" ht="15.75" customHeight="1">
      <c r="A540" s="2" t="s">
        <v>9</v>
      </c>
      <c r="B540" s="2">
        <v>1.0</v>
      </c>
      <c r="D540" s="2" t="s">
        <v>928</v>
      </c>
    </row>
    <row r="541" ht="15.75" customHeight="1">
      <c r="A541" s="2" t="s">
        <v>419</v>
      </c>
      <c r="B541" s="2">
        <v>1.0</v>
      </c>
      <c r="D541" s="2" t="s">
        <v>929</v>
      </c>
    </row>
    <row r="542" ht="15.75" customHeight="1">
      <c r="A542" s="1" t="s">
        <v>420</v>
      </c>
      <c r="B542" s="1"/>
      <c r="C542" s="5">
        <f>B543+B544+B545+B547+B548+B546+B549+B550</f>
        <v>8</v>
      </c>
      <c r="D542" s="2" t="s">
        <v>921</v>
      </c>
      <c r="F542" s="2" t="str">
        <f>A542</f>
        <v>IAB-RP-R01</v>
      </c>
      <c r="G542" s="2" t="str">
        <f>A543</f>
        <v>REGIONAL ARCHITECTS (Est‐2013)</v>
      </c>
      <c r="H542" s="2" t="str">
        <f>A544</f>
        <v>Office Address: House 112, Road‐06, Mohakhali, New DOHS, Dhaka‐1206</v>
      </c>
      <c r="I542" s="2" t="str">
        <f>A545</f>
        <v>Email ID: regional_architects@yahoo.com Contact:</v>
      </c>
      <c r="J542" s="2" t="str">
        <f>A546</f>
        <v>website:</v>
      </c>
      <c r="K542" s="2" t="str">
        <f>A547</f>
        <v>NAME OF PROPRIETOR/ PARTNER/ DIRECTOR(s) &amp; DESIGNATION</v>
      </c>
      <c r="L542" s="2" t="str">
        <f>A548</f>
        <v>Ar. Jalal Uddin Md. Akbar (A‐128) Partner &amp; Ar. Md. Mobinul Alam (A‐116) Partner</v>
      </c>
      <c r="M542" s="2" t="str">
        <f>A549</f>
        <v>FULL TIME TECHNICAL PERSONNEL OF THE FIRM/COMPANY:</v>
      </c>
      <c r="N542" s="2" t="str">
        <f>A550</f>
        <v>Architectural Staff 2 Architectural Graduate Total 2</v>
      </c>
    </row>
    <row r="543" ht="15.75" customHeight="1">
      <c r="A543" s="2" t="s">
        <v>421</v>
      </c>
      <c r="B543" s="2">
        <v>1.0</v>
      </c>
      <c r="D543" s="2" t="s">
        <v>922</v>
      </c>
    </row>
    <row r="544" ht="15.75" customHeight="1">
      <c r="A544" s="2" t="s">
        <v>422</v>
      </c>
      <c r="B544" s="2">
        <v>1.0</v>
      </c>
      <c r="D544" s="2" t="s">
        <v>923</v>
      </c>
    </row>
    <row r="545" ht="15.75" customHeight="1">
      <c r="A545" s="2" t="s">
        <v>423</v>
      </c>
      <c r="B545" s="2">
        <v>1.0</v>
      </c>
      <c r="D545" s="2" t="s">
        <v>924</v>
      </c>
    </row>
    <row r="546" ht="15.75" customHeight="1">
      <c r="A546" s="2" t="s">
        <v>936</v>
      </c>
      <c r="B546" s="2">
        <v>1.0</v>
      </c>
      <c r="D546" s="2" t="s">
        <v>925</v>
      </c>
    </row>
    <row r="547" ht="15.75" customHeight="1">
      <c r="A547" s="2" t="s">
        <v>7</v>
      </c>
      <c r="B547" s="2">
        <v>1.0</v>
      </c>
      <c r="D547" s="2" t="s">
        <v>926</v>
      </c>
    </row>
    <row r="548" ht="15.75" customHeight="1">
      <c r="A548" s="2" t="s">
        <v>957</v>
      </c>
      <c r="B548" s="2">
        <v>1.0</v>
      </c>
      <c r="D548" s="2" t="s">
        <v>927</v>
      </c>
    </row>
    <row r="549" ht="15.75" customHeight="1">
      <c r="A549" s="2" t="s">
        <v>9</v>
      </c>
      <c r="B549" s="2">
        <v>1.0</v>
      </c>
      <c r="D549" s="2" t="s">
        <v>928</v>
      </c>
    </row>
    <row r="550" ht="15.75" customHeight="1">
      <c r="A550" s="2" t="s">
        <v>426</v>
      </c>
      <c r="B550" s="2">
        <v>1.0</v>
      </c>
      <c r="D550" s="2" t="s">
        <v>929</v>
      </c>
    </row>
    <row r="551" ht="15.75" customHeight="1">
      <c r="A551" s="1" t="s">
        <v>427</v>
      </c>
      <c r="B551" s="1"/>
      <c r="C551" s="5">
        <f>B552+B553+B554+B555+B556+B557+B558+B559</f>
        <v>8</v>
      </c>
      <c r="D551" s="2" t="s">
        <v>921</v>
      </c>
      <c r="F551" s="2" t="str">
        <f>A551</f>
        <v>IAB-RP-R02</v>
      </c>
      <c r="G551" s="2" t="str">
        <f>A552</f>
        <v>RIDDHI ARCHITECTS (Est‐2008)</v>
      </c>
      <c r="H551" s="2" t="str">
        <f>A553</f>
        <v>Office Address: 8/44 Eastern Plaza (7th Floor), Sonargaon Road, Dhaka‐1205</v>
      </c>
      <c r="I551" s="2" t="str">
        <f>A554</f>
        <v>Email ID: riddhi.arch@gmail.com Contact: +88‐02‐8626480</v>
      </c>
      <c r="J551" s="2" t="str">
        <f>A555</f>
        <v>Website :</v>
      </c>
      <c r="K551" s="2" t="str">
        <f>A556</f>
        <v>NAME OF PROPRIETOR/ PARTNER/ DIRECTOR(s) &amp; DESIGNATION</v>
      </c>
      <c r="L551" s="2" t="str">
        <f>A557</f>
        <v>Ar. Abu Hena Md. Zia Uddin (U‐005) Proprietor &amp; Managing Partner</v>
      </c>
      <c r="M551" s="2" t="str">
        <f>A558</f>
        <v>FULL TIME TECHNICAL PERSONNEL OF THE FIRM/COMPANY:</v>
      </c>
      <c r="N551" s="2" t="str">
        <f>A559</f>
        <v>IAB Member Architect 6 Architectural Graduate 4 Total 10</v>
      </c>
    </row>
    <row r="552" ht="15.75" customHeight="1">
      <c r="A552" s="2" t="s">
        <v>428</v>
      </c>
      <c r="B552" s="2">
        <v>1.0</v>
      </c>
      <c r="D552" s="2" t="s">
        <v>922</v>
      </c>
    </row>
    <row r="553" ht="15.75" customHeight="1">
      <c r="A553" s="2" t="s">
        <v>429</v>
      </c>
      <c r="B553" s="2">
        <v>1.0</v>
      </c>
      <c r="D553" s="2" t="s">
        <v>923</v>
      </c>
    </row>
    <row r="554" ht="15.75" customHeight="1">
      <c r="A554" s="2" t="s">
        <v>430</v>
      </c>
      <c r="B554" s="2">
        <v>1.0</v>
      </c>
      <c r="D554" s="2" t="s">
        <v>924</v>
      </c>
    </row>
    <row r="555" ht="15.75" customHeight="1">
      <c r="A555" s="2" t="s">
        <v>50</v>
      </c>
      <c r="B555" s="2">
        <v>1.0</v>
      </c>
      <c r="D555" s="2" t="s">
        <v>925</v>
      </c>
    </row>
    <row r="556" ht="15.75" customHeight="1">
      <c r="A556" s="2" t="s">
        <v>7</v>
      </c>
      <c r="B556" s="2">
        <v>1.0</v>
      </c>
      <c r="D556" s="2" t="s">
        <v>926</v>
      </c>
    </row>
    <row r="557" ht="15.75" customHeight="1">
      <c r="A557" s="2" t="s">
        <v>431</v>
      </c>
      <c r="B557" s="2">
        <v>1.0</v>
      </c>
      <c r="D557" s="2" t="s">
        <v>927</v>
      </c>
    </row>
    <row r="558" ht="15.75" customHeight="1">
      <c r="A558" s="2" t="s">
        <v>9</v>
      </c>
      <c r="B558" s="2">
        <v>1.0</v>
      </c>
      <c r="D558" s="2" t="s">
        <v>928</v>
      </c>
    </row>
    <row r="559" ht="15.75" customHeight="1">
      <c r="A559" s="2" t="s">
        <v>432</v>
      </c>
      <c r="B559" s="2">
        <v>1.0</v>
      </c>
      <c r="D559" s="2" t="s">
        <v>929</v>
      </c>
    </row>
    <row r="560" ht="15.75" customHeight="1">
      <c r="A560" s="1" t="s">
        <v>433</v>
      </c>
      <c r="B560" s="1"/>
      <c r="C560" s="5">
        <f>B561+B562+B563+B564+B565+B566+B567+B568+B569</f>
        <v>8</v>
      </c>
      <c r="D560" s="2" t="s">
        <v>921</v>
      </c>
      <c r="F560" s="2" t="str">
        <f>A560</f>
        <v>IAB-RP-R03</v>
      </c>
      <c r="G560" s="2" t="str">
        <f>A561</f>
        <v>RIVNAT ARCHITECTS (Est‐2006)</v>
      </c>
      <c r="H560" s="2" t="str">
        <f>A562</f>
        <v>Office Address: 56, Lake Circus, Kalabagan (2 nd floor), West Panthapath, Dhaka‐1205</v>
      </c>
      <c r="I560" s="2" t="str">
        <f>A563</f>
        <v>Email ID: rivnat360@gmail.com Contact: +88‐02‐9127032</v>
      </c>
      <c r="J560" s="2" t="str">
        <f>A564</f>
        <v>website:</v>
      </c>
      <c r="K560" s="2" t="str">
        <f>A565</f>
        <v>NAME OF PROPRIETOR/ PARTNER/ DIRECTOR(s) &amp; DESIGNATION</v>
      </c>
      <c r="L560" s="2" t="str">
        <f>A566</f>
        <v>Ar. Shakhawat Tanvir Hossain (H‐107) Principal Architect</v>
      </c>
      <c r="M560" s="2" t="str">
        <f>A567</f>
        <v>FULL TIME TECHNICAL PERSONNEL OF THE FIRM/COMPANY:</v>
      </c>
      <c r="N560" s="2" t="str">
        <f>A568</f>
        <v>IAB Member Architect 1 Architectural Graduate 2 Total 3</v>
      </c>
    </row>
    <row r="561" ht="15.75" customHeight="1">
      <c r="A561" s="2" t="s">
        <v>434</v>
      </c>
      <c r="B561" s="2">
        <v>1.0</v>
      </c>
      <c r="D561" s="2" t="s">
        <v>922</v>
      </c>
    </row>
    <row r="562" ht="15.75" customHeight="1">
      <c r="A562" s="2" t="s">
        <v>435</v>
      </c>
      <c r="B562" s="2">
        <v>1.0</v>
      </c>
      <c r="D562" s="2" t="s">
        <v>923</v>
      </c>
    </row>
    <row r="563" ht="15.75" customHeight="1">
      <c r="A563" s="2" t="s">
        <v>436</v>
      </c>
      <c r="B563" s="2">
        <v>1.0</v>
      </c>
      <c r="D563" s="2" t="s">
        <v>924</v>
      </c>
    </row>
    <row r="564" ht="15.75" customHeight="1">
      <c r="A564" s="2" t="s">
        <v>936</v>
      </c>
      <c r="B564" s="2">
        <v>1.0</v>
      </c>
      <c r="D564" s="2" t="s">
        <v>925</v>
      </c>
    </row>
    <row r="565" ht="15.75" customHeight="1">
      <c r="A565" s="2" t="s">
        <v>7</v>
      </c>
      <c r="B565" s="2">
        <v>1.0</v>
      </c>
      <c r="D565" s="2" t="s">
        <v>926</v>
      </c>
    </row>
    <row r="566" ht="15.75" customHeight="1">
      <c r="A566" s="2" t="s">
        <v>437</v>
      </c>
      <c r="B566" s="2">
        <v>1.0</v>
      </c>
      <c r="D566" s="2" t="s">
        <v>927</v>
      </c>
    </row>
    <row r="567" ht="15.75" customHeight="1">
      <c r="A567" s="2" t="s">
        <v>9</v>
      </c>
      <c r="B567" s="2">
        <v>1.0</v>
      </c>
      <c r="D567" s="2" t="s">
        <v>928</v>
      </c>
    </row>
    <row r="568" ht="15.75" customHeight="1">
      <c r="A568" s="2" t="s">
        <v>130</v>
      </c>
      <c r="B568" s="2">
        <v>1.0</v>
      </c>
      <c r="D568" s="2" t="s">
        <v>929</v>
      </c>
    </row>
    <row r="569" ht="15.75" customHeight="1">
      <c r="A569" s="1" t="s">
        <v>438</v>
      </c>
      <c r="B569" s="1"/>
      <c r="C569" s="5">
        <f>B570+B571+B572+B573+B574+B575+B576+B577+B578</f>
        <v>8</v>
      </c>
      <c r="D569" s="2" t="s">
        <v>921</v>
      </c>
      <c r="F569" s="2" t="str">
        <f>A569</f>
        <v>IAB-RP-R04</v>
      </c>
      <c r="G569" s="2" t="str">
        <f>A570</f>
        <v>RACHONA CONSULTANTS (Est‐1997)</v>
      </c>
      <c r="H569" s="2" t="str">
        <f>A571</f>
        <v>Office Address: House‐44 (2 nd Floor), Road‐15, Block‐D, Banani, Dhaka‐1213</v>
      </c>
      <c r="I569" s="2" t="str">
        <f>A572</f>
        <v>Email ID: rachona@gmail.com Contact: +88‐02‐9820896, +8801713017973</v>
      </c>
      <c r="J569" s="2" t="str">
        <f>A573</f>
        <v>website:</v>
      </c>
      <c r="K569" s="2" t="str">
        <f>A574</f>
        <v>NAME OF PROPRIETOR/ PARTNER/ DIRECTOR(s) &amp; DESIGNATION:</v>
      </c>
      <c r="L569" s="2" t="str">
        <f>A575</f>
        <v>Ar. Riad Rouf (R‐061) Principal Architect</v>
      </c>
      <c r="M569" s="2" t="str">
        <f>A576</f>
        <v>FULL TIME ARCHITECTURAL PERSONNEL OF THE FIRM/COMPANY:</v>
      </c>
      <c r="N569" s="2" t="str">
        <f>A577</f>
        <v>IAB Member Architect 3 Architectural Graduate 2 Total 5</v>
      </c>
    </row>
    <row r="570" ht="15.75" customHeight="1">
      <c r="A570" s="2" t="s">
        <v>439</v>
      </c>
      <c r="B570" s="2">
        <v>1.0</v>
      </c>
      <c r="D570" s="2" t="s">
        <v>922</v>
      </c>
    </row>
    <row r="571" ht="15.75" customHeight="1">
      <c r="A571" s="2" t="s">
        <v>440</v>
      </c>
      <c r="B571" s="2">
        <v>1.0</v>
      </c>
      <c r="D571" s="2" t="s">
        <v>923</v>
      </c>
    </row>
    <row r="572" ht="15.75" customHeight="1">
      <c r="A572" s="2" t="s">
        <v>441</v>
      </c>
      <c r="B572" s="2">
        <v>1.0</v>
      </c>
      <c r="D572" s="2" t="s">
        <v>924</v>
      </c>
    </row>
    <row r="573" ht="15.75" customHeight="1">
      <c r="A573" s="2" t="s">
        <v>936</v>
      </c>
      <c r="B573" s="2">
        <v>1.0</v>
      </c>
      <c r="D573" s="2" t="s">
        <v>925</v>
      </c>
    </row>
    <row r="574" ht="15.75" customHeight="1">
      <c r="A574" s="2" t="s">
        <v>44</v>
      </c>
      <c r="B574" s="2">
        <v>1.0</v>
      </c>
      <c r="D574" s="2" t="s">
        <v>926</v>
      </c>
    </row>
    <row r="575" ht="15.75" customHeight="1">
      <c r="A575" s="2" t="s">
        <v>442</v>
      </c>
      <c r="B575" s="2">
        <v>1.0</v>
      </c>
      <c r="D575" s="2" t="s">
        <v>927</v>
      </c>
    </row>
    <row r="576" ht="15.75" customHeight="1">
      <c r="A576" s="2" t="s">
        <v>37</v>
      </c>
      <c r="B576" s="2">
        <v>1.0</v>
      </c>
      <c r="D576" s="2" t="s">
        <v>928</v>
      </c>
    </row>
    <row r="577" ht="15.75" customHeight="1">
      <c r="A577" s="2" t="s">
        <v>146</v>
      </c>
      <c r="B577" s="2">
        <v>1.0</v>
      </c>
      <c r="D577" s="2" t="s">
        <v>929</v>
      </c>
    </row>
    <row r="578" ht="15.75" customHeight="1">
      <c r="A578" s="1" t="s">
        <v>443</v>
      </c>
      <c r="B578" s="1"/>
      <c r="C578" s="5">
        <f>B579+B580+B581+B582+B583+B584+B585+B586</f>
        <v>8</v>
      </c>
      <c r="D578" s="2" t="s">
        <v>921</v>
      </c>
      <c r="F578" s="2" t="str">
        <f>A578</f>
        <v>IAB-RP-R05</v>
      </c>
      <c r="G578" s="2" t="str">
        <f>A579</f>
        <v>REINCARNATION (Est‐2010)</v>
      </c>
      <c r="H578" s="2" t="str">
        <f>A580</f>
        <v>Office Address: Apt‐5, House‐3, Road‐7, Block‐C, Niketon, Gulshan‐1, Dhaka‐1212</v>
      </c>
      <c r="I578" s="2" t="str">
        <f>A581</f>
        <v>Email ID: reincarnationbd@yahoo.com</v>
      </c>
      <c r="J578" s="2" t="str">
        <f>A582</f>
        <v>Website : www.reincarnation‐bd.com Contact: +88‐02‐9854352</v>
      </c>
      <c r="K578" s="2" t="str">
        <f>A583</f>
        <v>NAME OF PROPRIETOR/ PARTNER/ DIRECTOR(s) &amp; DESIGNATION</v>
      </c>
      <c r="L578" s="2" t="str">
        <f>A584</f>
        <v>Ar. Khandoker Abdal Hossain (H‐133) Principal Architect &amp; Partner</v>
      </c>
      <c r="M578" s="2" t="str">
        <f>A585</f>
        <v>FULL TIME ARCHITECTURAL PERSONNEL OF THE FIRM/COMPANY:</v>
      </c>
      <c r="N578" s="2" t="str">
        <f>A586</f>
        <v>IAB Member Architect 6 Architectural Graduate 5 Total 11</v>
      </c>
    </row>
    <row r="579" ht="15.75" customHeight="1">
      <c r="A579" s="2" t="s">
        <v>444</v>
      </c>
      <c r="B579" s="2">
        <v>1.0</v>
      </c>
      <c r="D579" s="2" t="s">
        <v>922</v>
      </c>
    </row>
    <row r="580" ht="15.75" customHeight="1">
      <c r="A580" s="2" t="s">
        <v>445</v>
      </c>
      <c r="B580" s="2">
        <v>1.0</v>
      </c>
      <c r="D580" s="2" t="s">
        <v>923</v>
      </c>
    </row>
    <row r="581" ht="15.75" customHeight="1">
      <c r="A581" s="2" t="s">
        <v>446</v>
      </c>
      <c r="B581" s="2">
        <v>1.0</v>
      </c>
      <c r="D581" s="2" t="s">
        <v>924</v>
      </c>
    </row>
    <row r="582" ht="15.75" customHeight="1">
      <c r="A582" s="2" t="s">
        <v>447</v>
      </c>
      <c r="B582" s="2">
        <v>1.0</v>
      </c>
      <c r="D582" s="2" t="s">
        <v>925</v>
      </c>
    </row>
    <row r="583" ht="15.75" customHeight="1">
      <c r="A583" s="2" t="s">
        <v>7</v>
      </c>
      <c r="B583" s="2">
        <v>1.0</v>
      </c>
      <c r="D583" s="2" t="s">
        <v>926</v>
      </c>
    </row>
    <row r="584" ht="15.75" customHeight="1">
      <c r="A584" s="2" t="s">
        <v>448</v>
      </c>
      <c r="B584" s="2">
        <v>1.0</v>
      </c>
      <c r="D584" s="2" t="s">
        <v>927</v>
      </c>
    </row>
    <row r="585" ht="15.75" customHeight="1">
      <c r="A585" s="2" t="s">
        <v>37</v>
      </c>
      <c r="B585" s="2">
        <v>1.0</v>
      </c>
      <c r="D585" s="2" t="s">
        <v>928</v>
      </c>
    </row>
    <row r="586" ht="15.75" customHeight="1">
      <c r="A586" s="2" t="s">
        <v>449</v>
      </c>
      <c r="B586" s="2">
        <v>1.0</v>
      </c>
      <c r="D586" s="2" t="s">
        <v>929</v>
      </c>
    </row>
    <row r="587" ht="15.75" customHeight="1">
      <c r="A587" s="1" t="s">
        <v>450</v>
      </c>
      <c r="B587" s="1"/>
      <c r="C587" s="5">
        <f>B588+B589+B590+B591+B592+B593+B595+B594</f>
        <v>8</v>
      </c>
      <c r="D587" s="2" t="s">
        <v>921</v>
      </c>
      <c r="F587" s="2" t="str">
        <f>A587</f>
        <v>IAB-RP-R06</v>
      </c>
      <c r="G587" s="2" t="str">
        <f>A588</f>
        <v>ROOFLINERS_STUDIO OF ARCHITECTURE (Est‐2012)</v>
      </c>
      <c r="H587" s="2" t="str">
        <f>A589</f>
        <v>Office Address: Flat‐C1, House‐277, Road‐01, Baitul Aman Housing Society, Adabor, Mohammadpur, Dhaka‐1207</v>
      </c>
      <c r="I587" s="2" t="str">
        <f>A590</f>
        <v>Email ID: contact@roofliners.org, roofliners.bd@gmail.com Contact: +8801706602332, +8801815007774</v>
      </c>
      <c r="J587" s="2" t="str">
        <f>A591</f>
        <v>Website : www.roofliners.org</v>
      </c>
      <c r="K587" s="2" t="str">
        <f>A592</f>
        <v>NAME OF PROPRIETOR/ PARTNER/ DIRECTOR(s) &amp; DESIGNATION</v>
      </c>
      <c r="L587" s="2" t="str">
        <f>A593</f>
        <v>Ar. Sarawat Iqbal (I‐091) Architect Partner &amp; Ar. Monon‐Bin‐Yunus (AY‐013) Architect Partner</v>
      </c>
      <c r="M587" s="2" t="str">
        <f>A594</f>
        <v>FULL TIME ARCHITECTURAL PERSONNEL OF THE FIRM/COMPANY:</v>
      </c>
      <c r="N587" s="2" t="str">
        <f>A595</f>
        <v>IAB Member Architect 5 Architectural Graduate 6 Total 11</v>
      </c>
    </row>
    <row r="588" ht="15.75" customHeight="1">
      <c r="A588" s="2" t="s">
        <v>451</v>
      </c>
      <c r="B588" s="2">
        <v>1.0</v>
      </c>
      <c r="D588" s="2" t="s">
        <v>922</v>
      </c>
    </row>
    <row r="589" ht="15.75" customHeight="1">
      <c r="A589" s="2" t="s">
        <v>452</v>
      </c>
      <c r="B589" s="2">
        <v>1.0</v>
      </c>
      <c r="D589" s="2" t="s">
        <v>923</v>
      </c>
    </row>
    <row r="590" ht="15.75" customHeight="1">
      <c r="A590" s="2" t="s">
        <v>453</v>
      </c>
      <c r="B590" s="2">
        <v>1.0</v>
      </c>
      <c r="D590" s="2" t="s">
        <v>924</v>
      </c>
    </row>
    <row r="591" ht="15.75" customHeight="1">
      <c r="A591" s="2" t="s">
        <v>454</v>
      </c>
      <c r="B591" s="2">
        <v>1.0</v>
      </c>
      <c r="D591" s="2" t="s">
        <v>925</v>
      </c>
    </row>
    <row r="592" ht="15.75" customHeight="1">
      <c r="A592" s="2" t="s">
        <v>7</v>
      </c>
      <c r="B592" s="2">
        <v>1.0</v>
      </c>
      <c r="D592" s="2" t="s">
        <v>926</v>
      </c>
    </row>
    <row r="593" ht="15.75" customHeight="1">
      <c r="A593" s="2" t="s">
        <v>958</v>
      </c>
      <c r="B593" s="2">
        <v>1.0</v>
      </c>
      <c r="D593" s="2" t="s">
        <v>927</v>
      </c>
    </row>
    <row r="594" ht="15.75" customHeight="1">
      <c r="A594" s="2" t="s">
        <v>37</v>
      </c>
      <c r="B594" s="2">
        <v>1.0</v>
      </c>
      <c r="D594" s="2" t="s">
        <v>928</v>
      </c>
    </row>
    <row r="595" ht="15.75" customHeight="1">
      <c r="A595" s="2" t="s">
        <v>457</v>
      </c>
      <c r="B595" s="2">
        <v>1.0</v>
      </c>
      <c r="D595" s="2" t="s">
        <v>929</v>
      </c>
    </row>
    <row r="596" ht="15.75" customHeight="1">
      <c r="A596" s="1" t="s">
        <v>458</v>
      </c>
      <c r="B596" s="1"/>
      <c r="C596" s="5">
        <f>B597+B598+B599+B601+B602+B603+B604+B605+B600</f>
        <v>8</v>
      </c>
      <c r="D596" s="2" t="s">
        <v>921</v>
      </c>
      <c r="F596" s="2" t="str">
        <f>A596</f>
        <v>IAB-RP-R07</v>
      </c>
      <c r="G596" s="2" t="str">
        <f>A597</f>
        <v>ROSEBUD CONSULTANTS LTD (Est‐1995)</v>
      </c>
      <c r="H596" s="2" t="str">
        <f>A598</f>
        <v>Office Address: 14, Bijoy Nagar, 3rd Floor, Dhaka‐1000</v>
      </c>
      <c r="I596" s="2" t="str">
        <f>A599</f>
        <v>Email ID: rosebudcon@gmail.com Contact: +88‐02‐9334169, +88‐02‐9354491</v>
      </c>
      <c r="J596" s="2" t="str">
        <f>A600</f>
        <v>website:</v>
      </c>
      <c r="K596" s="2" t="str">
        <f>A601</f>
        <v>NAME OF PROPRIETOR/ PARTNER/ DIRECTOR(s) &amp; DESIGNATION</v>
      </c>
      <c r="L596" s="2" t="str">
        <f>A602</f>
        <v>Ar. A.K.M. Quamrul Hasan (H‐071) Managing Director</v>
      </c>
      <c r="M596" s="2" t="str">
        <f>A603</f>
        <v>FULL TIME ARCHITECTURAL PERSONNEL OF THE FIRM/COMPANY:</v>
      </c>
      <c r="N596" s="2" t="str">
        <f>A604</f>
        <v>IAB Member Architect 1 Architectural Graduate 0 Total 1</v>
      </c>
    </row>
    <row r="597" ht="15.75" customHeight="1">
      <c r="A597" s="2" t="s">
        <v>459</v>
      </c>
      <c r="B597" s="2">
        <v>1.0</v>
      </c>
      <c r="D597" s="2" t="s">
        <v>922</v>
      </c>
    </row>
    <row r="598" ht="15.75" customHeight="1">
      <c r="A598" s="2" t="s">
        <v>460</v>
      </c>
      <c r="B598" s="2">
        <v>1.0</v>
      </c>
      <c r="D598" s="2" t="s">
        <v>923</v>
      </c>
    </row>
    <row r="599" ht="15.75" customHeight="1">
      <c r="A599" s="2" t="s">
        <v>461</v>
      </c>
      <c r="B599" s="2">
        <v>1.0</v>
      </c>
      <c r="D599" s="2" t="s">
        <v>924</v>
      </c>
    </row>
    <row r="600" ht="15.75" customHeight="1">
      <c r="A600" s="2" t="s">
        <v>936</v>
      </c>
      <c r="B600" s="2">
        <v>1.0</v>
      </c>
      <c r="D600" s="2" t="s">
        <v>925</v>
      </c>
    </row>
    <row r="601" ht="15.75" customHeight="1">
      <c r="A601" s="2" t="s">
        <v>7</v>
      </c>
      <c r="B601" s="2">
        <v>1.0</v>
      </c>
      <c r="D601" s="2" t="s">
        <v>926</v>
      </c>
    </row>
    <row r="602" ht="15.75" customHeight="1">
      <c r="A602" s="2" t="s">
        <v>462</v>
      </c>
      <c r="B602" s="2">
        <v>1.0</v>
      </c>
      <c r="D602" s="2" t="s">
        <v>927</v>
      </c>
    </row>
    <row r="603" ht="15.75" customHeight="1">
      <c r="A603" s="2" t="s">
        <v>37</v>
      </c>
      <c r="B603" s="2">
        <v>1.0</v>
      </c>
      <c r="D603" s="2" t="s">
        <v>928</v>
      </c>
    </row>
    <row r="604" ht="15.75" customHeight="1">
      <c r="A604" s="2" t="s">
        <v>66</v>
      </c>
      <c r="B604" s="2">
        <v>1.0</v>
      </c>
      <c r="D604" s="2" t="s">
        <v>929</v>
      </c>
    </row>
    <row r="605" ht="15.75" customHeight="1">
      <c r="A605" s="1" t="s">
        <v>463</v>
      </c>
      <c r="B605" s="1"/>
      <c r="C605" s="5">
        <f>B606+B607+B608+B609+B610+B611+B612+B613</f>
        <v>8</v>
      </c>
      <c r="D605" s="2" t="s">
        <v>921</v>
      </c>
      <c r="F605" s="2" t="str">
        <f>A605</f>
        <v>IAB-RP-R08</v>
      </c>
      <c r="G605" s="2" t="str">
        <f>A606</f>
        <v>River &amp; Rain Ltd. (Est‐2015)</v>
      </c>
      <c r="H605" s="2" t="str">
        <f>A607</f>
        <v>Office Address: H‐100B, Road‐6A, Banani DOHS, Banani, Dhaka‐1206</v>
      </c>
      <c r="I605" s="2" t="str">
        <f>A608</f>
        <v>Email ID: riverandraininfo@gmail.com Contact: +88 01734017695 +88 01746506316</v>
      </c>
      <c r="J605" s="2" t="str">
        <f>A609</f>
        <v>Website: www.riverandrain.net</v>
      </c>
      <c r="K605" s="2" t="str">
        <f>A610</f>
        <v>NAME OF PROPRIETOR/ PARTNER/ DIRECTOR(s) &amp; DESIGNATION</v>
      </c>
      <c r="L605" s="2" t="str">
        <f>A611</f>
        <v>Ar. Kazi Fida Islam (I‐060) Principal Architect</v>
      </c>
      <c r="M605" s="2" t="str">
        <f>A612</f>
        <v>FULL TIME ARCHITECTURAL PERSONNEL OF THE FIRM/COMPANY:</v>
      </c>
      <c r="N605" s="2" t="str">
        <f>A613</f>
        <v>IAB Member Architect Architectural Graduate Total</v>
      </c>
    </row>
    <row r="606" ht="15.75" customHeight="1">
      <c r="A606" s="2" t="s">
        <v>464</v>
      </c>
      <c r="B606" s="2">
        <v>1.0</v>
      </c>
      <c r="D606" s="2" t="s">
        <v>922</v>
      </c>
    </row>
    <row r="607" ht="15.75" customHeight="1">
      <c r="A607" s="2" t="s">
        <v>465</v>
      </c>
      <c r="B607" s="2">
        <v>1.0</v>
      </c>
      <c r="D607" s="2" t="s">
        <v>923</v>
      </c>
    </row>
    <row r="608" ht="15.75" customHeight="1">
      <c r="A608" s="2" t="s">
        <v>466</v>
      </c>
      <c r="B608" s="2">
        <v>1.0</v>
      </c>
      <c r="D608" s="2" t="s">
        <v>924</v>
      </c>
    </row>
    <row r="609" ht="15.75" customHeight="1">
      <c r="A609" s="2" t="s">
        <v>467</v>
      </c>
      <c r="B609" s="2">
        <v>1.0</v>
      </c>
      <c r="D609" s="2" t="s">
        <v>925</v>
      </c>
    </row>
    <row r="610" ht="15.75" customHeight="1">
      <c r="A610" s="2" t="s">
        <v>7</v>
      </c>
      <c r="B610" s="2">
        <v>1.0</v>
      </c>
      <c r="D610" s="2" t="s">
        <v>926</v>
      </c>
    </row>
    <row r="611" ht="15.75" customHeight="1">
      <c r="A611" s="2" t="s">
        <v>468</v>
      </c>
      <c r="B611" s="2">
        <v>1.0</v>
      </c>
      <c r="D611" s="2" t="s">
        <v>927</v>
      </c>
    </row>
    <row r="612" ht="15.75" customHeight="1">
      <c r="A612" s="2" t="s">
        <v>37</v>
      </c>
      <c r="B612" s="2">
        <v>1.0</v>
      </c>
      <c r="D612" s="2" t="s">
        <v>928</v>
      </c>
    </row>
    <row r="613" ht="15.75" customHeight="1">
      <c r="A613" s="2" t="s">
        <v>161</v>
      </c>
      <c r="B613" s="2">
        <v>1.0</v>
      </c>
      <c r="D613" s="2" t="s">
        <v>929</v>
      </c>
    </row>
    <row r="614" ht="15.75" customHeight="1">
      <c r="A614" s="1" t="s">
        <v>469</v>
      </c>
      <c r="B614" s="1"/>
      <c r="C614" s="5">
        <f>B615+B616+B617+B619+B620+B618+B622+B621</f>
        <v>8</v>
      </c>
      <c r="D614" s="2" t="s">
        <v>921</v>
      </c>
      <c r="F614" s="2" t="str">
        <f>A614</f>
        <v>IAB-RP-S01</v>
      </c>
      <c r="G614" s="2" t="str">
        <f>A615</f>
        <v>SAIUJ CONSULTANTS (Est‐6/6/2001)</v>
      </c>
      <c r="H614" s="2" t="str">
        <f>A616</f>
        <v>Office Address: 539, Baitul Aman Housing Society, Road‐12, P.S. Adabor, P.O.‐Mohammedpur, Dhaka‐1207</v>
      </c>
      <c r="I614" s="2" t="str">
        <f>A617</f>
        <v>Email ID: saiuj_con@yahoo.com Contact: +88‐02‐8190746</v>
      </c>
      <c r="J614" s="2" t="str">
        <f>A618</f>
        <v>website:</v>
      </c>
      <c r="K614" s="2" t="str">
        <f>A619</f>
        <v>NAME OF PROPRIETOR/ PARTNER/ DIRECTOR(s) &amp; DESIGNATION</v>
      </c>
      <c r="L614" s="2" t="str">
        <f>A620</f>
        <v>Ar.Mirza Shahper Jalil (J‐019) Managing Director &amp; Ar. Hasan Mahmud (H‐090) Director &amp; Ar. Umme Farzana Zarif (CZ‐001) Director</v>
      </c>
      <c r="M614" s="2" t="str">
        <f>A621</f>
        <v>FULL TIME TECHNICAL PERSONNEL OF THE FIRM/COMPANY:</v>
      </c>
      <c r="N614" s="2" t="str">
        <f>A622</f>
        <v>IAB Member Architect 4 Architectural Graduate 6 Total 10</v>
      </c>
    </row>
    <row r="615" ht="15.75" customHeight="1">
      <c r="A615" s="2" t="s">
        <v>470</v>
      </c>
      <c r="B615" s="2">
        <v>1.0</v>
      </c>
      <c r="D615" s="2" t="s">
        <v>922</v>
      </c>
    </row>
    <row r="616" ht="15.75" customHeight="1">
      <c r="A616" s="2" t="s">
        <v>471</v>
      </c>
      <c r="B616" s="2">
        <v>1.0</v>
      </c>
      <c r="D616" s="2" t="s">
        <v>923</v>
      </c>
    </row>
    <row r="617" ht="15.75" customHeight="1">
      <c r="A617" s="2" t="s">
        <v>472</v>
      </c>
      <c r="B617" s="2">
        <v>1.0</v>
      </c>
      <c r="D617" s="2" t="s">
        <v>924</v>
      </c>
    </row>
    <row r="618" ht="15.75" customHeight="1">
      <c r="A618" s="2" t="s">
        <v>936</v>
      </c>
      <c r="B618" s="2">
        <v>1.0</v>
      </c>
      <c r="D618" s="2" t="s">
        <v>925</v>
      </c>
    </row>
    <row r="619" ht="15.75" customHeight="1">
      <c r="A619" s="2" t="s">
        <v>7</v>
      </c>
      <c r="B619" s="2">
        <v>1.0</v>
      </c>
      <c r="D619" s="2" t="s">
        <v>926</v>
      </c>
    </row>
    <row r="620" ht="15.75" customHeight="1">
      <c r="A620" s="2" t="s">
        <v>959</v>
      </c>
      <c r="B620" s="2">
        <v>1.0</v>
      </c>
      <c r="D620" s="2" t="s">
        <v>927</v>
      </c>
    </row>
    <row r="621" ht="15.75" customHeight="1">
      <c r="A621" s="2" t="s">
        <v>9</v>
      </c>
      <c r="B621" s="2">
        <v>1.0</v>
      </c>
      <c r="D621" s="2" t="s">
        <v>928</v>
      </c>
    </row>
    <row r="622" ht="15.75" customHeight="1">
      <c r="A622" s="2" t="s">
        <v>476</v>
      </c>
      <c r="B622" s="2">
        <v>1.0</v>
      </c>
      <c r="D622" s="2" t="s">
        <v>929</v>
      </c>
    </row>
    <row r="623" ht="15.75" customHeight="1">
      <c r="A623" s="1" t="s">
        <v>477</v>
      </c>
      <c r="B623" s="1"/>
      <c r="C623" s="5">
        <f>B624+B625+B626+B628+B629+B630+B631+B632+B627</f>
        <v>8</v>
      </c>
      <c r="D623" s="2" t="s">
        <v>921</v>
      </c>
      <c r="F623" s="2" t="str">
        <f>A623</f>
        <v>IAB-RP-S02</v>
      </c>
      <c r="G623" s="2" t="str">
        <f>A624</f>
        <v>SCENIC (Est‐2008)</v>
      </c>
      <c r="H623" s="2" t="str">
        <f>A625</f>
        <v>Office Address: Fattah Plaza (8 th Floor), 70 Green road, Dhaka‐1205</v>
      </c>
      <c r="I623" s="2" t="str">
        <f>A626</f>
        <v>Email ID: scenicbd@gmail.com Contact: +88‐02‐9677467</v>
      </c>
      <c r="J623" s="2" t="str">
        <f>A627</f>
        <v>website:</v>
      </c>
      <c r="K623" s="2" t="str">
        <f>A628</f>
        <v>NAME OF PROPRIETOR/ PARTNER/ DIRECTOR(s) &amp; DESIGNATION</v>
      </c>
      <c r="L623" s="2" t="str">
        <f>A629</f>
        <v>Ar. Mohammad Fazlul Quader (Q‐004) CEO</v>
      </c>
      <c r="M623" s="2" t="str">
        <f>A630</f>
        <v>FULL TIME TECHNICAL PERSONNEL OF THE FIRM/COMPANY:</v>
      </c>
      <c r="N623" s="2" t="str">
        <f>A631</f>
        <v>IAB Member Architect 2 Architectural Graduate 3 Total 5</v>
      </c>
    </row>
    <row r="624" ht="15.75" customHeight="1">
      <c r="A624" s="2" t="s">
        <v>478</v>
      </c>
      <c r="B624" s="2">
        <v>1.0</v>
      </c>
      <c r="D624" s="2" t="s">
        <v>922</v>
      </c>
    </row>
    <row r="625" ht="15.75" customHeight="1">
      <c r="A625" s="2" t="s">
        <v>479</v>
      </c>
      <c r="B625" s="2">
        <v>1.0</v>
      </c>
      <c r="D625" s="2" t="s">
        <v>923</v>
      </c>
    </row>
    <row r="626" ht="15.75" customHeight="1">
      <c r="A626" s="2" t="s">
        <v>480</v>
      </c>
      <c r="B626" s="2">
        <v>1.0</v>
      </c>
      <c r="D626" s="2" t="s">
        <v>924</v>
      </c>
    </row>
    <row r="627" ht="15.75" customHeight="1">
      <c r="A627" s="2" t="s">
        <v>936</v>
      </c>
      <c r="B627" s="2">
        <v>1.0</v>
      </c>
      <c r="D627" s="2" t="s">
        <v>925</v>
      </c>
    </row>
    <row r="628" ht="15.75" customHeight="1">
      <c r="A628" s="2" t="s">
        <v>7</v>
      </c>
      <c r="B628" s="2">
        <v>1.0</v>
      </c>
      <c r="D628" s="2" t="s">
        <v>926</v>
      </c>
    </row>
    <row r="629" ht="15.75" customHeight="1">
      <c r="A629" s="2" t="s">
        <v>481</v>
      </c>
      <c r="B629" s="2">
        <v>1.0</v>
      </c>
      <c r="D629" s="2" t="s">
        <v>927</v>
      </c>
    </row>
    <row r="630" ht="15.75" customHeight="1">
      <c r="A630" s="2" t="s">
        <v>9</v>
      </c>
      <c r="B630" s="2">
        <v>1.0</v>
      </c>
      <c r="D630" s="2" t="s">
        <v>928</v>
      </c>
    </row>
    <row r="631" ht="15.75" customHeight="1">
      <c r="A631" s="2" t="s">
        <v>31</v>
      </c>
      <c r="B631" s="2">
        <v>1.0</v>
      </c>
      <c r="D631" s="2" t="s">
        <v>929</v>
      </c>
    </row>
    <row r="632" ht="15.75" customHeight="1">
      <c r="A632" s="1" t="s">
        <v>482</v>
      </c>
      <c r="B632" s="1"/>
      <c r="C632" s="5">
        <f>B633+B634+B635+B636+B637+B638+B639+B640</f>
        <v>8</v>
      </c>
      <c r="D632" s="2" t="s">
        <v>921</v>
      </c>
      <c r="F632" s="2" t="str">
        <f>A632</f>
        <v>IAB-RP-S03</v>
      </c>
      <c r="G632" s="2" t="str">
        <f>A633</f>
        <v>SHANGBIT (Est‐2010)</v>
      </c>
      <c r="H632" s="2" t="str">
        <f>A634</f>
        <v>Office Address: House‐60/A, Road‐7/A, Dhanmondi, Dhaka</v>
      </c>
      <c r="I632" s="2" t="str">
        <f>A635</f>
        <v>Email ID: shangbit.architects@gmail.com Contact:</v>
      </c>
      <c r="J632" s="2" t="str">
        <f>A636</f>
        <v>NAME OF PROPRIETOR/ PARTNER/ DIRECTOR(s) &amp; DESIGNATION</v>
      </c>
      <c r="K632" s="2" t="str">
        <f>A637</f>
        <v>Ar. Abu Sayem Mohammad Rahmatullah (R‐083) Partner</v>
      </c>
      <c r="L632" s="2" t="str">
        <f>A638</f>
        <v>Ar. Tahmina Rumi (R‐105) Partner</v>
      </c>
      <c r="M632" s="2" t="str">
        <f>A639</f>
        <v>FULL TIME TECHNICAL PERSONNEL OF THE FIRM/COMPANY:</v>
      </c>
      <c r="N632" s="2" t="str">
        <f>A640</f>
        <v>IAB Member Architect 2 Architectural Graduate 1 Total 3</v>
      </c>
    </row>
    <row r="633" ht="15.75" customHeight="1">
      <c r="A633" s="2" t="s">
        <v>483</v>
      </c>
      <c r="B633" s="2">
        <v>1.0</v>
      </c>
      <c r="D633" s="2" t="s">
        <v>922</v>
      </c>
    </row>
    <row r="634" ht="15.75" customHeight="1">
      <c r="A634" s="2" t="s">
        <v>484</v>
      </c>
      <c r="B634" s="2">
        <v>1.0</v>
      </c>
      <c r="D634" s="2" t="s">
        <v>923</v>
      </c>
    </row>
    <row r="635" ht="15.75" customHeight="1">
      <c r="A635" s="2" t="s">
        <v>485</v>
      </c>
      <c r="B635" s="2">
        <v>1.0</v>
      </c>
      <c r="D635" s="2" t="s">
        <v>924</v>
      </c>
    </row>
    <row r="636" ht="15.75" customHeight="1">
      <c r="A636" s="2" t="s">
        <v>7</v>
      </c>
      <c r="B636" s="2">
        <v>1.0</v>
      </c>
      <c r="D636" s="2" t="s">
        <v>925</v>
      </c>
    </row>
    <row r="637" ht="15.75" customHeight="1">
      <c r="A637" s="2" t="s">
        <v>486</v>
      </c>
      <c r="B637" s="2">
        <v>1.0</v>
      </c>
      <c r="D637" s="2" t="s">
        <v>926</v>
      </c>
    </row>
    <row r="638" ht="15.75" customHeight="1">
      <c r="A638" s="2" t="s">
        <v>487</v>
      </c>
      <c r="B638" s="2">
        <v>1.0</v>
      </c>
      <c r="D638" s="2" t="s">
        <v>927</v>
      </c>
    </row>
    <row r="639" ht="15.75" customHeight="1">
      <c r="A639" s="2" t="s">
        <v>9</v>
      </c>
      <c r="B639" s="2">
        <v>1.0</v>
      </c>
      <c r="D639" s="2" t="s">
        <v>928</v>
      </c>
    </row>
    <row r="640" ht="15.75" customHeight="1">
      <c r="A640" s="2" t="s">
        <v>52</v>
      </c>
      <c r="B640" s="2">
        <v>1.0</v>
      </c>
      <c r="D640" s="2" t="s">
        <v>929</v>
      </c>
    </row>
    <row r="641" ht="15.75" customHeight="1">
      <c r="A641" s="1" t="s">
        <v>482</v>
      </c>
      <c r="B641" s="1"/>
      <c r="C641" s="5">
        <f>B642+B643+B644+B646+B647+B648+B649+B650+B645</f>
        <v>8</v>
      </c>
      <c r="D641" s="2" t="s">
        <v>921</v>
      </c>
      <c r="F641" s="2" t="str">
        <f>A641</f>
        <v>IAB-RP-S03</v>
      </c>
      <c r="G641" s="2" t="str">
        <f>A642</f>
        <v>SHELTER ARCHITECTS AND ENGINEERS LIMITED (Est‐1996)</v>
      </c>
      <c r="H641" s="2" t="str">
        <f>A643</f>
        <v>Office Address: 5, Outer Circular Road, Z.R. Tower (2 nd floor), Rajarbag, Dhaka‐1217</v>
      </c>
      <c r="I641" s="2" t="str">
        <f>A644</f>
        <v>Email ID: shelterarchitect32@yahoo.com Contact: +88‐02‐9358428, 8333384</v>
      </c>
      <c r="J641" s="2" t="str">
        <f>A645</f>
        <v>website:</v>
      </c>
      <c r="K641" s="2" t="str">
        <f>A646</f>
        <v>NAME OF PROPRIETOR/ PARTNER/ DIRECTOR(s) &amp; DESIGNATION</v>
      </c>
      <c r="L641" s="2" t="str">
        <f>A647</f>
        <v>Ar. Mukhtar Ahmed (A‐023) Managing Director</v>
      </c>
      <c r="M641" s="2" t="str">
        <f>A648</f>
        <v>FULL TIME TECHNICAL PERSONNEL OF THE FIRM/COMPANY:</v>
      </c>
      <c r="N641" s="2" t="str">
        <f>A649</f>
        <v>IAB Member Architect 6 Architectural Graduate 12 Total 18</v>
      </c>
    </row>
    <row r="642" ht="15.75" customHeight="1">
      <c r="A642" s="2" t="s">
        <v>488</v>
      </c>
      <c r="B642" s="2">
        <v>1.0</v>
      </c>
      <c r="D642" s="2" t="s">
        <v>922</v>
      </c>
    </row>
    <row r="643" ht="15.75" customHeight="1">
      <c r="A643" s="2" t="s">
        <v>489</v>
      </c>
      <c r="B643" s="2">
        <v>1.0</v>
      </c>
      <c r="D643" s="2" t="s">
        <v>923</v>
      </c>
    </row>
    <row r="644" ht="15.75" customHeight="1">
      <c r="A644" s="2" t="s">
        <v>490</v>
      </c>
      <c r="B644" s="2">
        <v>1.0</v>
      </c>
      <c r="D644" s="2" t="s">
        <v>924</v>
      </c>
    </row>
    <row r="645" ht="15.75" customHeight="1">
      <c r="A645" s="2" t="s">
        <v>936</v>
      </c>
      <c r="B645" s="2">
        <v>1.0</v>
      </c>
      <c r="D645" s="2" t="s">
        <v>925</v>
      </c>
    </row>
    <row r="646" ht="15.75" customHeight="1">
      <c r="A646" s="2" t="s">
        <v>7</v>
      </c>
      <c r="B646" s="2">
        <v>1.0</v>
      </c>
      <c r="D646" s="2" t="s">
        <v>926</v>
      </c>
    </row>
    <row r="647" ht="15.75" customHeight="1">
      <c r="A647" s="2" t="s">
        <v>491</v>
      </c>
      <c r="B647" s="2">
        <v>1.0</v>
      </c>
      <c r="D647" s="2" t="s">
        <v>927</v>
      </c>
    </row>
    <row r="648" ht="15.75" customHeight="1">
      <c r="A648" s="2" t="s">
        <v>9</v>
      </c>
      <c r="B648" s="2">
        <v>1.0</v>
      </c>
      <c r="D648" s="2" t="s">
        <v>928</v>
      </c>
    </row>
    <row r="649" ht="15.75" customHeight="1">
      <c r="A649" s="2" t="s">
        <v>110</v>
      </c>
      <c r="B649" s="2">
        <v>1.0</v>
      </c>
      <c r="D649" s="2" t="s">
        <v>929</v>
      </c>
    </row>
    <row r="650" ht="15.75" customHeight="1">
      <c r="A650" s="1" t="s">
        <v>492</v>
      </c>
      <c r="B650" s="1"/>
      <c r="C650" s="5">
        <f>B651+B652+B653+B654+B655+B656+B657+B658</f>
        <v>8</v>
      </c>
      <c r="D650" s="2" t="s">
        <v>921</v>
      </c>
      <c r="F650" s="2" t="str">
        <f>A650</f>
        <v>IAB-RP-S04</v>
      </c>
      <c r="G650" s="2" t="str">
        <f>A651</f>
        <v>SILT (Est‐2011)</v>
      </c>
      <c r="H650" s="2" t="str">
        <f>A652</f>
        <v>Office Address: House‐204/A, Road‐09, New DOHS, Mohakhali, Dhaka‐1206</v>
      </c>
      <c r="I650" s="2" t="str">
        <f>A653</f>
        <v>Email ID: silt.bd@gmail.com, silt@silt.com.bd</v>
      </c>
      <c r="J650" s="2" t="str">
        <f>A654</f>
        <v>Website : www.silt.com.bd Contact: +88‐02‐9892062</v>
      </c>
      <c r="K650" s="2" t="str">
        <f>A655</f>
        <v>NAME OF PROPRIETOR/ PARTNER/ DIRECTOR(s) &amp; DESIGNATION</v>
      </c>
      <c r="L650" s="2" t="str">
        <f>A656</f>
        <v>Ar.Razib Hassan Chowdhury (C‐0048) Principal Architect</v>
      </c>
      <c r="M650" s="2" t="str">
        <f>A657</f>
        <v>FULL TIME TECHNICAL PERSONNEL OF THE FIRM/COMPANY:</v>
      </c>
      <c r="N650" s="2" t="str">
        <f>A658</f>
        <v>IAB Member Architect 1 Architectural Graduate 2 Total 3</v>
      </c>
    </row>
    <row r="651" ht="15.75" customHeight="1">
      <c r="A651" s="2" t="s">
        <v>493</v>
      </c>
      <c r="B651" s="2">
        <v>1.0</v>
      </c>
      <c r="D651" s="2" t="s">
        <v>922</v>
      </c>
    </row>
    <row r="652" ht="15.75" customHeight="1">
      <c r="A652" s="2" t="s">
        <v>494</v>
      </c>
      <c r="B652" s="2">
        <v>1.0</v>
      </c>
      <c r="D652" s="2" t="s">
        <v>923</v>
      </c>
    </row>
    <row r="653" ht="15.75" customHeight="1">
      <c r="A653" s="2" t="s">
        <v>495</v>
      </c>
      <c r="B653" s="2">
        <v>1.0</v>
      </c>
      <c r="D653" s="2" t="s">
        <v>924</v>
      </c>
    </row>
    <row r="654" ht="15.75" customHeight="1">
      <c r="A654" s="2" t="s">
        <v>496</v>
      </c>
      <c r="B654" s="2">
        <v>1.0</v>
      </c>
      <c r="D654" s="2" t="s">
        <v>925</v>
      </c>
    </row>
    <row r="655" ht="15.75" customHeight="1">
      <c r="A655" s="2" t="s">
        <v>7</v>
      </c>
      <c r="B655" s="2">
        <v>1.0</v>
      </c>
      <c r="D655" s="2" t="s">
        <v>926</v>
      </c>
    </row>
    <row r="656" ht="15.75" customHeight="1">
      <c r="A656" s="2" t="s">
        <v>497</v>
      </c>
      <c r="B656" s="2">
        <v>1.0</v>
      </c>
      <c r="D656" s="2" t="s">
        <v>927</v>
      </c>
    </row>
    <row r="657" ht="15.75" customHeight="1">
      <c r="A657" s="2" t="s">
        <v>9</v>
      </c>
      <c r="B657" s="2">
        <v>1.0</v>
      </c>
      <c r="D657" s="2" t="s">
        <v>928</v>
      </c>
    </row>
    <row r="658" ht="15.75" customHeight="1">
      <c r="A658" s="2" t="s">
        <v>130</v>
      </c>
      <c r="B658" s="2">
        <v>1.0</v>
      </c>
      <c r="D658" s="2" t="s">
        <v>929</v>
      </c>
    </row>
    <row r="659" ht="15.75" customHeight="1">
      <c r="A659" s="1" t="s">
        <v>498</v>
      </c>
      <c r="B659" s="1"/>
      <c r="C659" s="5">
        <f>B660+B661+B662+B664+B665+B666+B667+B668+B663</f>
        <v>8</v>
      </c>
      <c r="D659" s="2" t="s">
        <v>921</v>
      </c>
      <c r="F659" s="2" t="str">
        <f>A659</f>
        <v>IAB-RP-S05</v>
      </c>
      <c r="G659" s="2" t="str">
        <f>A660</f>
        <v>SPACE SCAPE (Est‐1996)</v>
      </c>
      <c r="H659" s="2" t="str">
        <f>A661</f>
        <v>Office Address: H‐78,Road 11, Sector 13,Uttara ,Dhaka 1230</v>
      </c>
      <c r="I659" s="2" t="str">
        <f>A662</f>
        <v>Email ID: arch_pintoo@yahoo.com Contact: +88‐02‐8918765</v>
      </c>
      <c r="J659" s="2" t="str">
        <f>A663</f>
        <v>website:</v>
      </c>
      <c r="K659" s="2" t="str">
        <f>A664</f>
        <v>NAME OF PROPRIETOR/ PARTNER/ DIRECTOR(s) &amp; DESIGNATION</v>
      </c>
      <c r="L659" s="2" t="str">
        <f>A665</f>
        <v>Ar. Rafiul Alam (A‐047) Chief Executive</v>
      </c>
      <c r="M659" s="2" t="str">
        <f>A666</f>
        <v>FULL TIME TECHNICAL PERSONNEL OF THE FIRM/COMPANY:</v>
      </c>
      <c r="N659" s="2" t="str">
        <f>A667</f>
        <v>IAB Member Architect 1 Architectural Graduate 2 Total 3</v>
      </c>
    </row>
    <row r="660" ht="15.75" customHeight="1">
      <c r="A660" s="2" t="s">
        <v>499</v>
      </c>
      <c r="B660" s="2">
        <v>1.0</v>
      </c>
      <c r="D660" s="2" t="s">
        <v>922</v>
      </c>
    </row>
    <row r="661" ht="15.75" customHeight="1">
      <c r="A661" s="2" t="s">
        <v>500</v>
      </c>
      <c r="B661" s="2">
        <v>1.0</v>
      </c>
      <c r="D661" s="2" t="s">
        <v>923</v>
      </c>
    </row>
    <row r="662" ht="15.75" customHeight="1">
      <c r="A662" s="2" t="s">
        <v>501</v>
      </c>
      <c r="B662" s="2">
        <v>1.0</v>
      </c>
      <c r="D662" s="2" t="s">
        <v>924</v>
      </c>
    </row>
    <row r="663" ht="15.75" customHeight="1">
      <c r="A663" s="2" t="s">
        <v>936</v>
      </c>
      <c r="B663" s="2">
        <v>1.0</v>
      </c>
      <c r="D663" s="2" t="s">
        <v>925</v>
      </c>
    </row>
    <row r="664" ht="15.75" customHeight="1">
      <c r="A664" s="2" t="s">
        <v>7</v>
      </c>
      <c r="B664" s="2">
        <v>1.0</v>
      </c>
      <c r="D664" s="2" t="s">
        <v>926</v>
      </c>
    </row>
    <row r="665" ht="15.75" customHeight="1">
      <c r="A665" s="2" t="s">
        <v>502</v>
      </c>
      <c r="B665" s="2">
        <v>1.0</v>
      </c>
      <c r="D665" s="2" t="s">
        <v>927</v>
      </c>
    </row>
    <row r="666" ht="15.75" customHeight="1">
      <c r="A666" s="2" t="s">
        <v>9</v>
      </c>
      <c r="B666" s="2">
        <v>1.0</v>
      </c>
      <c r="D666" s="2" t="s">
        <v>928</v>
      </c>
    </row>
    <row r="667" ht="15.75" customHeight="1">
      <c r="A667" s="2" t="s">
        <v>130</v>
      </c>
      <c r="B667" s="2">
        <v>1.0</v>
      </c>
      <c r="D667" s="2" t="s">
        <v>929</v>
      </c>
    </row>
    <row r="668" ht="15.75" customHeight="1">
      <c r="A668" s="1" t="s">
        <v>503</v>
      </c>
      <c r="B668" s="1"/>
      <c r="C668" s="5">
        <f>B669+B670+B671+B673+B674+B675+B676+B677+B672</f>
        <v>8</v>
      </c>
      <c r="D668" s="2" t="s">
        <v>921</v>
      </c>
      <c r="F668" s="2" t="str">
        <f>A668</f>
        <v>IAB-RP-S06</v>
      </c>
      <c r="G668" s="2" t="str">
        <f>A669</f>
        <v>SRISHTI SHAILEE (Est‐2008)</v>
      </c>
      <c r="H668" s="2" t="str">
        <f>A670</f>
        <v>Office Address: House‐297B, Road‐19B, New DOHS, Mohakhali, Dhaka‐1206</v>
      </c>
      <c r="I668" s="2" t="str">
        <f>A671</f>
        <v>Email ID: srishtishailee@yahoo.com Contact: +88‐02‐8711883, 8711884</v>
      </c>
      <c r="J668" s="2" t="str">
        <f>A672</f>
        <v>website:</v>
      </c>
      <c r="K668" s="2" t="str">
        <f>A673</f>
        <v>NAME OF PROPRIETOR/ PARTNER/ DIRECTOR(s) &amp; DESIGNATION</v>
      </c>
      <c r="L668" s="2" t="str">
        <f>A674</f>
        <v>Ar. Mobin Uddin Mohammed Helaly (H‐134) Partner Architect</v>
      </c>
      <c r="M668" s="2" t="str">
        <f>A675</f>
        <v>FULL TIME TECHNICAL PERSONNEL OF THE FIRM/COMPANY:</v>
      </c>
      <c r="N668" s="2" t="str">
        <f>A676</f>
        <v>IAB Member Architect 2 Architectural Graduate 8 Total 10</v>
      </c>
    </row>
    <row r="669" ht="15.75" customHeight="1">
      <c r="A669" s="2" t="s">
        <v>504</v>
      </c>
      <c r="B669" s="2">
        <v>1.0</v>
      </c>
      <c r="D669" s="2" t="s">
        <v>922</v>
      </c>
    </row>
    <row r="670" ht="15.75" customHeight="1">
      <c r="A670" s="2" t="s">
        <v>505</v>
      </c>
      <c r="B670" s="2">
        <v>1.0</v>
      </c>
      <c r="D670" s="2" t="s">
        <v>923</v>
      </c>
    </row>
    <row r="671" ht="15.75" customHeight="1">
      <c r="A671" s="2" t="s">
        <v>506</v>
      </c>
      <c r="B671" s="2">
        <v>1.0</v>
      </c>
      <c r="D671" s="2" t="s">
        <v>924</v>
      </c>
    </row>
    <row r="672" ht="15.75" customHeight="1">
      <c r="A672" s="2" t="s">
        <v>936</v>
      </c>
      <c r="B672" s="2">
        <v>1.0</v>
      </c>
      <c r="D672" s="2" t="s">
        <v>925</v>
      </c>
    </row>
    <row r="673" ht="15.75" customHeight="1">
      <c r="A673" s="2" t="s">
        <v>7</v>
      </c>
      <c r="B673" s="2">
        <v>1.0</v>
      </c>
      <c r="D673" s="2" t="s">
        <v>926</v>
      </c>
    </row>
    <row r="674" ht="15.75" customHeight="1">
      <c r="A674" s="2" t="s">
        <v>507</v>
      </c>
      <c r="B674" s="2">
        <v>1.0</v>
      </c>
      <c r="D674" s="2" t="s">
        <v>927</v>
      </c>
    </row>
    <row r="675" ht="15.75" customHeight="1">
      <c r="A675" s="2" t="s">
        <v>9</v>
      </c>
      <c r="B675" s="2">
        <v>1.0</v>
      </c>
      <c r="D675" s="2" t="s">
        <v>928</v>
      </c>
    </row>
    <row r="676" ht="15.75" customHeight="1">
      <c r="A676" s="2" t="s">
        <v>508</v>
      </c>
      <c r="B676" s="2">
        <v>1.0</v>
      </c>
      <c r="D676" s="2" t="s">
        <v>929</v>
      </c>
    </row>
    <row r="677" ht="15.75" customHeight="1">
      <c r="A677" s="1" t="s">
        <v>509</v>
      </c>
      <c r="B677" s="1"/>
      <c r="C677" s="5">
        <f>B678+B679+B680+B682+B683+B684+B685+B686+B681</f>
        <v>8</v>
      </c>
      <c r="D677" s="2" t="s">
        <v>921</v>
      </c>
      <c r="F677" s="2" t="str">
        <f>A677</f>
        <v>IAB-RP-S07</v>
      </c>
      <c r="G677" s="2" t="str">
        <f>A678</f>
        <v>SRISTI UPADESHTA (Est‐1995)</v>
      </c>
      <c r="H677" s="2" t="str">
        <f>A679</f>
        <v>Office Address: 3/3, North Road, (4 th Floor), Dhanmondi‐1205</v>
      </c>
      <c r="I677" s="2" t="str">
        <f>A680</f>
        <v>Email ID: saiful.hafiz@gmail.com Contact:</v>
      </c>
      <c r="J677" s="2" t="str">
        <f>A681</f>
        <v>website:</v>
      </c>
      <c r="K677" s="2" t="str">
        <f>A682</f>
        <v>NAME OF PROPRIETOR/ PARTNER/ DIRECTOR(s) &amp; DESIGNATION</v>
      </c>
      <c r="L677" s="2" t="str">
        <f>A683</f>
        <v>Ar. Saiful Hafiz (H‐055) Principal Architect</v>
      </c>
      <c r="M677" s="2" t="str">
        <f>A684</f>
        <v>FULL TIME TECHNICAL PERSONNEL OF THE FIRM/COMPANY:</v>
      </c>
      <c r="N677" s="2" t="str">
        <f>A685</f>
        <v>IAB Member Architect 2 Architectural Graduate 3 Total 5</v>
      </c>
    </row>
    <row r="678" ht="15.75" customHeight="1">
      <c r="A678" s="2" t="s">
        <v>510</v>
      </c>
      <c r="B678" s="2">
        <v>1.0</v>
      </c>
      <c r="D678" s="2" t="s">
        <v>922</v>
      </c>
    </row>
    <row r="679" ht="15.75" customHeight="1">
      <c r="A679" s="2" t="s">
        <v>511</v>
      </c>
      <c r="B679" s="2">
        <v>1.0</v>
      </c>
      <c r="D679" s="2" t="s">
        <v>923</v>
      </c>
    </row>
    <row r="680" ht="15.75" customHeight="1">
      <c r="A680" s="2" t="s">
        <v>512</v>
      </c>
      <c r="B680" s="2">
        <v>1.0</v>
      </c>
      <c r="D680" s="2" t="s">
        <v>924</v>
      </c>
    </row>
    <row r="681" ht="15.75" customHeight="1">
      <c r="A681" s="2" t="s">
        <v>936</v>
      </c>
      <c r="B681" s="2">
        <v>1.0</v>
      </c>
      <c r="D681" s="2" t="s">
        <v>925</v>
      </c>
    </row>
    <row r="682" ht="15.75" customHeight="1">
      <c r="A682" s="2" t="s">
        <v>7</v>
      </c>
      <c r="B682" s="2">
        <v>1.0</v>
      </c>
      <c r="D682" s="2" t="s">
        <v>926</v>
      </c>
    </row>
    <row r="683" ht="15.75" customHeight="1">
      <c r="A683" s="2" t="s">
        <v>513</v>
      </c>
      <c r="B683" s="2">
        <v>1.0</v>
      </c>
      <c r="D683" s="2" t="s">
        <v>927</v>
      </c>
    </row>
    <row r="684" ht="15.75" customHeight="1">
      <c r="A684" s="2" t="s">
        <v>9</v>
      </c>
      <c r="B684" s="2">
        <v>1.0</v>
      </c>
      <c r="D684" s="2" t="s">
        <v>928</v>
      </c>
    </row>
    <row r="685" ht="15.75" customHeight="1">
      <c r="A685" s="2" t="s">
        <v>31</v>
      </c>
      <c r="B685" s="2">
        <v>1.0</v>
      </c>
      <c r="D685" s="2" t="s">
        <v>929</v>
      </c>
    </row>
    <row r="686" ht="15.75" customHeight="1">
      <c r="A686" s="1" t="s">
        <v>514</v>
      </c>
      <c r="B686" s="1"/>
      <c r="C686" s="5">
        <f>B687+B688+B689+B691+B692+B693+B694+B695+B690</f>
        <v>8</v>
      </c>
      <c r="D686" s="2" t="s">
        <v>921</v>
      </c>
      <c r="F686" s="2" t="str">
        <f>A686</f>
        <v>IAB-RP-S08</v>
      </c>
      <c r="G686" s="2" t="str">
        <f>A687</f>
        <v>STUDIO XI ARCHITECTS (Est‐2003)</v>
      </c>
      <c r="H686" s="2" t="str">
        <f>A688</f>
        <v>Office Address: 211/1,Elephant Road, Dhaka‐1205</v>
      </c>
      <c r="I686" s="2" t="str">
        <f>A689</f>
        <v>Email ID: studio_xi_architects@yahoo.com Contact: +88‐02‐8813992, 9889360</v>
      </c>
      <c r="J686" s="2" t="str">
        <f>A690</f>
        <v>website:</v>
      </c>
      <c r="K686" s="2" t="str">
        <f>A691</f>
        <v>NAME OF PROPRIETOR/ PARTNER/ DIRECTOR(s) &amp; DESIGNATION</v>
      </c>
      <c r="L686" s="2" t="str">
        <f>A692</f>
        <v>Ar. Ashik Vaskor Mannan (M‐070) Managing Partner</v>
      </c>
      <c r="M686" s="2" t="str">
        <f>A693</f>
        <v>FULL TIME TECHNICAL PERSONNEL OF THE FIRM/COMPANY:</v>
      </c>
      <c r="N686" s="2" t="str">
        <f>A694</f>
        <v>IAB Member Architect 2 Architectural Graduate 3 Total 5</v>
      </c>
    </row>
    <row r="687" ht="15.75" customHeight="1">
      <c r="A687" s="2" t="s">
        <v>515</v>
      </c>
      <c r="B687" s="2">
        <v>1.0</v>
      </c>
      <c r="D687" s="2" t="s">
        <v>922</v>
      </c>
    </row>
    <row r="688" ht="15.75" customHeight="1">
      <c r="A688" s="2" t="s">
        <v>516</v>
      </c>
      <c r="B688" s="2">
        <v>1.0</v>
      </c>
      <c r="D688" s="2" t="s">
        <v>923</v>
      </c>
    </row>
    <row r="689" ht="15.75" customHeight="1">
      <c r="A689" s="2" t="s">
        <v>517</v>
      </c>
      <c r="B689" s="2">
        <v>1.0</v>
      </c>
      <c r="D689" s="2" t="s">
        <v>924</v>
      </c>
    </row>
    <row r="690" ht="15.75" customHeight="1">
      <c r="A690" s="2" t="s">
        <v>936</v>
      </c>
      <c r="B690" s="2">
        <v>1.0</v>
      </c>
      <c r="D690" s="2" t="s">
        <v>925</v>
      </c>
    </row>
    <row r="691" ht="15.75" customHeight="1">
      <c r="A691" s="2" t="s">
        <v>7</v>
      </c>
      <c r="B691" s="2">
        <v>1.0</v>
      </c>
      <c r="D691" s="2" t="s">
        <v>926</v>
      </c>
    </row>
    <row r="692" ht="15.75" customHeight="1">
      <c r="A692" s="2" t="s">
        <v>518</v>
      </c>
      <c r="B692" s="2">
        <v>1.0</v>
      </c>
      <c r="D692" s="2" t="s">
        <v>927</v>
      </c>
    </row>
    <row r="693" ht="15.75" customHeight="1">
      <c r="A693" s="2" t="s">
        <v>9</v>
      </c>
      <c r="B693" s="2">
        <v>1.0</v>
      </c>
      <c r="D693" s="2" t="s">
        <v>928</v>
      </c>
    </row>
    <row r="694" ht="15.75" customHeight="1">
      <c r="A694" s="2" t="s">
        <v>31</v>
      </c>
      <c r="B694" s="2">
        <v>1.0</v>
      </c>
      <c r="D694" s="2" t="s">
        <v>929</v>
      </c>
    </row>
    <row r="695" ht="15.75" customHeight="1">
      <c r="A695" s="1" t="s">
        <v>519</v>
      </c>
      <c r="B695" s="1"/>
      <c r="C695" s="5">
        <f>B696+B697+B698+B699+B700+B701+B702+B703</f>
        <v>8</v>
      </c>
      <c r="D695" s="2" t="s">
        <v>921</v>
      </c>
      <c r="F695" s="2" t="str">
        <f>A695</f>
        <v>IAB-RP-S09</v>
      </c>
      <c r="G695" s="2" t="str">
        <f>A696</f>
        <v>STUDIO ECOTECTURE LIMITED (Est‐2011)</v>
      </c>
      <c r="H695" s="2" t="str">
        <f>A697</f>
        <v>Office Address: 1 st Floor, H‐57/D, Road‐15A (New), 26 (old), Dhanmondi Res. Area, Dhaka‐1205.</v>
      </c>
      <c r="I695" s="2" t="str">
        <f>A698</f>
        <v>Email ID: info@studioecotecture.com</v>
      </c>
      <c r="J695" s="2" t="str">
        <f>A699</f>
        <v>Website : www.studioecotecture.com Contact: +88‐02‐8191422</v>
      </c>
      <c r="K695" s="2" t="str">
        <f>A700</f>
        <v>NAME OF PROPRIETOR/ PARTNER/ DIRECTOR(s) &amp; DESIGNATION</v>
      </c>
      <c r="L695" s="2" t="str">
        <f>A701</f>
        <v>Ar. S. M. Hasan Kabir (K‐030) Managing Director</v>
      </c>
      <c r="M695" s="2" t="str">
        <f>A702</f>
        <v>FULL TIME TECHNICAL PERSONNEL OF THE FIRM/COMPANY:</v>
      </c>
      <c r="N695" s="2" t="str">
        <f>A703</f>
        <v>IAB Member Architect 4 Architectural Graduate 6 Total 10</v>
      </c>
    </row>
    <row r="696" ht="15.75" customHeight="1">
      <c r="A696" s="2" t="s">
        <v>520</v>
      </c>
      <c r="B696" s="2">
        <v>1.0</v>
      </c>
      <c r="D696" s="2" t="s">
        <v>922</v>
      </c>
    </row>
    <row r="697" ht="15.75" customHeight="1">
      <c r="A697" s="2" t="s">
        <v>521</v>
      </c>
      <c r="B697" s="2">
        <v>1.0</v>
      </c>
      <c r="D697" s="2" t="s">
        <v>923</v>
      </c>
    </row>
    <row r="698" ht="15.75" customHeight="1">
      <c r="A698" s="2" t="s">
        <v>522</v>
      </c>
      <c r="B698" s="2">
        <v>1.0</v>
      </c>
      <c r="D698" s="2" t="s">
        <v>924</v>
      </c>
    </row>
    <row r="699" ht="15.75" customHeight="1">
      <c r="A699" s="2" t="s">
        <v>523</v>
      </c>
      <c r="B699" s="2">
        <v>1.0</v>
      </c>
      <c r="D699" s="2" t="s">
        <v>925</v>
      </c>
    </row>
    <row r="700" ht="15.75" customHeight="1">
      <c r="A700" s="2" t="s">
        <v>7</v>
      </c>
      <c r="B700" s="2">
        <v>1.0</v>
      </c>
      <c r="D700" s="2" t="s">
        <v>926</v>
      </c>
    </row>
    <row r="701" ht="15.75" customHeight="1">
      <c r="A701" s="2" t="s">
        <v>524</v>
      </c>
      <c r="B701" s="2">
        <v>1.0</v>
      </c>
      <c r="D701" s="2" t="s">
        <v>927</v>
      </c>
    </row>
    <row r="702" ht="15.75" customHeight="1">
      <c r="A702" s="2" t="s">
        <v>9</v>
      </c>
      <c r="B702" s="2">
        <v>1.0</v>
      </c>
      <c r="D702" s="2" t="s">
        <v>928</v>
      </c>
    </row>
    <row r="703" ht="15.75" customHeight="1">
      <c r="A703" s="2" t="s">
        <v>476</v>
      </c>
      <c r="B703" s="2">
        <v>1.0</v>
      </c>
      <c r="D703" s="2" t="s">
        <v>929</v>
      </c>
    </row>
    <row r="704" ht="15.75" customHeight="1">
      <c r="A704" s="1" t="s">
        <v>525</v>
      </c>
      <c r="B704" s="1"/>
      <c r="C704" s="5">
        <f>B705+B706+B707+B709+B710+B711+B712+B713+B708</f>
        <v>8</v>
      </c>
      <c r="D704" s="2" t="s">
        <v>921</v>
      </c>
      <c r="F704" s="2" t="str">
        <f>A704</f>
        <v>IAB-RP-S10</v>
      </c>
      <c r="G704" s="2" t="str">
        <f>A705</f>
        <v>STUDIO HDA (Est‐2013)</v>
      </c>
      <c r="H704" s="2" t="str">
        <f>A706</f>
        <v>Office Address: 14/C,(Gr Floor), Road ‐02,Block‐ L, Banani , Dhaka.</v>
      </c>
      <c r="I704" s="2" t="str">
        <f>A707</f>
        <v>Email ID: studiohda@gmail.com Contact: +88‐02‐9888123</v>
      </c>
      <c r="J704" s="2" t="str">
        <f>A708</f>
        <v>website:</v>
      </c>
      <c r="K704" s="2" t="str">
        <f>A709</f>
        <v>NAME OF PROPRIETOR/ PARTNER/ DIRECTOR(s) &amp; DESIGNATION</v>
      </c>
      <c r="L704" s="2" t="str">
        <f>A710</f>
        <v>Ar. Mohammad Maksumul Hoque (H‐150) Chief Architect</v>
      </c>
      <c r="M704" s="2" t="str">
        <f>A711</f>
        <v>FULL TIME TECHNICAL PERSONNEL OF THE FIRM/COMPANY:</v>
      </c>
      <c r="N704" s="2" t="str">
        <f>A712</f>
        <v>IAB Member Architect 1 Architectural Graduate 5 Total 6</v>
      </c>
    </row>
    <row r="705" ht="15.75" customHeight="1">
      <c r="A705" s="2" t="s">
        <v>526</v>
      </c>
      <c r="B705" s="2">
        <v>1.0</v>
      </c>
      <c r="D705" s="2" t="s">
        <v>922</v>
      </c>
    </row>
    <row r="706" ht="15.75" customHeight="1">
      <c r="A706" s="2" t="s">
        <v>527</v>
      </c>
      <c r="B706" s="2">
        <v>1.0</v>
      </c>
      <c r="D706" s="2" t="s">
        <v>923</v>
      </c>
    </row>
    <row r="707" ht="15.75" customHeight="1">
      <c r="A707" s="2" t="s">
        <v>528</v>
      </c>
      <c r="B707" s="2">
        <v>1.0</v>
      </c>
      <c r="D707" s="2" t="s">
        <v>924</v>
      </c>
    </row>
    <row r="708" ht="15.75" customHeight="1">
      <c r="A708" s="2" t="s">
        <v>936</v>
      </c>
      <c r="B708" s="2">
        <v>1.0</v>
      </c>
      <c r="D708" s="2" t="s">
        <v>925</v>
      </c>
    </row>
    <row r="709" ht="15.75" customHeight="1">
      <c r="A709" s="2" t="s">
        <v>7</v>
      </c>
      <c r="B709" s="2">
        <v>1.0</v>
      </c>
      <c r="D709" s="2" t="s">
        <v>926</v>
      </c>
    </row>
    <row r="710" ht="15.75" customHeight="1">
      <c r="A710" s="2" t="s">
        <v>529</v>
      </c>
      <c r="B710" s="2">
        <v>1.0</v>
      </c>
      <c r="D710" s="2" t="s">
        <v>927</v>
      </c>
    </row>
    <row r="711" ht="15.75" customHeight="1">
      <c r="A711" s="2" t="s">
        <v>9</v>
      </c>
      <c r="B711" s="2">
        <v>1.0</v>
      </c>
      <c r="D711" s="2" t="s">
        <v>928</v>
      </c>
    </row>
    <row r="712" ht="15.75" customHeight="1">
      <c r="A712" s="2" t="s">
        <v>530</v>
      </c>
      <c r="B712" s="2">
        <v>1.0</v>
      </c>
      <c r="D712" s="2" t="s">
        <v>929</v>
      </c>
    </row>
    <row r="713" ht="15.75" customHeight="1">
      <c r="A713" s="1" t="s">
        <v>531</v>
      </c>
      <c r="B713" s="1"/>
      <c r="C713" s="5">
        <f>B714+B715+B716+B717+B718+B719+B720+B721</f>
        <v>8</v>
      </c>
      <c r="D713" s="2" t="s">
        <v>921</v>
      </c>
      <c r="F713" s="2" t="str">
        <f>A713</f>
        <v>IAB-RP-S11</v>
      </c>
      <c r="G713" s="2" t="str">
        <f>A714</f>
        <v>STYLE LIVING ARCHITECTS LTD (Est‐2004)</v>
      </c>
      <c r="H713" s="2" t="str">
        <f>A715</f>
        <v>Office Address: Ramna Trade Center (8th Floor), 36/7 CDA Avenue, Muradpur, Chittagong</v>
      </c>
      <c r="I713" s="2" t="str">
        <f>A716</f>
        <v>Email ID: chairman@stylelivingbd.com</v>
      </c>
      <c r="J713" s="2" t="str">
        <f>A717</f>
        <v>Website : www.stylelivingbd.com Contact:+8801714050222,+8801713441449</v>
      </c>
      <c r="K713" s="2" t="str">
        <f>A718</f>
        <v>NAME OF PROPRIETOR/ PARTNER/ DIRECTOR(s) &amp; DESIGNATION:</v>
      </c>
      <c r="L713" s="2" t="str">
        <f>A719</f>
        <v>Ar. Md. Mizanur Rahman (R‐097) Chairman &amp; Ar. Jabid Akram (A‐150) Managing Director</v>
      </c>
      <c r="M713" s="2" t="str">
        <f>A720</f>
        <v>FULL TIME TECHNICAL PERSONNEL OF THE FIRM/COMPANY:</v>
      </c>
      <c r="N713" s="2" t="str">
        <f>A721</f>
        <v>IAB Member Architect 3 Architectural Graduate 9 Total 12</v>
      </c>
    </row>
    <row r="714" ht="15.75" customHeight="1">
      <c r="A714" s="2" t="s">
        <v>532</v>
      </c>
      <c r="B714" s="2">
        <v>1.0</v>
      </c>
      <c r="D714" s="2" t="s">
        <v>922</v>
      </c>
    </row>
    <row r="715" ht="15.75" customHeight="1">
      <c r="A715" s="2" t="s">
        <v>533</v>
      </c>
      <c r="B715" s="2">
        <v>1.0</v>
      </c>
      <c r="D715" s="2" t="s">
        <v>923</v>
      </c>
    </row>
    <row r="716" ht="15.75" customHeight="1">
      <c r="A716" s="2" t="s">
        <v>534</v>
      </c>
      <c r="B716" s="2">
        <v>1.0</v>
      </c>
      <c r="D716" s="2" t="s">
        <v>924</v>
      </c>
    </row>
    <row r="717" ht="15.75" customHeight="1">
      <c r="A717" s="2" t="s">
        <v>535</v>
      </c>
      <c r="B717" s="2">
        <v>1.0</v>
      </c>
      <c r="D717" s="2" t="s">
        <v>925</v>
      </c>
    </row>
    <row r="718" ht="15.75" customHeight="1">
      <c r="A718" s="2" t="s">
        <v>44</v>
      </c>
      <c r="B718" s="2">
        <v>1.0</v>
      </c>
      <c r="D718" s="2" t="s">
        <v>926</v>
      </c>
    </row>
    <row r="719" ht="15.75" customHeight="1">
      <c r="A719" s="2" t="s">
        <v>960</v>
      </c>
      <c r="B719" s="2">
        <v>1.0</v>
      </c>
      <c r="D719" s="2" t="s">
        <v>927</v>
      </c>
    </row>
    <row r="720" ht="15.75" customHeight="1">
      <c r="A720" s="2" t="s">
        <v>9</v>
      </c>
      <c r="B720" s="2">
        <v>1.0</v>
      </c>
      <c r="D720" s="2" t="s">
        <v>928</v>
      </c>
    </row>
    <row r="721" ht="15.75" customHeight="1">
      <c r="A721" s="2" t="s">
        <v>538</v>
      </c>
      <c r="B721" s="2">
        <v>1.0</v>
      </c>
      <c r="D721" s="2" t="s">
        <v>929</v>
      </c>
    </row>
    <row r="722" ht="15.75" customHeight="1">
      <c r="A722" s="1" t="s">
        <v>539</v>
      </c>
      <c r="B722" s="1"/>
      <c r="C722" s="5">
        <f>B723+B724+B725+B727+B728+B729+B730+B731+B726</f>
        <v>8</v>
      </c>
      <c r="D722" s="2" t="s">
        <v>921</v>
      </c>
      <c r="F722" s="2" t="str">
        <f>A722</f>
        <v>IAB-RP-S12</v>
      </c>
      <c r="G722" s="2" t="str">
        <f>A723</f>
        <v>SYMBIOTIC ARCHITECTS &amp; ASSOCIATES (Est‐2011)</v>
      </c>
      <c r="H722" s="2" t="str">
        <f>A724</f>
        <v>Office Address: Ground Floor, House‐78, Road‐18, Sector‐11, Uttara, Dhaka‐1230</v>
      </c>
      <c r="I722" s="2" t="str">
        <f>A725</f>
        <v>Email ID: Symbiotic.aa@live.com Contact: +88‐02‐8991817</v>
      </c>
      <c r="J722" s="2" t="str">
        <f>A726</f>
        <v>website:</v>
      </c>
      <c r="K722" s="2" t="str">
        <f>A727</f>
        <v>NAME OF PROPRIETOR/ PARTNER/ DIRECTOR(s) &amp; DESIGNATION</v>
      </c>
      <c r="L722" s="2" t="str">
        <f>A728</f>
        <v>Ar.Abul Bashar Md. Shamsuzzaman (S‐027) Managing Partner</v>
      </c>
      <c r="M722" s="2" t="str">
        <f>A729</f>
        <v>FULL TIME TECHNICAL PERSONNEL OF THE FIRM/COMPANY:</v>
      </c>
      <c r="N722" s="2" t="str">
        <f>A730</f>
        <v>IAB Member Architect 4 Architectural Graduate 6 Total 10</v>
      </c>
    </row>
    <row r="723" ht="15.75" customHeight="1">
      <c r="A723" s="2" t="s">
        <v>540</v>
      </c>
      <c r="B723" s="2">
        <v>1.0</v>
      </c>
      <c r="D723" s="2" t="s">
        <v>922</v>
      </c>
    </row>
    <row r="724" ht="15.75" customHeight="1">
      <c r="A724" s="2" t="s">
        <v>541</v>
      </c>
      <c r="B724" s="2">
        <v>1.0</v>
      </c>
      <c r="D724" s="2" t="s">
        <v>923</v>
      </c>
    </row>
    <row r="725" ht="15.75" customHeight="1">
      <c r="A725" s="2" t="s">
        <v>542</v>
      </c>
      <c r="B725" s="2">
        <v>1.0</v>
      </c>
      <c r="D725" s="2" t="s">
        <v>924</v>
      </c>
    </row>
    <row r="726" ht="15.75" customHeight="1">
      <c r="A726" s="2" t="s">
        <v>936</v>
      </c>
      <c r="B726" s="2">
        <v>1.0</v>
      </c>
      <c r="D726" s="2" t="s">
        <v>925</v>
      </c>
    </row>
    <row r="727" ht="15.75" customHeight="1">
      <c r="A727" s="2" t="s">
        <v>7</v>
      </c>
      <c r="B727" s="2">
        <v>1.0</v>
      </c>
      <c r="D727" s="2" t="s">
        <v>926</v>
      </c>
    </row>
    <row r="728" ht="15.75" customHeight="1">
      <c r="A728" s="2" t="s">
        <v>543</v>
      </c>
      <c r="B728" s="2">
        <v>1.0</v>
      </c>
      <c r="D728" s="2" t="s">
        <v>927</v>
      </c>
    </row>
    <row r="729" ht="15.75" customHeight="1">
      <c r="A729" s="2" t="s">
        <v>9</v>
      </c>
      <c r="B729" s="2">
        <v>1.0</v>
      </c>
      <c r="D729" s="2" t="s">
        <v>928</v>
      </c>
    </row>
    <row r="730" ht="15.75" customHeight="1">
      <c r="A730" s="2" t="s">
        <v>476</v>
      </c>
      <c r="B730" s="2">
        <v>1.0</v>
      </c>
      <c r="D730" s="2" t="s">
        <v>929</v>
      </c>
    </row>
    <row r="731" ht="15.75" customHeight="1">
      <c r="A731" s="1" t="s">
        <v>544</v>
      </c>
      <c r="B731" s="1"/>
      <c r="C731" s="5">
        <f>B732+B733+B734+B735+B736+B737+B738+B739</f>
        <v>8</v>
      </c>
      <c r="D731" s="2" t="s">
        <v>921</v>
      </c>
      <c r="F731" s="2" t="str">
        <f>A731</f>
        <v>IAB-RP-S13</v>
      </c>
      <c r="G731" s="2" t="str">
        <f>A732</f>
        <v>SYNTHESIS ARCHITECTS (Est‐1999)</v>
      </c>
      <c r="H731" s="2" t="str">
        <f>A733</f>
        <v>Office Address: House‐30, Block‐KA, Pisci Culture H/S, Shamoly, Dhaka‐1207</v>
      </c>
      <c r="I731" s="2" t="str">
        <f>A734</f>
        <v>Email ID: synthesisarchitectsbd@gmail.com, synthesis_arch@yahoo.com</v>
      </c>
      <c r="J731" s="2" t="str">
        <f>A735</f>
        <v>Contact: +88‐02‐9124105,9124638,8141642</v>
      </c>
      <c r="K731" s="2" t="str">
        <f>A736</f>
        <v>NAME OF PROPRIETOR/ PARTNER/ DIRECTOR(s) &amp; DESIGNATION</v>
      </c>
      <c r="L731" s="2" t="str">
        <f>A737</f>
        <v>Ar. Patrick D’Rozario (R‐135) Partner</v>
      </c>
      <c r="M731" s="2" t="str">
        <f>A738</f>
        <v>FULL TIME TECHNICAL PERSONNEL OF THE FIRM/COMPANY:</v>
      </c>
      <c r="N731" s="2" t="str">
        <f>A739</f>
        <v>IAB Member Architect 12 Architectural Graduate 14 Total 26</v>
      </c>
    </row>
    <row r="732" ht="15.75" customHeight="1">
      <c r="A732" s="2" t="s">
        <v>545</v>
      </c>
      <c r="B732" s="2">
        <v>1.0</v>
      </c>
      <c r="D732" s="2" t="s">
        <v>922</v>
      </c>
    </row>
    <row r="733" ht="15.75" customHeight="1">
      <c r="A733" s="2" t="s">
        <v>546</v>
      </c>
      <c r="B733" s="2">
        <v>1.0</v>
      </c>
      <c r="D733" s="2" t="s">
        <v>923</v>
      </c>
    </row>
    <row r="734" ht="15.75" customHeight="1">
      <c r="A734" s="2" t="s">
        <v>547</v>
      </c>
      <c r="B734" s="2">
        <v>1.0</v>
      </c>
      <c r="D734" s="2" t="s">
        <v>924</v>
      </c>
    </row>
    <row r="735" ht="15.75" customHeight="1">
      <c r="A735" s="2" t="s">
        <v>548</v>
      </c>
      <c r="B735" s="2">
        <v>1.0</v>
      </c>
      <c r="D735" s="2" t="s">
        <v>925</v>
      </c>
    </row>
    <row r="736" ht="15.75" customHeight="1">
      <c r="A736" s="2" t="s">
        <v>7</v>
      </c>
      <c r="B736" s="2">
        <v>1.0</v>
      </c>
      <c r="D736" s="2" t="s">
        <v>926</v>
      </c>
    </row>
    <row r="737" ht="15.75" customHeight="1">
      <c r="A737" s="2" t="s">
        <v>549</v>
      </c>
      <c r="B737" s="2">
        <v>1.0</v>
      </c>
      <c r="D737" s="2" t="s">
        <v>927</v>
      </c>
    </row>
    <row r="738" ht="15.75" customHeight="1">
      <c r="A738" s="2" t="s">
        <v>9</v>
      </c>
      <c r="B738" s="2">
        <v>1.0</v>
      </c>
      <c r="D738" s="2" t="s">
        <v>928</v>
      </c>
    </row>
    <row r="739" ht="15.75" customHeight="1">
      <c r="A739" s="2" t="s">
        <v>550</v>
      </c>
      <c r="B739" s="2">
        <v>1.0</v>
      </c>
      <c r="D739" s="2" t="s">
        <v>929</v>
      </c>
    </row>
    <row r="740" ht="15.75" customHeight="1">
      <c r="A740" s="1" t="s">
        <v>551</v>
      </c>
      <c r="B740" s="1"/>
      <c r="C740" s="5">
        <f>B741+B742+B743+B745+B746+B747+B748+B749+B744</f>
        <v>8</v>
      </c>
      <c r="D740" s="2" t="s">
        <v>921</v>
      </c>
      <c r="F740" s="2" t="str">
        <f>A740</f>
        <v>IAB-RP-S14</v>
      </c>
      <c r="G740" s="2" t="str">
        <f>A741</f>
        <v>S &amp; ASSOCIATES (Est‐2009)</v>
      </c>
      <c r="H740" s="2" t="str">
        <f>A742</f>
        <v>Office Address: 44/7‐A,B, 1 st Floor, Suite‐03, West Panthapoth, Dhaka</v>
      </c>
      <c r="I740" s="2" t="str">
        <f>A743</f>
        <v>Email ID: sabd5200@gmail.com Contact: +8801730303421</v>
      </c>
      <c r="J740" s="2" t="str">
        <f>A744</f>
        <v>website:</v>
      </c>
      <c r="K740" s="2" t="str">
        <f>A745</f>
        <v>NAME OF PROPRIETOR/ PARTNER/ DIRECTOR(s) &amp; DESIGNATION</v>
      </c>
      <c r="L740" s="2" t="str">
        <f>A746</f>
        <v>Ar. Md. Raisul Rafi Shaon (S‐089) CEO &amp; Sr. Architect</v>
      </c>
      <c r="M740" s="2" t="str">
        <f>A747</f>
        <v>FULL TIME ARCHITECTURAL PERSONNEL OF THE FIRM/COMPANY:</v>
      </c>
      <c r="N740" s="2" t="str">
        <f>A748</f>
        <v>IAB Member Architect 2 Architectural Graduate 1 Total 3</v>
      </c>
    </row>
    <row r="741" ht="15.75" customHeight="1">
      <c r="A741" s="2" t="s">
        <v>552</v>
      </c>
      <c r="B741" s="2">
        <v>1.0</v>
      </c>
      <c r="D741" s="2" t="s">
        <v>922</v>
      </c>
    </row>
    <row r="742" ht="15.75" customHeight="1">
      <c r="A742" s="2" t="s">
        <v>553</v>
      </c>
      <c r="B742" s="2">
        <v>1.0</v>
      </c>
      <c r="D742" s="2" t="s">
        <v>923</v>
      </c>
    </row>
    <row r="743" ht="15.75" customHeight="1">
      <c r="A743" s="2" t="s">
        <v>554</v>
      </c>
      <c r="B743" s="2">
        <v>1.0</v>
      </c>
      <c r="D743" s="2" t="s">
        <v>924</v>
      </c>
    </row>
    <row r="744" ht="15.75" customHeight="1">
      <c r="A744" s="2" t="s">
        <v>936</v>
      </c>
      <c r="B744" s="2">
        <v>1.0</v>
      </c>
      <c r="D744" s="2" t="s">
        <v>925</v>
      </c>
    </row>
    <row r="745" ht="15.75" customHeight="1">
      <c r="A745" s="2" t="s">
        <v>7</v>
      </c>
      <c r="B745" s="2">
        <v>1.0</v>
      </c>
      <c r="D745" s="2" t="s">
        <v>926</v>
      </c>
    </row>
    <row r="746" ht="15.75" customHeight="1">
      <c r="A746" s="2" t="s">
        <v>555</v>
      </c>
      <c r="B746" s="2">
        <v>1.0</v>
      </c>
      <c r="D746" s="2" t="s">
        <v>927</v>
      </c>
    </row>
    <row r="747" ht="15.75" customHeight="1">
      <c r="A747" s="2" t="s">
        <v>37</v>
      </c>
      <c r="B747" s="2">
        <v>1.0</v>
      </c>
      <c r="D747" s="2" t="s">
        <v>928</v>
      </c>
    </row>
    <row r="748" ht="15.75" customHeight="1">
      <c r="A748" s="2" t="s">
        <v>52</v>
      </c>
      <c r="B748" s="2">
        <v>1.0</v>
      </c>
      <c r="D748" s="2" t="s">
        <v>929</v>
      </c>
    </row>
    <row r="749" ht="15.75" customHeight="1">
      <c r="A749" s="1" t="s">
        <v>556</v>
      </c>
      <c r="B749" s="1"/>
      <c r="C749" s="5">
        <f>B750+B751+B752+B753+B754+B755+B756+B757</f>
        <v>8</v>
      </c>
      <c r="D749" s="2" t="s">
        <v>921</v>
      </c>
      <c r="F749" s="2" t="str">
        <f>A749</f>
        <v>IAB-RP-S15</v>
      </c>
      <c r="G749" s="2" t="str">
        <f>A750</f>
        <v>SHATOTTO ARCHITECTURE FOR GREEN LIVING (Est‐1995)</v>
      </c>
      <c r="H749" s="2" t="str">
        <f>A751</f>
        <v>Office Address: House‐1/11, 2nd Floor, Iqbal Road, Mohammadpur, Dhaka‐1209</v>
      </c>
      <c r="I749" s="2" t="str">
        <f>A752</f>
        <v>Email ID: shatotto@gmail.com</v>
      </c>
      <c r="J749" s="2" t="str">
        <f>A753</f>
        <v>Website : www.shatottogreen.com Contact: +88‐02‐8119702, +8801711641175</v>
      </c>
      <c r="K749" s="2" t="str">
        <f>A754</f>
        <v>NAME OF PROPRIETOR/ PARTNER/ DIRECTOR(s) &amp; DESIGNATION</v>
      </c>
      <c r="L749" s="2" t="str">
        <f>A755</f>
        <v>Ar. Md. Rafiq Azam (A‐055) Principal Architect</v>
      </c>
      <c r="M749" s="2" t="str">
        <f>A756</f>
        <v>FULL TIME ARCHITECTURAL PERSONNEL OF THE FIRM/COMPANY:</v>
      </c>
      <c r="N749" s="2" t="str">
        <f>A757</f>
        <v>IAB Member Architect 9 Architectural Graduate 5 Total 14</v>
      </c>
    </row>
    <row r="750" ht="15.75" customHeight="1">
      <c r="A750" s="2" t="s">
        <v>557</v>
      </c>
      <c r="B750" s="2">
        <v>1.0</v>
      </c>
      <c r="D750" s="2" t="s">
        <v>922</v>
      </c>
    </row>
    <row r="751" ht="15.75" customHeight="1">
      <c r="A751" s="2" t="s">
        <v>558</v>
      </c>
      <c r="B751" s="2">
        <v>1.0</v>
      </c>
      <c r="D751" s="2" t="s">
        <v>923</v>
      </c>
    </row>
    <row r="752" ht="15.75" customHeight="1">
      <c r="A752" s="2" t="s">
        <v>559</v>
      </c>
      <c r="B752" s="2">
        <v>1.0</v>
      </c>
      <c r="D752" s="2" t="s">
        <v>924</v>
      </c>
    </row>
    <row r="753" ht="15.75" customHeight="1">
      <c r="A753" s="2" t="s">
        <v>560</v>
      </c>
      <c r="B753" s="2">
        <v>1.0</v>
      </c>
      <c r="D753" s="2" t="s">
        <v>925</v>
      </c>
    </row>
    <row r="754" ht="15.75" customHeight="1">
      <c r="A754" s="2" t="s">
        <v>7</v>
      </c>
      <c r="B754" s="2">
        <v>1.0</v>
      </c>
      <c r="D754" s="2" t="s">
        <v>926</v>
      </c>
    </row>
    <row r="755" ht="15.75" customHeight="1">
      <c r="A755" s="2" t="s">
        <v>561</v>
      </c>
      <c r="B755" s="2">
        <v>1.0</v>
      </c>
      <c r="D755" s="2" t="s">
        <v>927</v>
      </c>
    </row>
    <row r="756" ht="15.75" customHeight="1">
      <c r="A756" s="2" t="s">
        <v>37</v>
      </c>
      <c r="B756" s="2">
        <v>1.0</v>
      </c>
      <c r="D756" s="2" t="s">
        <v>928</v>
      </c>
    </row>
    <row r="757" ht="15.75" customHeight="1">
      <c r="A757" s="2" t="s">
        <v>562</v>
      </c>
      <c r="B757" s="2">
        <v>1.0</v>
      </c>
      <c r="D757" s="2" t="s">
        <v>929</v>
      </c>
    </row>
    <row r="758" ht="15.75" customHeight="1">
      <c r="A758" s="1" t="s">
        <v>563</v>
      </c>
      <c r="B758" s="1"/>
      <c r="C758" s="5">
        <f>B759+B760+B761+B762+B763+B764+B765+B766</f>
        <v>8</v>
      </c>
      <c r="D758" s="2" t="s">
        <v>921</v>
      </c>
      <c r="F758" s="2" t="str">
        <f>A758</f>
        <v>IAB-RP-S16</v>
      </c>
      <c r="G758" s="2" t="str">
        <f>A759</f>
        <v>SPACE ARCHITECTS, ENGINEERS, PLANNERS (Est‐2011)</v>
      </c>
      <c r="H758" s="2" t="str">
        <f>A760</f>
        <v>Office Address: House#407 (5‐A), Road#29, New DOHS, Mohakhali, Dhaka 1206</v>
      </c>
      <c r="I758" s="2" t="str">
        <f>A761</f>
        <v>Email ID: fawad_hyder@yahoo.com  info@spacearcht.com Contact: +88‐02‐9840245, +8801979873387</v>
      </c>
      <c r="J758" s="2" t="str">
        <f>A762</f>
        <v>Website : www.spacearcht.com</v>
      </c>
      <c r="K758" s="2" t="str">
        <f>A763</f>
        <v>NAME OF PROPRIETOR/ PARTNER/ DIRECTOR(s) &amp; DESIGNATION:</v>
      </c>
      <c r="L758" s="2" t="str">
        <f>A764</f>
        <v>Ar. D.S. Fawad Hyder (H‐056) Proprietor</v>
      </c>
      <c r="M758" s="2" t="str">
        <f>A765</f>
        <v>FULL TIME ARCHITECTURAL PERSONNEL OF THE FIRM/COMPANY:</v>
      </c>
      <c r="N758" s="2" t="str">
        <f>A766</f>
        <v>IAB Member Architect 2 Architectural Graduate 3 Total 5</v>
      </c>
    </row>
    <row r="759" ht="15.75" customHeight="1">
      <c r="A759" s="2" t="s">
        <v>564</v>
      </c>
      <c r="B759" s="2">
        <v>1.0</v>
      </c>
      <c r="D759" s="2" t="s">
        <v>922</v>
      </c>
    </row>
    <row r="760" ht="15.75" customHeight="1">
      <c r="A760" s="2" t="s">
        <v>565</v>
      </c>
      <c r="B760" s="2">
        <v>1.0</v>
      </c>
      <c r="D760" s="2" t="s">
        <v>923</v>
      </c>
    </row>
    <row r="761" ht="15.75" customHeight="1">
      <c r="A761" s="2" t="s">
        <v>961</v>
      </c>
      <c r="B761" s="2">
        <v>1.0</v>
      </c>
      <c r="D761" s="2" t="s">
        <v>924</v>
      </c>
    </row>
    <row r="762" ht="15.75" customHeight="1">
      <c r="A762" s="2" t="s">
        <v>568</v>
      </c>
      <c r="B762" s="2">
        <v>1.0</v>
      </c>
      <c r="D762" s="2" t="s">
        <v>925</v>
      </c>
    </row>
    <row r="763" ht="15.75" customHeight="1">
      <c r="A763" s="2" t="s">
        <v>44</v>
      </c>
      <c r="B763" s="2">
        <v>1.0</v>
      </c>
      <c r="D763" s="2" t="s">
        <v>926</v>
      </c>
    </row>
    <row r="764" ht="15.75" customHeight="1">
      <c r="A764" s="2" t="s">
        <v>569</v>
      </c>
      <c r="B764" s="2">
        <v>1.0</v>
      </c>
      <c r="D764" s="2" t="s">
        <v>927</v>
      </c>
    </row>
    <row r="765" ht="15.75" customHeight="1">
      <c r="A765" s="2" t="s">
        <v>37</v>
      </c>
      <c r="B765" s="2">
        <v>1.0</v>
      </c>
      <c r="D765" s="2" t="s">
        <v>928</v>
      </c>
    </row>
    <row r="766" ht="15.75" customHeight="1">
      <c r="A766" s="2" t="s">
        <v>31</v>
      </c>
      <c r="B766" s="2">
        <v>1.0</v>
      </c>
      <c r="D766" s="2" t="s">
        <v>929</v>
      </c>
    </row>
    <row r="767" ht="15.75" customHeight="1">
      <c r="A767" s="1" t="s">
        <v>570</v>
      </c>
      <c r="B767" s="1"/>
      <c r="C767" s="5">
        <f>B768+B769+B770+B771+B772+B773+B774+B775</f>
        <v>8</v>
      </c>
      <c r="D767" s="2" t="s">
        <v>921</v>
      </c>
      <c r="F767" s="2" t="str">
        <f>A767</f>
        <v>IAB-RP-S17</v>
      </c>
      <c r="G767" s="2" t="str">
        <f>A768</f>
        <v>STHAPOTIK (Est‐2006)</v>
      </c>
      <c r="H767" s="2" t="str">
        <f>A769</f>
        <v>Office Address: House‐8/2, 1 st Floor, Block‐D, Lalmatia, Dhaka</v>
      </c>
      <c r="I767" s="2" t="str">
        <f>A770</f>
        <v>Email ID: sthapotik_arch@yahoo.com</v>
      </c>
      <c r="J767" s="2" t="str">
        <f>A771</f>
        <v>Website : www.sthapotik.com Contact: +8801713039777</v>
      </c>
      <c r="K767" s="2" t="str">
        <f>A772</f>
        <v>NAME OF PROPRIETOR/ PARTNER/ DIRECTOR(s) &amp; DESIGNATION</v>
      </c>
      <c r="L767" s="2" t="str">
        <f>A773</f>
        <v>Ar. Sharif Uddin Ahammed (A‐137) Proprietor</v>
      </c>
      <c r="M767" s="2" t="str">
        <f>A774</f>
        <v>FULL TIME ARCHITECTURAL PERSONNEL OF THE FIRM/COMPANY:</v>
      </c>
      <c r="N767" s="2" t="str">
        <f>A775</f>
        <v>IAB Member Architect 5 Architectural Graduate 2 Total 7</v>
      </c>
    </row>
    <row r="768" ht="15.75" customHeight="1">
      <c r="A768" s="2" t="s">
        <v>571</v>
      </c>
      <c r="B768" s="2">
        <v>1.0</v>
      </c>
      <c r="D768" s="2" t="s">
        <v>922</v>
      </c>
    </row>
    <row r="769" ht="15.75" customHeight="1">
      <c r="A769" s="2" t="s">
        <v>572</v>
      </c>
      <c r="B769" s="2">
        <v>1.0</v>
      </c>
      <c r="D769" s="2" t="s">
        <v>923</v>
      </c>
    </row>
    <row r="770" ht="15.75" customHeight="1">
      <c r="A770" s="2" t="s">
        <v>573</v>
      </c>
      <c r="B770" s="2">
        <v>1.0</v>
      </c>
      <c r="D770" s="2" t="s">
        <v>924</v>
      </c>
    </row>
    <row r="771" ht="15.75" customHeight="1">
      <c r="A771" s="2" t="s">
        <v>574</v>
      </c>
      <c r="B771" s="2">
        <v>1.0</v>
      </c>
      <c r="D771" s="2" t="s">
        <v>925</v>
      </c>
    </row>
    <row r="772" ht="15.75" customHeight="1">
      <c r="A772" s="2" t="s">
        <v>7</v>
      </c>
      <c r="B772" s="2">
        <v>1.0</v>
      </c>
      <c r="D772" s="2" t="s">
        <v>926</v>
      </c>
    </row>
    <row r="773" ht="15.75" customHeight="1">
      <c r="A773" s="2" t="s">
        <v>575</v>
      </c>
      <c r="B773" s="2">
        <v>1.0</v>
      </c>
      <c r="D773" s="2" t="s">
        <v>927</v>
      </c>
    </row>
    <row r="774" ht="15.75" customHeight="1">
      <c r="A774" s="2" t="s">
        <v>37</v>
      </c>
      <c r="B774" s="2">
        <v>1.0</v>
      </c>
      <c r="D774" s="2" t="s">
        <v>928</v>
      </c>
    </row>
    <row r="775" ht="15.75" customHeight="1">
      <c r="A775" s="2" t="s">
        <v>576</v>
      </c>
      <c r="B775" s="2">
        <v>1.0</v>
      </c>
      <c r="D775" s="2" t="s">
        <v>929</v>
      </c>
    </row>
    <row r="776" ht="15.75" customHeight="1">
      <c r="A776" s="1" t="s">
        <v>577</v>
      </c>
      <c r="B776" s="1"/>
      <c r="C776" s="5">
        <f>B777+B778+B779+B780+B781+B782+B783+B784</f>
        <v>8</v>
      </c>
      <c r="D776" s="2" t="s">
        <v>921</v>
      </c>
      <c r="F776" s="2" t="str">
        <f>A776</f>
        <v>IAB-RP-S18</v>
      </c>
      <c r="G776" s="2" t="str">
        <f>A777</f>
        <v>STUDIO DHAKA ARCHITECTS (Est‐2017)</v>
      </c>
      <c r="H776" s="2" t="str">
        <f>A778</f>
        <v>Office Address: 44, Rabindra Sharani Road, Sector‐7, Uttara Model Town, Dhaka‐1230</v>
      </c>
      <c r="I776" s="2" t="str">
        <f>A779</f>
        <v>Email ID: studio.dhaka.architects@gmail.com</v>
      </c>
      <c r="J776" s="2" t="str">
        <f>A780</f>
        <v>Website : www.studiodhakaarchitects.com Contact: +8801534355957</v>
      </c>
      <c r="K776" s="2" t="str">
        <f>A781</f>
        <v>NAME OF PROPRIETOR/ PARTNER/ DIRECTOR(s) &amp; DESIGNATION</v>
      </c>
      <c r="L776" s="2" t="str">
        <f>A782</f>
        <v>Ar. Tarek Md. Saidul Islam (I‐081) Principal Architect</v>
      </c>
      <c r="M776" s="2" t="str">
        <f>A783</f>
        <v>FULL TIME ARCHITECTURAL PERSONNEL OF THE FIRM/COMPANY:</v>
      </c>
      <c r="N776" s="2" t="str">
        <f>A784</f>
        <v>IAB Member Architect 2 Architectural Graduate 1 Total 3</v>
      </c>
    </row>
    <row r="777" ht="15.75" customHeight="1">
      <c r="A777" s="2" t="s">
        <v>578</v>
      </c>
      <c r="B777" s="2">
        <v>1.0</v>
      </c>
      <c r="D777" s="2" t="s">
        <v>922</v>
      </c>
    </row>
    <row r="778" ht="15.75" customHeight="1">
      <c r="A778" s="2" t="s">
        <v>579</v>
      </c>
      <c r="B778" s="2">
        <v>1.0</v>
      </c>
      <c r="D778" s="2" t="s">
        <v>923</v>
      </c>
    </row>
    <row r="779" ht="15.75" customHeight="1">
      <c r="A779" s="2" t="s">
        <v>580</v>
      </c>
      <c r="B779" s="2">
        <v>1.0</v>
      </c>
      <c r="D779" s="2" t="s">
        <v>924</v>
      </c>
    </row>
    <row r="780" ht="15.75" customHeight="1">
      <c r="A780" s="2" t="s">
        <v>581</v>
      </c>
      <c r="B780" s="2">
        <v>1.0</v>
      </c>
      <c r="D780" s="2" t="s">
        <v>925</v>
      </c>
    </row>
    <row r="781" ht="15.75" customHeight="1">
      <c r="A781" s="2" t="s">
        <v>7</v>
      </c>
      <c r="B781" s="2">
        <v>1.0</v>
      </c>
      <c r="D781" s="2" t="s">
        <v>926</v>
      </c>
    </row>
    <row r="782" ht="15.75" customHeight="1">
      <c r="A782" s="2" t="s">
        <v>582</v>
      </c>
      <c r="B782" s="2">
        <v>1.0</v>
      </c>
      <c r="D782" s="2" t="s">
        <v>927</v>
      </c>
    </row>
    <row r="783" ht="15.75" customHeight="1">
      <c r="A783" s="2" t="s">
        <v>37</v>
      </c>
      <c r="B783" s="2">
        <v>1.0</v>
      </c>
      <c r="D783" s="2" t="s">
        <v>928</v>
      </c>
    </row>
    <row r="784" ht="15.75" customHeight="1">
      <c r="A784" s="2" t="s">
        <v>52</v>
      </c>
      <c r="B784" s="2">
        <v>1.0</v>
      </c>
      <c r="D784" s="2" t="s">
        <v>929</v>
      </c>
    </row>
    <row r="785" ht="15.75" customHeight="1">
      <c r="A785" s="1" t="s">
        <v>583</v>
      </c>
      <c r="B785" s="1"/>
      <c r="C785" s="5">
        <f>B786+B787+B788+B789+B790+B791+B792+B793</f>
        <v>8</v>
      </c>
      <c r="D785" s="2" t="s">
        <v>921</v>
      </c>
      <c r="F785" s="2" t="str">
        <f>A785</f>
        <v>IAB-RP-S19</v>
      </c>
      <c r="G785" s="2" t="str">
        <f>A786</f>
        <v>STUDIO DHAKA LIMITED. (Est‐2016)</v>
      </c>
      <c r="H785" s="2" t="str">
        <f>A787</f>
        <v>Office Address: House‐91/1, Road‐11/A, Dhanmondi R/A, Dhaka‐1205</v>
      </c>
      <c r="I785" s="2" t="str">
        <f>A788</f>
        <v>Email ID: studiodhakaltd@gmail.com</v>
      </c>
      <c r="J785" s="2" t="str">
        <f>A789</f>
        <v>Website : www.studiodhaka.com Contact: +8801711335635</v>
      </c>
      <c r="K785" s="2" t="str">
        <f>A790</f>
        <v>NAME OF PROPRIETOR/ PARTNER/ DIRECTOR(s) &amp; DESIGNATION</v>
      </c>
      <c r="L785" s="2" t="str">
        <f>A791</f>
        <v>Ar. Muhammad Moniruzzaman (M‐086) Managing Director</v>
      </c>
      <c r="M785" s="2" t="str">
        <f>A792</f>
        <v>FULL TIME ARCHITECTURAL PERSONNEL OF THE FIRM/COMPANY:</v>
      </c>
      <c r="N785" s="2" t="str">
        <f>A793</f>
        <v>IAB Member Architect 4 Architectural Graduate 7 Total 11</v>
      </c>
    </row>
    <row r="786" ht="15.75" customHeight="1">
      <c r="A786" s="2" t="s">
        <v>584</v>
      </c>
      <c r="B786" s="2">
        <v>1.0</v>
      </c>
      <c r="D786" s="2" t="s">
        <v>922</v>
      </c>
    </row>
    <row r="787" ht="15.75" customHeight="1">
      <c r="A787" s="2" t="s">
        <v>585</v>
      </c>
      <c r="B787" s="2">
        <v>1.0</v>
      </c>
      <c r="D787" s="2" t="s">
        <v>923</v>
      </c>
    </row>
    <row r="788" ht="15.75" customHeight="1">
      <c r="A788" s="2" t="s">
        <v>586</v>
      </c>
      <c r="B788" s="2">
        <v>1.0</v>
      </c>
      <c r="D788" s="2" t="s">
        <v>924</v>
      </c>
    </row>
    <row r="789" ht="15.75" customHeight="1">
      <c r="A789" s="2" t="s">
        <v>587</v>
      </c>
      <c r="B789" s="2">
        <v>1.0</v>
      </c>
      <c r="D789" s="2" t="s">
        <v>925</v>
      </c>
    </row>
    <row r="790" ht="15.75" customHeight="1">
      <c r="A790" s="2" t="s">
        <v>7</v>
      </c>
      <c r="B790" s="2">
        <v>1.0</v>
      </c>
      <c r="D790" s="2" t="s">
        <v>926</v>
      </c>
    </row>
    <row r="791" ht="15.75" customHeight="1">
      <c r="A791" s="2" t="s">
        <v>588</v>
      </c>
      <c r="B791" s="2">
        <v>1.0</v>
      </c>
      <c r="D791" s="2" t="s">
        <v>927</v>
      </c>
    </row>
    <row r="792" ht="15.75" customHeight="1">
      <c r="A792" s="2" t="s">
        <v>37</v>
      </c>
      <c r="B792" s="2">
        <v>1.0</v>
      </c>
      <c r="D792" s="2" t="s">
        <v>928</v>
      </c>
    </row>
    <row r="793" ht="15.75" customHeight="1">
      <c r="A793" s="2" t="s">
        <v>589</v>
      </c>
      <c r="B793" s="2">
        <v>1.0</v>
      </c>
      <c r="D793" s="2" t="s">
        <v>929</v>
      </c>
    </row>
    <row r="794" ht="15.75" customHeight="1">
      <c r="A794" s="1" t="s">
        <v>590</v>
      </c>
      <c r="B794" s="1"/>
      <c r="C794" s="5">
        <f>B795+B796+B797+B798+B799+B800+B801+B802</f>
        <v>8</v>
      </c>
      <c r="D794" s="2" t="s">
        <v>921</v>
      </c>
      <c r="F794" s="2" t="str">
        <f>A794</f>
        <v>IAB-RP-S20</v>
      </c>
      <c r="G794" s="2" t="str">
        <f>A795</f>
        <v>SYSTEM ARCHITECTS (Est‐2001)</v>
      </c>
      <c r="H794" s="2" t="str">
        <f>A796</f>
        <v>Office Address: House‐31, [Celeste], Unit‐A2, Road‐20, Block‐K, Banani, Dhaka‐1213</v>
      </c>
      <c r="I794" s="2" t="str">
        <f>A797</f>
        <v>Email ID: nirjhar@systemarchitectsbd.com</v>
      </c>
      <c r="J794" s="2" t="str">
        <f>A798</f>
        <v>Website : www.systemarchitectsbd.com Contact: +88‐02‐9843303, +88‐02‐9842193</v>
      </c>
      <c r="K794" s="2" t="str">
        <f>A799</f>
        <v>NAME OF PROPRIETOR/ PARTNER/ DIRECTOR(s) &amp; DESIGNATION</v>
      </c>
      <c r="L794" s="2" t="str">
        <f>A800</f>
        <v>Ar. Enamul Karim (K‐058) Principal Architect &amp; CEO</v>
      </c>
      <c r="M794" s="2" t="str">
        <f>A801</f>
        <v>FULL TIME ARCHITECTURAL PERSONNEL OF THE FIRM/COMPANY:</v>
      </c>
      <c r="N794" s="2" t="str">
        <f>A802</f>
        <v>IAB Member Architect 4 Architectural Graduate 9 Total 13</v>
      </c>
    </row>
    <row r="795" ht="15.75" customHeight="1">
      <c r="A795" s="2" t="s">
        <v>591</v>
      </c>
      <c r="B795" s="2">
        <v>1.0</v>
      </c>
      <c r="D795" s="2" t="s">
        <v>922</v>
      </c>
    </row>
    <row r="796" ht="15.75" customHeight="1">
      <c r="A796" s="2" t="s">
        <v>592</v>
      </c>
      <c r="B796" s="2">
        <v>1.0</v>
      </c>
      <c r="D796" s="2" t="s">
        <v>923</v>
      </c>
    </row>
    <row r="797" ht="15.75" customHeight="1">
      <c r="A797" s="2" t="s">
        <v>593</v>
      </c>
      <c r="B797" s="2">
        <v>1.0</v>
      </c>
      <c r="D797" s="2" t="s">
        <v>924</v>
      </c>
    </row>
    <row r="798" ht="15.75" customHeight="1">
      <c r="A798" s="2" t="s">
        <v>594</v>
      </c>
      <c r="B798" s="2">
        <v>1.0</v>
      </c>
      <c r="D798" s="2" t="s">
        <v>925</v>
      </c>
    </row>
    <row r="799" ht="15.75" customHeight="1">
      <c r="A799" s="2" t="s">
        <v>7</v>
      </c>
      <c r="B799" s="2">
        <v>1.0</v>
      </c>
      <c r="D799" s="2" t="s">
        <v>926</v>
      </c>
    </row>
    <row r="800" ht="15.75" customHeight="1">
      <c r="A800" s="2" t="s">
        <v>595</v>
      </c>
      <c r="B800" s="2">
        <v>1.0</v>
      </c>
      <c r="D800" s="2" t="s">
        <v>927</v>
      </c>
    </row>
    <row r="801" ht="15.75" customHeight="1">
      <c r="A801" s="2" t="s">
        <v>37</v>
      </c>
      <c r="B801" s="2">
        <v>1.0</v>
      </c>
      <c r="D801" s="2" t="s">
        <v>928</v>
      </c>
    </row>
    <row r="802" ht="15.75" customHeight="1">
      <c r="A802" s="2" t="s">
        <v>596</v>
      </c>
      <c r="B802" s="2">
        <v>1.0</v>
      </c>
      <c r="D802" s="2" t="s">
        <v>929</v>
      </c>
    </row>
    <row r="803" ht="15.75" customHeight="1">
      <c r="A803" s="1" t="s">
        <v>597</v>
      </c>
      <c r="B803" s="1"/>
      <c r="C803" s="5">
        <f>B804+B805+B806+B807+B808+B809+B811+B810</f>
        <v>8</v>
      </c>
      <c r="D803" s="2" t="s">
        <v>921</v>
      </c>
      <c r="F803" s="2" t="str">
        <f>A803</f>
        <v>IAB-RP-S21</v>
      </c>
      <c r="G803" s="2" t="str">
        <f>A804</f>
        <v>SILVERBRICKS (Est‐2008)</v>
      </c>
      <c r="H803" s="2" t="str">
        <f>A805</f>
        <v>Office Address: 3 rd Floor, IEB Bhaban, S.S Khaled Road, Chattogram</v>
      </c>
      <c r="I803" s="2" t="str">
        <f>A806</f>
        <v>Email ID: info@silverbricksbd.com Contact: +88‐01714084433</v>
      </c>
      <c r="J803" s="2" t="str">
        <f>A807</f>
        <v>Website :</v>
      </c>
      <c r="K803" s="2" t="str">
        <f>A808</f>
        <v>NAME OF PROPRIETOR/ PARTNER/ DIRECTOR(s) &amp; DESIGNATION</v>
      </c>
      <c r="L803" s="2" t="str">
        <f>A809</f>
        <v>Ar. Mohammad Asaduzzaman Chowdhury (C‐040) Managing Partner &amp; Ar. Aniket Chowdhury (C‐066) Partner</v>
      </c>
      <c r="M803" s="2" t="str">
        <f>A810</f>
        <v>FULL TIME ARCHITECTURAL PERSONNEL OF THE FIRM/COMPANY:</v>
      </c>
      <c r="N803" s="2" t="str">
        <f>A811</f>
        <v>IAB Member Architect 3 Architectural Graduate 4 Total 7</v>
      </c>
    </row>
    <row r="804" ht="15.75" customHeight="1">
      <c r="A804" s="2" t="s">
        <v>598</v>
      </c>
      <c r="B804" s="2">
        <v>1.0</v>
      </c>
      <c r="D804" s="2" t="s">
        <v>922</v>
      </c>
    </row>
    <row r="805" ht="15.75" customHeight="1">
      <c r="A805" s="2" t="s">
        <v>599</v>
      </c>
      <c r="B805" s="2">
        <v>1.0</v>
      </c>
      <c r="D805" s="2" t="s">
        <v>923</v>
      </c>
    </row>
    <row r="806" ht="15.75" customHeight="1">
      <c r="A806" s="2" t="s">
        <v>600</v>
      </c>
      <c r="B806" s="2">
        <v>1.0</v>
      </c>
      <c r="D806" s="2" t="s">
        <v>924</v>
      </c>
    </row>
    <row r="807" ht="15.75" customHeight="1">
      <c r="A807" s="2" t="s">
        <v>50</v>
      </c>
      <c r="B807" s="2">
        <v>1.0</v>
      </c>
      <c r="D807" s="2" t="s">
        <v>925</v>
      </c>
    </row>
    <row r="808" ht="15.75" customHeight="1">
      <c r="A808" s="2" t="s">
        <v>7</v>
      </c>
      <c r="B808" s="2">
        <v>1.0</v>
      </c>
      <c r="D808" s="2" t="s">
        <v>926</v>
      </c>
    </row>
    <row r="809" ht="15.75" customHeight="1">
      <c r="A809" s="2" t="s">
        <v>962</v>
      </c>
      <c r="B809" s="2">
        <v>1.0</v>
      </c>
      <c r="D809" s="2" t="s">
        <v>927</v>
      </c>
    </row>
    <row r="810" ht="15.75" customHeight="1">
      <c r="A810" s="2" t="s">
        <v>37</v>
      </c>
      <c r="B810" s="2">
        <v>1.0</v>
      </c>
      <c r="D810" s="2" t="s">
        <v>928</v>
      </c>
    </row>
    <row r="811" ht="15.75" customHeight="1">
      <c r="A811" s="2" t="s">
        <v>603</v>
      </c>
      <c r="B811" s="2">
        <v>1.0</v>
      </c>
      <c r="D811" s="2" t="s">
        <v>929</v>
      </c>
    </row>
    <row r="812" ht="15.75" customHeight="1">
      <c r="A812" s="1" t="s">
        <v>604</v>
      </c>
      <c r="B812" s="1"/>
      <c r="C812" s="5">
        <f>B813+B814+B815+B816+B817+B818+B820+B819</f>
        <v>8</v>
      </c>
      <c r="D812" s="2" t="s">
        <v>921</v>
      </c>
      <c r="F812" s="2" t="str">
        <f>A812</f>
        <v>IAB-RP-S22</v>
      </c>
      <c r="G812" s="2" t="str">
        <f>A813</f>
        <v>STUDIO MORPHOGENESIS LTD. (Est‐2014)</v>
      </c>
      <c r="H812" s="2" t="str">
        <f>A814</f>
        <v>Office Address: Suite‐2D, House‐11, Road‐14, Gulshan‐1, Dhaka‐1212</v>
      </c>
      <c r="I812" s="2" t="str">
        <f>A815</f>
        <v>Email ID: design@studiomorphogenesis.com Contact: +88 01723819678 +88 02 9858862</v>
      </c>
      <c r="J812" s="2" t="str">
        <f>A816</f>
        <v>Website: www.studiomorphogenesis.com</v>
      </c>
      <c r="K812" s="2" t="str">
        <f>A817</f>
        <v>NAME OF PROPRIETOR/ PARTNER/ DIRECTOR(s) &amp; DESIGNATION</v>
      </c>
      <c r="L812" s="2" t="str">
        <f>A818</f>
        <v>Ar. Shahla Karim Kabir (K‐050) &amp; Ar. Minhaz Bin Gaffar (G‐009)</v>
      </c>
      <c r="M812" s="2" t="str">
        <f>A819</f>
        <v>FULL TIME ARCHITECTURAL PERSONNEL OF THE FIRM/COMPANY:</v>
      </c>
      <c r="N812" s="2" t="str">
        <f>A820</f>
        <v>IAB Member Architect Architectural Graduate Total</v>
      </c>
    </row>
    <row r="813" ht="15.75" customHeight="1">
      <c r="A813" s="2" t="s">
        <v>605</v>
      </c>
      <c r="B813" s="2">
        <v>1.0</v>
      </c>
      <c r="D813" s="2" t="s">
        <v>922</v>
      </c>
    </row>
    <row r="814" ht="15.75" customHeight="1">
      <c r="A814" s="2" t="s">
        <v>606</v>
      </c>
      <c r="B814" s="2">
        <v>1.0</v>
      </c>
      <c r="D814" s="2" t="s">
        <v>923</v>
      </c>
    </row>
    <row r="815" ht="15.75" customHeight="1">
      <c r="A815" s="2" t="s">
        <v>607</v>
      </c>
      <c r="B815" s="2">
        <v>1.0</v>
      </c>
      <c r="D815" s="2" t="s">
        <v>924</v>
      </c>
    </row>
    <row r="816" ht="15.75" customHeight="1">
      <c r="A816" s="2" t="s">
        <v>608</v>
      </c>
      <c r="B816" s="2">
        <v>1.0</v>
      </c>
      <c r="D816" s="2" t="s">
        <v>925</v>
      </c>
    </row>
    <row r="817" ht="15.75" customHeight="1">
      <c r="A817" s="2" t="s">
        <v>7</v>
      </c>
      <c r="B817" s="2">
        <v>1.0</v>
      </c>
      <c r="D817" s="2" t="s">
        <v>926</v>
      </c>
    </row>
    <row r="818" ht="15.75" customHeight="1">
      <c r="A818" s="2" t="s">
        <v>963</v>
      </c>
      <c r="B818" s="2">
        <v>1.0</v>
      </c>
      <c r="D818" s="2" t="s">
        <v>927</v>
      </c>
    </row>
    <row r="819" ht="15.75" customHeight="1">
      <c r="A819" s="2" t="s">
        <v>37</v>
      </c>
      <c r="B819" s="2">
        <v>1.0</v>
      </c>
      <c r="D819" s="2" t="s">
        <v>928</v>
      </c>
    </row>
    <row r="820" ht="15.75" customHeight="1">
      <c r="A820" s="2" t="s">
        <v>161</v>
      </c>
      <c r="B820" s="2">
        <v>1.0</v>
      </c>
      <c r="D820" s="2" t="s">
        <v>929</v>
      </c>
    </row>
    <row r="821" ht="15.75" customHeight="1">
      <c r="A821" s="1" t="s">
        <v>611</v>
      </c>
      <c r="B821" s="1"/>
      <c r="C821" s="5">
        <f>B822+B823+B824+B826+B827+B828+B829+B830+B825</f>
        <v>8</v>
      </c>
      <c r="D821" s="2" t="s">
        <v>921</v>
      </c>
      <c r="F821" s="2" t="str">
        <f>A821</f>
        <v>IAB-RP-T01</v>
      </c>
      <c r="G821" s="2" t="str">
        <f>A822</f>
        <v>THE DESIGNERS (Est‐2001)</v>
      </c>
      <c r="H821" s="2" t="str">
        <f>A823</f>
        <v>Office Address: House‐431, Road‐30, DOHS, Mohakhali, Dhaka‐1206</v>
      </c>
      <c r="I821" s="2" t="str">
        <f>A824</f>
        <v>Email ID: malikshaheen@yahoo.com Contact: +88‐02‐9850798</v>
      </c>
      <c r="J821" s="2" t="str">
        <f>A825</f>
        <v>website:</v>
      </c>
      <c r="K821" s="2" t="str">
        <f>A826</f>
        <v>NAME OF PROPRIETOR/ PARTNER/ DIRECTOR(s) &amp; DESIGNATION</v>
      </c>
      <c r="L821" s="2" t="str">
        <f>A827</f>
        <v>Ar. Shaheen Malik (M‐009) CEO</v>
      </c>
      <c r="M821" s="2" t="str">
        <f>A828</f>
        <v>FULL TIME TECHNICAL PERSONNEL OF THE FIRM/COMPANY:</v>
      </c>
      <c r="N821" s="2" t="str">
        <f>A829</f>
        <v>IAB Member Architect 1 Architectural Graduate 4 Total 5</v>
      </c>
    </row>
    <row r="822" ht="15.75" customHeight="1">
      <c r="A822" s="2" t="s">
        <v>612</v>
      </c>
      <c r="B822" s="2">
        <v>1.0</v>
      </c>
      <c r="D822" s="2" t="s">
        <v>922</v>
      </c>
    </row>
    <row r="823" ht="15.75" customHeight="1">
      <c r="A823" s="2" t="s">
        <v>613</v>
      </c>
      <c r="B823" s="2">
        <v>1.0</v>
      </c>
      <c r="D823" s="2" t="s">
        <v>923</v>
      </c>
    </row>
    <row r="824" ht="15.75" customHeight="1">
      <c r="A824" s="2" t="s">
        <v>614</v>
      </c>
      <c r="B824" s="2">
        <v>1.0</v>
      </c>
      <c r="D824" s="2" t="s">
        <v>924</v>
      </c>
    </row>
    <row r="825" ht="15.75" customHeight="1">
      <c r="A825" s="2" t="s">
        <v>936</v>
      </c>
      <c r="B825" s="2">
        <v>1.0</v>
      </c>
      <c r="D825" s="2" t="s">
        <v>925</v>
      </c>
    </row>
    <row r="826" ht="15.75" customHeight="1">
      <c r="A826" s="2" t="s">
        <v>7</v>
      </c>
      <c r="B826" s="2">
        <v>1.0</v>
      </c>
      <c r="D826" s="2" t="s">
        <v>926</v>
      </c>
    </row>
    <row r="827" ht="15.75" customHeight="1">
      <c r="A827" s="2" t="s">
        <v>615</v>
      </c>
      <c r="B827" s="2">
        <v>1.0</v>
      </c>
      <c r="D827" s="2" t="s">
        <v>927</v>
      </c>
    </row>
    <row r="828" ht="15.75" customHeight="1">
      <c r="A828" s="2" t="s">
        <v>9</v>
      </c>
      <c r="B828" s="2">
        <v>1.0</v>
      </c>
      <c r="D828" s="2" t="s">
        <v>928</v>
      </c>
    </row>
    <row r="829" ht="15.75" customHeight="1">
      <c r="A829" s="2" t="s">
        <v>216</v>
      </c>
      <c r="B829" s="2">
        <v>1.0</v>
      </c>
      <c r="D829" s="2" t="s">
        <v>929</v>
      </c>
    </row>
    <row r="830" ht="15.75" customHeight="1">
      <c r="A830" s="1" t="s">
        <v>616</v>
      </c>
      <c r="B830" s="1"/>
      <c r="C830" s="5">
        <f>B831+B832+B833+B835+B836+B837+B838+B839+B834</f>
        <v>8</v>
      </c>
      <c r="D830" s="2" t="s">
        <v>921</v>
      </c>
      <c r="F830" s="2" t="str">
        <f>A830</f>
        <v>IAB-RP-T02</v>
      </c>
      <c r="G830" s="2" t="str">
        <f>A831</f>
        <v>TRIANGLE CONSULTANTS (Est‐1993)</v>
      </c>
      <c r="H830" s="2" t="str">
        <f>A832</f>
        <v>Office Address: House 120(B),Road#1,Block#F, Banani , Dhaka‐1213</v>
      </c>
      <c r="I830" s="2" t="str">
        <f>A833</f>
        <v>Email ID: shakoormajid@yahoo.com Contact: +88‐02‐8812109‐10</v>
      </c>
      <c r="J830" s="2" t="str">
        <f>A834</f>
        <v>website:</v>
      </c>
      <c r="K830" s="2" t="str">
        <f>A835</f>
        <v>NAME OF PROPRIETOR/ PARTNER/ DIRECTOR(s) &amp; DESIGNATION</v>
      </c>
      <c r="L830" s="2" t="str">
        <f>A836</f>
        <v>Ar. Shakoor Majid (M‐031) CEO</v>
      </c>
      <c r="M830" s="2" t="str">
        <f>A837</f>
        <v>FULL TIME TECHNICAL PERSONNEL OF THE FIRM/COMPANY:</v>
      </c>
      <c r="N830" s="2" t="str">
        <f>A838</f>
        <v>IAB Member Architect 2 Architectural Graduate 5 Total 7</v>
      </c>
    </row>
    <row r="831" ht="15.75" customHeight="1">
      <c r="A831" s="2" t="s">
        <v>617</v>
      </c>
      <c r="B831" s="2">
        <v>1.0</v>
      </c>
      <c r="D831" s="2" t="s">
        <v>922</v>
      </c>
    </row>
    <row r="832" ht="15.75" customHeight="1">
      <c r="A832" s="2" t="s">
        <v>618</v>
      </c>
      <c r="B832" s="2">
        <v>1.0</v>
      </c>
      <c r="D832" s="2" t="s">
        <v>923</v>
      </c>
    </row>
    <row r="833" ht="15.75" customHeight="1">
      <c r="A833" s="2" t="s">
        <v>619</v>
      </c>
      <c r="B833" s="2">
        <v>1.0</v>
      </c>
      <c r="D833" s="2" t="s">
        <v>924</v>
      </c>
    </row>
    <row r="834" ht="15.75" customHeight="1">
      <c r="A834" s="2" t="s">
        <v>936</v>
      </c>
      <c r="B834" s="2">
        <v>1.0</v>
      </c>
      <c r="D834" s="2" t="s">
        <v>925</v>
      </c>
    </row>
    <row r="835" ht="15.75" customHeight="1">
      <c r="A835" s="2" t="s">
        <v>7</v>
      </c>
      <c r="B835" s="2">
        <v>1.0</v>
      </c>
      <c r="D835" s="2" t="s">
        <v>926</v>
      </c>
    </row>
    <row r="836" ht="15.75" customHeight="1">
      <c r="A836" s="2" t="s">
        <v>620</v>
      </c>
      <c r="B836" s="2">
        <v>1.0</v>
      </c>
      <c r="D836" s="2" t="s">
        <v>927</v>
      </c>
    </row>
    <row r="837" ht="15.75" customHeight="1">
      <c r="A837" s="2" t="s">
        <v>9</v>
      </c>
      <c r="B837" s="2">
        <v>1.0</v>
      </c>
      <c r="D837" s="2" t="s">
        <v>928</v>
      </c>
    </row>
    <row r="838" ht="15.75" customHeight="1">
      <c r="A838" s="2" t="s">
        <v>621</v>
      </c>
      <c r="B838" s="2">
        <v>1.0</v>
      </c>
      <c r="D838" s="2" t="s">
        <v>929</v>
      </c>
    </row>
    <row r="839" ht="15.75" customHeight="1">
      <c r="A839" s="1" t="s">
        <v>622</v>
      </c>
      <c r="B839" s="1"/>
      <c r="C839" s="5">
        <f>B840+B841+B842+B843+B844+B845+B847+B846</f>
        <v>8</v>
      </c>
      <c r="D839" s="2" t="s">
        <v>921</v>
      </c>
      <c r="F839" s="2" t="str">
        <f>A839</f>
        <v>IAB-RP-T03</v>
      </c>
      <c r="G839" s="2" t="str">
        <f>A840</f>
        <v>TANYA KARIM N.R. KHAN &amp; ASSOCIATES (Est‐1993)</v>
      </c>
      <c r="H839" s="2" t="str">
        <f>A841</f>
        <v>Office Address: Laboni‐2, Flat‐B1 &amp; C1, House‐24, Road‐9/A, Dhanmond R/A, Dhaka‐1209</v>
      </c>
      <c r="I839" s="2" t="str">
        <f>A842</f>
        <v>Email ID: mail@tknrk.com</v>
      </c>
      <c r="J839" s="2" t="str">
        <f>A843</f>
        <v>Website : www.tknrk.com Contact: +88‐02‐58156547, +88‐02‐9142487</v>
      </c>
      <c r="K839" s="2" t="str">
        <f>A844</f>
        <v>NAME OF PROPRIETOR/ PARTNER/ DIRECTOR(s) &amp; DESIGNATION:</v>
      </c>
      <c r="L839" s="2" t="str">
        <f>A845</f>
        <v>Ar. Nurur Rahman Khan (K‐049) Architect Partner &amp; Ar. Tanya Tazeen Karim (K‐051) Architect Partner</v>
      </c>
      <c r="M839" s="2" t="str">
        <f>A846</f>
        <v>FULL TIME ARCHITECTURAL PERSONNEL OF THE FIRM/COMPANY:</v>
      </c>
      <c r="N839" s="2" t="str">
        <f>A847</f>
        <v>IAB Member Architect 14 Architectural Graduate 12 Total 26</v>
      </c>
    </row>
    <row r="840" ht="15.75" customHeight="1">
      <c r="A840" s="2" t="s">
        <v>623</v>
      </c>
      <c r="B840" s="2">
        <v>1.0</v>
      </c>
      <c r="D840" s="2" t="s">
        <v>922</v>
      </c>
    </row>
    <row r="841" ht="15.75" customHeight="1">
      <c r="A841" s="2" t="s">
        <v>624</v>
      </c>
      <c r="B841" s="2">
        <v>1.0</v>
      </c>
      <c r="D841" s="2" t="s">
        <v>923</v>
      </c>
    </row>
    <row r="842" ht="15.75" customHeight="1">
      <c r="A842" s="2" t="s">
        <v>625</v>
      </c>
      <c r="B842" s="2">
        <v>1.0</v>
      </c>
      <c r="D842" s="2" t="s">
        <v>924</v>
      </c>
    </row>
    <row r="843" ht="15.75" customHeight="1">
      <c r="A843" s="2" t="s">
        <v>626</v>
      </c>
      <c r="B843" s="2">
        <v>1.0</v>
      </c>
      <c r="D843" s="2" t="s">
        <v>925</v>
      </c>
    </row>
    <row r="844" ht="15.75" customHeight="1">
      <c r="A844" s="2" t="s">
        <v>44</v>
      </c>
      <c r="B844" s="2">
        <v>1.0</v>
      </c>
      <c r="D844" s="2" t="s">
        <v>926</v>
      </c>
    </row>
    <row r="845" ht="15.75" customHeight="1">
      <c r="A845" s="2" t="s">
        <v>964</v>
      </c>
      <c r="B845" s="2">
        <v>1.0</v>
      </c>
      <c r="D845" s="2" t="s">
        <v>927</v>
      </c>
    </row>
    <row r="846" ht="15.75" customHeight="1">
      <c r="A846" s="2" t="s">
        <v>37</v>
      </c>
      <c r="B846" s="2">
        <v>1.0</v>
      </c>
      <c r="D846" s="2" t="s">
        <v>928</v>
      </c>
    </row>
    <row r="847" ht="15.75" customHeight="1">
      <c r="A847" s="2" t="s">
        <v>629</v>
      </c>
      <c r="B847" s="2">
        <v>1.0</v>
      </c>
      <c r="D847" s="2" t="s">
        <v>929</v>
      </c>
    </row>
    <row r="848" ht="15.75" customHeight="1">
      <c r="A848" s="1" t="s">
        <v>630</v>
      </c>
      <c r="B848" s="1"/>
      <c r="C848" s="5">
        <f>B849+B850+B851+B852+B853+B854+B855+B856</f>
        <v>8</v>
      </c>
      <c r="D848" s="2" t="s">
        <v>921</v>
      </c>
      <c r="F848" s="2" t="str">
        <f>A848</f>
        <v>IAB-RP-T04</v>
      </c>
      <c r="G848" s="2" t="str">
        <f>A849</f>
        <v>TARIQUE HASAN &amp; ASSOCIATES LTD. (Est‐ 2013)</v>
      </c>
      <c r="H848" s="2" t="str">
        <f>A850</f>
        <v>Office Address: House‐31, Road‐06, Block‐C, Banani, Dhaka‐1213</v>
      </c>
      <c r="I848" s="2" t="str">
        <f>A851</f>
        <v>Email ID: tarique.37@gmail.com</v>
      </c>
      <c r="J848" s="2" t="str">
        <f>A852</f>
        <v>Website : www.thalbd.com Contact: +88‐02‐9896337, +88‐02‐9882504</v>
      </c>
      <c r="K848" s="2" t="str">
        <f>A853</f>
        <v>NAME OF PROPRIETOR/ PARTNER/ DIRECTOR(s) &amp; DESIGNATION</v>
      </c>
      <c r="L848" s="2" t="str">
        <f>A854</f>
        <v>Ar. Tarique Hasan (H‐097) Managing Director</v>
      </c>
      <c r="M848" s="2" t="str">
        <f>A855</f>
        <v>FULL TIME ARCHITECTURAL PERSONNEL OF THE FIRM/COMPANY:</v>
      </c>
      <c r="N848" s="2" t="str">
        <f>A856</f>
        <v>IAB Member Architect 5 Architectural Graduate 0 Total 5</v>
      </c>
    </row>
    <row r="849" ht="15.75" customHeight="1">
      <c r="A849" s="2" t="s">
        <v>631</v>
      </c>
      <c r="B849" s="2">
        <v>1.0</v>
      </c>
      <c r="D849" s="2" t="s">
        <v>922</v>
      </c>
    </row>
    <row r="850" ht="15.75" customHeight="1">
      <c r="A850" s="2" t="s">
        <v>632</v>
      </c>
      <c r="B850" s="2">
        <v>1.0</v>
      </c>
      <c r="D850" s="2" t="s">
        <v>923</v>
      </c>
    </row>
    <row r="851" ht="15.75" customHeight="1">
      <c r="A851" s="2" t="s">
        <v>633</v>
      </c>
      <c r="B851" s="2">
        <v>1.0</v>
      </c>
      <c r="D851" s="2" t="s">
        <v>924</v>
      </c>
    </row>
    <row r="852" ht="15.75" customHeight="1">
      <c r="A852" s="2" t="s">
        <v>634</v>
      </c>
      <c r="B852" s="2">
        <v>1.0</v>
      </c>
      <c r="D852" s="2" t="s">
        <v>925</v>
      </c>
    </row>
    <row r="853" ht="15.75" customHeight="1">
      <c r="A853" s="2" t="s">
        <v>7</v>
      </c>
      <c r="B853" s="2">
        <v>1.0</v>
      </c>
      <c r="D853" s="2" t="s">
        <v>926</v>
      </c>
    </row>
    <row r="854" ht="15.75" customHeight="1">
      <c r="A854" s="2" t="s">
        <v>635</v>
      </c>
      <c r="B854" s="2">
        <v>1.0</v>
      </c>
      <c r="D854" s="2" t="s">
        <v>927</v>
      </c>
    </row>
    <row r="855" ht="15.75" customHeight="1">
      <c r="A855" s="2" t="s">
        <v>37</v>
      </c>
      <c r="B855" s="2">
        <v>1.0</v>
      </c>
      <c r="D855" s="2" t="s">
        <v>928</v>
      </c>
    </row>
    <row r="856" ht="15.75" customHeight="1">
      <c r="A856" s="2" t="s">
        <v>636</v>
      </c>
      <c r="B856" s="2">
        <v>1.0</v>
      </c>
      <c r="D856" s="2" t="s">
        <v>929</v>
      </c>
    </row>
    <row r="857" ht="15.75" customHeight="1">
      <c r="A857" s="1" t="s">
        <v>637</v>
      </c>
      <c r="B857" s="1"/>
      <c r="C857" s="5">
        <f>B858+B859+B860+B861+B862+B863+B865+B864</f>
        <v>8</v>
      </c>
      <c r="D857" s="2" t="s">
        <v>921</v>
      </c>
      <c r="F857" s="2" t="str">
        <f>A857</f>
        <v>IAB-RP-T05</v>
      </c>
      <c r="G857" s="2" t="str">
        <f>A858</f>
        <v>TRIOTECT &amp; ASSOCIATES LTD. (Est‐2018)</v>
      </c>
      <c r="H857" s="2" t="str">
        <f>A859</f>
        <v>Office Address: 25/2, Rani Garh (2nd Floor), Lake Circus, Kalabagan, Dhaka‐1205</v>
      </c>
      <c r="I857" s="2" t="str">
        <f>A860</f>
        <v>Email ID: info@triotect.com.bd Contact: +8801777768366, +8801777768367</v>
      </c>
      <c r="J857" s="2" t="str">
        <f>A861</f>
        <v>Website : www.triotect.com.bd</v>
      </c>
      <c r="K857" s="2" t="str">
        <f>A862</f>
        <v>NAME OF PROPRIETOR/ PARTNER/ DIRECTOR(s) &amp; DESIGNATION:</v>
      </c>
      <c r="L857" s="2" t="str">
        <f>A863</f>
        <v>Ar. Md. Tareq Abdullah (A‐236) Director &amp; Ar. Khondoker Arif Uzzaman (AU‐019) Managing Director</v>
      </c>
      <c r="M857" s="2" t="str">
        <f>A864</f>
        <v>FULL TIME ARCHITECTURAL PERSONNEL OF THE FIRM/COMPANY:</v>
      </c>
      <c r="N857" s="2" t="str">
        <f>A865</f>
        <v>IAB Member Architect 5 Architectural Graduate 2 Total 7</v>
      </c>
    </row>
    <row r="858" ht="15.75" customHeight="1">
      <c r="A858" s="2" t="s">
        <v>638</v>
      </c>
      <c r="B858" s="2">
        <v>1.0</v>
      </c>
      <c r="D858" s="2" t="s">
        <v>922</v>
      </c>
    </row>
    <row r="859" ht="15.75" customHeight="1">
      <c r="A859" s="2" t="s">
        <v>639</v>
      </c>
      <c r="B859" s="2">
        <v>1.0</v>
      </c>
      <c r="D859" s="2" t="s">
        <v>923</v>
      </c>
    </row>
    <row r="860" ht="15.75" customHeight="1">
      <c r="A860" s="2" t="s">
        <v>640</v>
      </c>
      <c r="B860" s="2">
        <v>1.0</v>
      </c>
      <c r="D860" s="2" t="s">
        <v>924</v>
      </c>
    </row>
    <row r="861" ht="15.75" customHeight="1">
      <c r="A861" s="2" t="s">
        <v>641</v>
      </c>
      <c r="B861" s="2">
        <v>1.0</v>
      </c>
      <c r="D861" s="2" t="s">
        <v>925</v>
      </c>
    </row>
    <row r="862" ht="15.75" customHeight="1">
      <c r="A862" s="2" t="s">
        <v>44</v>
      </c>
      <c r="B862" s="2">
        <v>1.0</v>
      </c>
      <c r="D862" s="2" t="s">
        <v>926</v>
      </c>
    </row>
    <row r="863" ht="15.75" customHeight="1">
      <c r="A863" s="2" t="s">
        <v>965</v>
      </c>
      <c r="B863" s="2">
        <v>1.0</v>
      </c>
      <c r="D863" s="2" t="s">
        <v>927</v>
      </c>
    </row>
    <row r="864" ht="15.75" customHeight="1">
      <c r="A864" s="2" t="s">
        <v>37</v>
      </c>
      <c r="B864" s="2">
        <v>1.0</v>
      </c>
      <c r="D864" s="2" t="s">
        <v>928</v>
      </c>
    </row>
    <row r="865" ht="15.75" customHeight="1">
      <c r="A865" s="2" t="s">
        <v>576</v>
      </c>
      <c r="B865" s="2">
        <v>1.0</v>
      </c>
      <c r="D865" s="2" t="s">
        <v>929</v>
      </c>
    </row>
    <row r="866" ht="15.75" customHeight="1">
      <c r="A866" s="1" t="s">
        <v>644</v>
      </c>
      <c r="B866" s="1"/>
      <c r="C866" s="5">
        <f>B867+B868+B869+B871+B872+B873+B874+B875+B870</f>
        <v>8</v>
      </c>
      <c r="D866" s="2" t="s">
        <v>921</v>
      </c>
      <c r="F866" s="2" t="str">
        <f>A866</f>
        <v>IAB-RP-U01</v>
      </c>
      <c r="G866" s="2" t="str">
        <f>A867</f>
        <v>UNITED CONSULTANT (Est‐2003)</v>
      </c>
      <c r="H866" s="2" t="str">
        <f>A868</f>
        <v>Office Address: House‐211, (2 nd &amp; 3rd), Lane‐13, Lake Road, New DOHS, Mohakhali, Dhaka‐1206</v>
      </c>
      <c r="I866" s="2" t="str">
        <f>A869</f>
        <v>Email ID: mail.awpl@yahoo.com Contact: +88‐02‐9849303, +88‐02‐9849317</v>
      </c>
      <c r="J866" s="2" t="str">
        <f>A870</f>
        <v>website:</v>
      </c>
      <c r="K866" s="2" t="str">
        <f>A871</f>
        <v>NAME OF PROPRIETOR/ PARTNER/ DIRECTOR(s) &amp; DESIGNATION</v>
      </c>
      <c r="L866" s="2" t="str">
        <f>A872</f>
        <v>Ar. Md. Maruf Hossain Khan (K‐073) Principal Architect</v>
      </c>
      <c r="M866" s="2" t="str">
        <f>A873</f>
        <v>FULL TIME ARCHITECTURAL PERSONNEL OF THE FIRM/COMPANY:</v>
      </c>
      <c r="N866" s="2" t="str">
        <f>A874</f>
        <v>IAB Member Architect 3 Architectural Graduate 9 Total 12</v>
      </c>
    </row>
    <row r="867" ht="15.75" customHeight="1">
      <c r="A867" s="2" t="s">
        <v>645</v>
      </c>
      <c r="B867" s="2">
        <v>1.0</v>
      </c>
      <c r="D867" s="2" t="s">
        <v>922</v>
      </c>
    </row>
    <row r="868" ht="15.75" customHeight="1">
      <c r="A868" s="2" t="s">
        <v>646</v>
      </c>
      <c r="B868" s="2">
        <v>1.0</v>
      </c>
      <c r="D868" s="2" t="s">
        <v>923</v>
      </c>
    </row>
    <row r="869" ht="15.75" customHeight="1">
      <c r="A869" s="2" t="s">
        <v>647</v>
      </c>
      <c r="B869" s="2">
        <v>1.0</v>
      </c>
      <c r="D869" s="2" t="s">
        <v>924</v>
      </c>
    </row>
    <row r="870" ht="15.75" customHeight="1">
      <c r="A870" s="2" t="s">
        <v>936</v>
      </c>
      <c r="B870" s="2">
        <v>1.0</v>
      </c>
      <c r="D870" s="2" t="s">
        <v>925</v>
      </c>
    </row>
    <row r="871" ht="15.75" customHeight="1">
      <c r="A871" s="2" t="s">
        <v>7</v>
      </c>
      <c r="B871" s="2">
        <v>1.0</v>
      </c>
      <c r="D871" s="2" t="s">
        <v>926</v>
      </c>
    </row>
    <row r="872" ht="15.75" customHeight="1">
      <c r="A872" s="2" t="s">
        <v>648</v>
      </c>
      <c r="B872" s="2">
        <v>1.0</v>
      </c>
      <c r="D872" s="2" t="s">
        <v>927</v>
      </c>
    </row>
    <row r="873" ht="15.75" customHeight="1">
      <c r="A873" s="2" t="s">
        <v>37</v>
      </c>
      <c r="B873" s="2">
        <v>1.0</v>
      </c>
      <c r="D873" s="2" t="s">
        <v>928</v>
      </c>
    </row>
    <row r="874" ht="15.75" customHeight="1">
      <c r="A874" s="2" t="s">
        <v>538</v>
      </c>
      <c r="B874" s="2">
        <v>1.0</v>
      </c>
      <c r="D874" s="2" t="s">
        <v>929</v>
      </c>
    </row>
    <row r="875" ht="15.75" customHeight="1">
      <c r="A875" s="1" t="s">
        <v>649</v>
      </c>
      <c r="B875" s="1"/>
      <c r="C875" s="5">
        <f>B876+B877+B878+B880+B881+B882+B883+B884+B879</f>
        <v>8</v>
      </c>
      <c r="D875" s="2" t="s">
        <v>921</v>
      </c>
      <c r="F875" s="2" t="str">
        <f>A875</f>
        <v>IAB-RP-U02</v>
      </c>
      <c r="G875" s="2" t="str">
        <f>A876</f>
        <v>URBANA (Est‐1996)</v>
      </c>
      <c r="H875" s="2" t="str">
        <f>A877</f>
        <v>Office Address: House‐56, Road‐5/A, Dhanmondi, Dhaka‐1209</v>
      </c>
      <c r="I875" s="2" t="str">
        <f>A878</f>
        <v>Email ID: urbana.communications@gmail.com Contact: +88‐02‐9671500, +88‐02‐9671515</v>
      </c>
      <c r="J875" s="2" t="str">
        <f>A879</f>
        <v>website:</v>
      </c>
      <c r="K875" s="2" t="str">
        <f>A880</f>
        <v>NAME OF PROPRIETOR/ PARTNER/ DIRECTOR(s) &amp; DESIGNATION</v>
      </c>
      <c r="L875" s="2" t="str">
        <f>A881</f>
        <v>Ar. Mahboob‐E‐Sobhan Chowdhury (C‐025) Principal Architect</v>
      </c>
      <c r="M875" s="2" t="str">
        <f>A882</f>
        <v>FULL TIME ARCHITECTURAL PERSONNEL OF THE FIRM/COMPANY:</v>
      </c>
      <c r="N875" s="2" t="str">
        <f>A883</f>
        <v>IAB Member Architect 6 Architectural Graduate 4 Total 10</v>
      </c>
    </row>
    <row r="876" ht="15.75" customHeight="1">
      <c r="A876" s="2" t="s">
        <v>650</v>
      </c>
      <c r="B876" s="2">
        <v>1.0</v>
      </c>
      <c r="D876" s="2" t="s">
        <v>922</v>
      </c>
    </row>
    <row r="877" ht="15.75" customHeight="1">
      <c r="A877" s="2" t="s">
        <v>651</v>
      </c>
      <c r="B877" s="2">
        <v>1.0</v>
      </c>
      <c r="D877" s="2" t="s">
        <v>923</v>
      </c>
    </row>
    <row r="878" ht="15.75" customHeight="1">
      <c r="A878" s="2" t="s">
        <v>652</v>
      </c>
      <c r="B878" s="2">
        <v>1.0</v>
      </c>
      <c r="D878" s="2" t="s">
        <v>924</v>
      </c>
    </row>
    <row r="879" ht="15.75" customHeight="1">
      <c r="A879" s="2" t="s">
        <v>936</v>
      </c>
      <c r="B879" s="2">
        <v>1.0</v>
      </c>
      <c r="D879" s="2" t="s">
        <v>925</v>
      </c>
    </row>
    <row r="880" ht="15.75" customHeight="1">
      <c r="A880" s="2" t="s">
        <v>7</v>
      </c>
      <c r="B880" s="2">
        <v>1.0</v>
      </c>
      <c r="D880" s="2" t="s">
        <v>926</v>
      </c>
    </row>
    <row r="881" ht="15.75" customHeight="1">
      <c r="A881" s="2" t="s">
        <v>653</v>
      </c>
      <c r="B881" s="2">
        <v>1.0</v>
      </c>
      <c r="D881" s="2" t="s">
        <v>927</v>
      </c>
    </row>
    <row r="882" ht="15.75" customHeight="1">
      <c r="A882" s="2" t="s">
        <v>37</v>
      </c>
      <c r="B882" s="2">
        <v>1.0</v>
      </c>
      <c r="D882" s="2" t="s">
        <v>928</v>
      </c>
    </row>
    <row r="883" ht="15.75" customHeight="1">
      <c r="A883" s="2" t="s">
        <v>432</v>
      </c>
      <c r="B883" s="2">
        <v>1.0</v>
      </c>
      <c r="D883" s="2" t="s">
        <v>929</v>
      </c>
    </row>
    <row r="884" ht="15.75" customHeight="1">
      <c r="A884" s="1" t="s">
        <v>654</v>
      </c>
      <c r="B884" s="1"/>
      <c r="C884" s="5">
        <f>B885+B886+B887+B888+B889+B890+B891+B892</f>
        <v>8</v>
      </c>
      <c r="D884" s="2" t="s">
        <v>921</v>
      </c>
      <c r="F884" s="2" t="str">
        <f>A884</f>
        <v>IAB-RP-V01</v>
      </c>
      <c r="G884" s="2" t="str">
        <f>A885</f>
        <v>VASTUVITA ARCHITECTS (Est‐2005)</v>
      </c>
      <c r="H884" s="2" t="str">
        <f>A886</f>
        <v>Office Address: Amelia, Suite:A6, House‐71, Road‐17, Sector‐11, Uttara, Dhaka‐1230</v>
      </c>
      <c r="I884" s="2" t="str">
        <f>A887</f>
        <v>Email ID: vita_arc@yahoo.com Contact: +88‐01678016706</v>
      </c>
      <c r="J884" s="2" t="str">
        <f>A888</f>
        <v>Website :</v>
      </c>
      <c r="K884" s="2" t="str">
        <f>A889</f>
        <v>NAME OF PROPRIETOR/ PARTNER/ DIRECTOR(s) &amp; DESIGNATION</v>
      </c>
      <c r="L884" s="2" t="str">
        <f>A890</f>
        <v>Ar. Amit Kumar Saha (S‐077) Partner &amp; Ar. Faisal Ishtiaq Alam (A‐151) Partner &amp; Ar. Dipozzwal Sen (S‐090) Partner</v>
      </c>
      <c r="M884" s="2" t="str">
        <f>A891</f>
        <v>FULL TIME ARCHITECTURAL PERSONNEL OF THE FIRM/COMPANY:</v>
      </c>
      <c r="N884" s="2" t="str">
        <f>A892</f>
        <v>IAB Member Architect 3 Architectural Graduate 2 Total 5</v>
      </c>
    </row>
    <row r="885" ht="15.75" customHeight="1">
      <c r="A885" s="2" t="s">
        <v>655</v>
      </c>
      <c r="B885" s="2">
        <v>1.0</v>
      </c>
      <c r="D885" s="2" t="s">
        <v>922</v>
      </c>
    </row>
    <row r="886" ht="15.75" customHeight="1">
      <c r="A886" s="2" t="s">
        <v>656</v>
      </c>
      <c r="B886" s="2">
        <v>1.0</v>
      </c>
      <c r="D886" s="2" t="s">
        <v>923</v>
      </c>
    </row>
    <row r="887" ht="15.75" customHeight="1">
      <c r="A887" s="2" t="s">
        <v>657</v>
      </c>
      <c r="B887" s="2">
        <v>1.0</v>
      </c>
      <c r="D887" s="2" t="s">
        <v>924</v>
      </c>
    </row>
    <row r="888" ht="15.75" customHeight="1">
      <c r="A888" s="2" t="s">
        <v>50</v>
      </c>
      <c r="B888" s="2">
        <v>1.0</v>
      </c>
      <c r="D888" s="2" t="s">
        <v>925</v>
      </c>
    </row>
    <row r="889" ht="15.75" customHeight="1">
      <c r="A889" s="2" t="s">
        <v>7</v>
      </c>
      <c r="B889" s="2">
        <v>1.0</v>
      </c>
      <c r="D889" s="2" t="s">
        <v>926</v>
      </c>
    </row>
    <row r="890" ht="15.75" customHeight="1">
      <c r="A890" s="2" t="s">
        <v>966</v>
      </c>
      <c r="B890" s="2">
        <v>1.0</v>
      </c>
      <c r="D890" s="2" t="s">
        <v>927</v>
      </c>
    </row>
    <row r="891" ht="15.75" customHeight="1">
      <c r="A891" s="2" t="s">
        <v>37</v>
      </c>
      <c r="B891" s="2">
        <v>1.0</v>
      </c>
      <c r="D891" s="2" t="s">
        <v>928</v>
      </c>
    </row>
    <row r="892" ht="15.75" customHeight="1">
      <c r="A892" s="2" t="s">
        <v>146</v>
      </c>
      <c r="B892" s="2">
        <v>1.0</v>
      </c>
      <c r="D892" s="2" t="s">
        <v>929</v>
      </c>
    </row>
    <row r="893" ht="15.75" customHeight="1">
      <c r="A893" s="1" t="s">
        <v>661</v>
      </c>
      <c r="B893" s="1"/>
      <c r="C893" s="5">
        <f>B894+B895+B896+B898+B899+B897+B900+B901</f>
        <v>8</v>
      </c>
      <c r="D893" s="2" t="s">
        <v>921</v>
      </c>
      <c r="F893" s="2" t="str">
        <f>A893</f>
        <v>IAB-RP-V02</v>
      </c>
      <c r="G893" s="2" t="str">
        <f>A894</f>
        <v>VENNA ARCHITECTS (Est‐2002)</v>
      </c>
      <c r="H893" s="2" t="str">
        <f>A895</f>
        <v>Office Address: Level‐05, A K Complex, 19‐Green Road, Dhaka‐1205</v>
      </c>
      <c r="I893" s="2" t="str">
        <f>A896</f>
        <v>Email ID: architects.venna@gmail.com, architect.asif@gmail.com Contact: +88‐02‐ 8625835</v>
      </c>
      <c r="J893" s="2" t="str">
        <f>A897</f>
        <v>website:</v>
      </c>
      <c r="K893" s="2" t="str">
        <f>A898</f>
        <v>NAME OF PROPRIETOR/ PARTNER/ DIRECTOR(s) &amp; DESIGNATION</v>
      </c>
      <c r="L893" s="2" t="str">
        <f>A899</f>
        <v>Ar.Asif Mohammed Ahsanul Haq (H‐117) Managing Partner &amp; Ar. Arifa Akhter (A‐120) Partner</v>
      </c>
      <c r="M893" s="2" t="str">
        <f>A900</f>
        <v>FULL TIME TECHNICAL PERSONNEL OF THE FIRM/COMPANY:</v>
      </c>
      <c r="N893" s="2" t="str">
        <f>A901</f>
        <v>IAB Member Architect 3 Architectural Graduate 6 Total 9</v>
      </c>
    </row>
    <row r="894" ht="15.75" customHeight="1">
      <c r="A894" s="2" t="s">
        <v>662</v>
      </c>
      <c r="B894" s="2">
        <v>1.0</v>
      </c>
      <c r="D894" s="2" t="s">
        <v>922</v>
      </c>
    </row>
    <row r="895" ht="15.75" customHeight="1">
      <c r="A895" s="2" t="s">
        <v>663</v>
      </c>
      <c r="B895" s="2">
        <v>1.0</v>
      </c>
      <c r="D895" s="2" t="s">
        <v>923</v>
      </c>
    </row>
    <row r="896" ht="15.75" customHeight="1">
      <c r="A896" s="2" t="s">
        <v>664</v>
      </c>
      <c r="B896" s="2">
        <v>1.0</v>
      </c>
      <c r="D896" s="2" t="s">
        <v>924</v>
      </c>
    </row>
    <row r="897" ht="15.75" customHeight="1">
      <c r="A897" s="2" t="s">
        <v>936</v>
      </c>
      <c r="B897" s="2">
        <v>1.0</v>
      </c>
      <c r="D897" s="2" t="s">
        <v>925</v>
      </c>
    </row>
    <row r="898" ht="15.75" customHeight="1">
      <c r="A898" s="2" t="s">
        <v>7</v>
      </c>
      <c r="B898" s="2">
        <v>1.0</v>
      </c>
      <c r="D898" s="2" t="s">
        <v>926</v>
      </c>
    </row>
    <row r="899" ht="15.75" customHeight="1">
      <c r="A899" s="2" t="s">
        <v>967</v>
      </c>
      <c r="B899" s="2">
        <v>1.0</v>
      </c>
      <c r="D899" s="2" t="s">
        <v>927</v>
      </c>
    </row>
    <row r="900" ht="15.75" customHeight="1">
      <c r="A900" s="2" t="s">
        <v>9</v>
      </c>
      <c r="B900" s="2">
        <v>1.0</v>
      </c>
      <c r="D900" s="2" t="s">
        <v>928</v>
      </c>
    </row>
    <row r="901" ht="15.75" customHeight="1">
      <c r="A901" s="2" t="s">
        <v>667</v>
      </c>
      <c r="B901" s="2">
        <v>1.0</v>
      </c>
      <c r="D901" s="2" t="s">
        <v>929</v>
      </c>
    </row>
    <row r="902" ht="15.75" customHeight="1">
      <c r="A902" s="1" t="s">
        <v>668</v>
      </c>
      <c r="B902" s="1"/>
      <c r="C902" s="5">
        <f>B903+B904+B905+B907+B908+B906+B909+B910</f>
        <v>8</v>
      </c>
      <c r="D902" s="2" t="s">
        <v>921</v>
      </c>
      <c r="F902" s="2" t="str">
        <f>A902</f>
        <v>IAB-RP-V03</v>
      </c>
      <c r="G902" s="2" t="str">
        <f>A903</f>
        <v>VISTAARA ARCHITECTS (PVT.) LTD (Est‐1998)</v>
      </c>
      <c r="H902" s="2" t="str">
        <f>A904</f>
        <v>Office Address: Delvistaa Ruparup, Apt‐D1 &amp; B1, SE(H)6, Road‐143, Gulshan Model Town, Gulshan, Dhaka‐1212.</v>
      </c>
      <c r="I902" s="2" t="str">
        <f>A905</f>
        <v>Email ID: info@delvistaa.com Contact: +88‐02‐55044873, +88‐02‐55044874, +88‐02‐55044875</v>
      </c>
      <c r="J902" s="2" t="str">
        <f>A906</f>
        <v>website:</v>
      </c>
      <c r="K902" s="2" t="str">
        <f>A907</f>
        <v>NAME OF PROPRIETOR/ PARTNER/ DIRECTOR(s) &amp; DESIGNATION</v>
      </c>
      <c r="L902" s="2" t="str">
        <f>A908</f>
        <v>Ar. Khan Mohammed Mustapha Khalid (K‐037) Managing Director &amp; Ar. Shahzia Islam (I‐023) Director</v>
      </c>
      <c r="M902" s="2" t="str">
        <f>A909</f>
        <v>FULL TIME ARCHITECTURAL PERSONNEL OF THE FIRM/COMPANY:</v>
      </c>
      <c r="N902" s="2" t="str">
        <f>A910</f>
        <v>IAB Member Architect 15 Architectural Graduate 4 Total 19</v>
      </c>
    </row>
    <row r="903" ht="15.75" customHeight="1">
      <c r="A903" s="2" t="s">
        <v>669</v>
      </c>
      <c r="B903" s="2">
        <v>1.0</v>
      </c>
      <c r="D903" s="2" t="s">
        <v>922</v>
      </c>
    </row>
    <row r="904" ht="15.75" customHeight="1">
      <c r="A904" s="2" t="s">
        <v>670</v>
      </c>
      <c r="B904" s="2">
        <v>1.0</v>
      </c>
      <c r="D904" s="2" t="s">
        <v>923</v>
      </c>
    </row>
    <row r="905" ht="15.75" customHeight="1">
      <c r="A905" s="2" t="s">
        <v>671</v>
      </c>
      <c r="B905" s="2">
        <v>1.0</v>
      </c>
      <c r="D905" s="2" t="s">
        <v>924</v>
      </c>
    </row>
    <row r="906" ht="15.75" customHeight="1">
      <c r="A906" s="2" t="s">
        <v>936</v>
      </c>
      <c r="B906" s="2">
        <v>1.0</v>
      </c>
      <c r="D906" s="2" t="s">
        <v>925</v>
      </c>
    </row>
    <row r="907" ht="15.75" customHeight="1">
      <c r="A907" s="2" t="s">
        <v>7</v>
      </c>
      <c r="B907" s="2">
        <v>1.0</v>
      </c>
      <c r="D907" s="2" t="s">
        <v>926</v>
      </c>
    </row>
    <row r="908" ht="15.75" customHeight="1">
      <c r="A908" s="2" t="s">
        <v>968</v>
      </c>
      <c r="B908" s="2">
        <v>1.0</v>
      </c>
      <c r="D908" s="2" t="s">
        <v>927</v>
      </c>
    </row>
    <row r="909" ht="15.75" customHeight="1">
      <c r="A909" s="2" t="s">
        <v>37</v>
      </c>
      <c r="B909" s="2">
        <v>1.0</v>
      </c>
      <c r="D909" s="2" t="s">
        <v>928</v>
      </c>
    </row>
    <row r="910" ht="15.75" customHeight="1">
      <c r="A910" s="2" t="s">
        <v>674</v>
      </c>
      <c r="B910" s="2">
        <v>1.0</v>
      </c>
      <c r="D910" s="2" t="s">
        <v>929</v>
      </c>
    </row>
    <row r="911" ht="15.75" customHeight="1">
      <c r="A911" s="1" t="s">
        <v>675</v>
      </c>
      <c r="B911" s="1"/>
      <c r="C911" s="5">
        <f>B912+B913+B914+B915+B916+B917+B918+B919</f>
        <v>8</v>
      </c>
      <c r="D911" s="2" t="s">
        <v>921</v>
      </c>
      <c r="F911" s="2" t="str">
        <f>A911</f>
        <v>IAB-RP-V04</v>
      </c>
      <c r="G911" s="2" t="str">
        <f>A912</f>
        <v>VOLUMEZERO LIMITED (Est‐2008)</v>
      </c>
      <c r="H911" s="2" t="str">
        <f>A913</f>
        <v>Office Address: House‐135, Road‐04, Block‐A, Banani , Dhaka 1213.</v>
      </c>
      <c r="I911" s="2" t="str">
        <f>A914</f>
        <v>Email ID: foyez@volumezeroltd.com</v>
      </c>
      <c r="J911" s="2" t="str">
        <f>A915</f>
        <v>Website : www.volumezeroltd.com Contact: +88‐02‐55035669, +88‐02‐55035670, +88‐02‐55035671</v>
      </c>
      <c r="K911" s="2" t="str">
        <f>A916</f>
        <v>NAME OF PROPRIETOR/ PARTNER/ DIRECTOR(s) &amp; DESIGNATION</v>
      </c>
      <c r="L911" s="2" t="str">
        <f>A917</f>
        <v>Ar. Mohammad Foyez Ullah (U‐008) Managing Director</v>
      </c>
      <c r="M911" s="2" t="str">
        <f>A918</f>
        <v>FULL TIME ARCHITECTURAL PERSONNEL OF THE FIRM/COMPANY:</v>
      </c>
      <c r="N911" s="2" t="str">
        <f>A919</f>
        <v>IAB Member Architect 23 Architectural Graduate 04 Total 27</v>
      </c>
    </row>
    <row r="912" ht="15.75" customHeight="1">
      <c r="A912" s="2" t="s">
        <v>676</v>
      </c>
      <c r="B912" s="2">
        <v>1.0</v>
      </c>
      <c r="D912" s="2" t="s">
        <v>922</v>
      </c>
    </row>
    <row r="913" ht="15.75" customHeight="1">
      <c r="A913" s="2" t="s">
        <v>677</v>
      </c>
      <c r="B913" s="2">
        <v>1.0</v>
      </c>
      <c r="D913" s="2" t="s">
        <v>923</v>
      </c>
    </row>
    <row r="914" ht="15.75" customHeight="1">
      <c r="A914" s="2" t="s">
        <v>678</v>
      </c>
      <c r="B914" s="2">
        <v>1.0</v>
      </c>
      <c r="D914" s="2" t="s">
        <v>924</v>
      </c>
    </row>
    <row r="915" ht="15.75" customHeight="1">
      <c r="A915" s="2" t="s">
        <v>679</v>
      </c>
      <c r="B915" s="2">
        <v>1.0</v>
      </c>
      <c r="D915" s="2" t="s">
        <v>925</v>
      </c>
    </row>
    <row r="916" ht="15.75" customHeight="1">
      <c r="A916" s="2" t="s">
        <v>7</v>
      </c>
      <c r="B916" s="2">
        <v>1.0</v>
      </c>
      <c r="D916" s="2" t="s">
        <v>926</v>
      </c>
    </row>
    <row r="917" ht="15.75" customHeight="1">
      <c r="A917" s="2" t="s">
        <v>680</v>
      </c>
      <c r="B917" s="2">
        <v>1.0</v>
      </c>
      <c r="D917" s="2" t="s">
        <v>927</v>
      </c>
    </row>
    <row r="918" ht="15.75" customHeight="1">
      <c r="A918" s="2" t="s">
        <v>37</v>
      </c>
      <c r="B918" s="2">
        <v>1.0</v>
      </c>
      <c r="D918" s="2" t="s">
        <v>928</v>
      </c>
    </row>
    <row r="919" ht="15.75" customHeight="1">
      <c r="A919" s="2" t="s">
        <v>681</v>
      </c>
      <c r="B919" s="2">
        <v>1.0</v>
      </c>
      <c r="D919" s="2" t="s">
        <v>929</v>
      </c>
    </row>
    <row r="920" ht="15.75" customHeight="1">
      <c r="A920" s="1" t="s">
        <v>682</v>
      </c>
      <c r="B920" s="1"/>
      <c r="C920" s="5">
        <f>B921+B922+B923+B927+B928+B924+B925+B926</f>
        <v>8</v>
      </c>
      <c r="D920" s="2" t="s">
        <v>921</v>
      </c>
      <c r="F920" s="2" t="str">
        <f>A920</f>
        <v>IAB-RP-V05</v>
      </c>
      <c r="G920" s="2" t="str">
        <f>A921</f>
        <v>VUU‐MAATRA CONSULTANTS (Est‐2008)</v>
      </c>
      <c r="H920" s="2" t="str">
        <f>A922</f>
        <v>Office Address: House ‐22, Road ‐12, Block‐F, Niketon Socoety, Gulshan‐1, Dhaka 1206.</v>
      </c>
      <c r="I920" s="2" t="str">
        <f>A923</f>
        <v>Email ID: info@vuumaatra.com , ziaul.sharif@gmail.com , Contact: +88‐02‐58812326, 8801796585535</v>
      </c>
      <c r="J920" s="2" t="str">
        <f>A924</f>
        <v>Website : www.vuumaatra.com</v>
      </c>
      <c r="K920" s="2" t="str">
        <f>A925</f>
        <v>NAME OF PROPRIETOR/ PARTNER/ DIRECTOR(s) &amp; DESIGNATION</v>
      </c>
      <c r="L920" s="2" t="str">
        <f>A926</f>
        <v>Ar. Mohammed Ziaul Sharif (S‐094) Chief Architect</v>
      </c>
      <c r="M920" s="2" t="str">
        <f>A927</f>
        <v>FULL TIME ARCHITECTURAL PERSONNEL OF THE FIRM/COMPANY:</v>
      </c>
      <c r="N920" s="2" t="str">
        <f>A928</f>
        <v>IAB Member Architect 3 Architectural Graduate 1 Total 4</v>
      </c>
    </row>
    <row r="921" ht="15.75" customHeight="1">
      <c r="A921" s="2" t="s">
        <v>683</v>
      </c>
      <c r="B921" s="2">
        <v>1.0</v>
      </c>
      <c r="D921" s="2" t="s">
        <v>922</v>
      </c>
    </row>
    <row r="922" ht="15.75" customHeight="1">
      <c r="A922" s="2" t="s">
        <v>684</v>
      </c>
      <c r="B922" s="2">
        <v>1.0</v>
      </c>
      <c r="D922" s="2" t="s">
        <v>923</v>
      </c>
    </row>
    <row r="923" ht="15.75" customHeight="1">
      <c r="A923" s="2" t="s">
        <v>969</v>
      </c>
      <c r="B923" s="2">
        <v>1.0</v>
      </c>
      <c r="D923" s="2" t="s">
        <v>924</v>
      </c>
    </row>
    <row r="924" ht="15.75" customHeight="1">
      <c r="A924" s="2" t="s">
        <v>687</v>
      </c>
      <c r="B924" s="2">
        <v>1.0</v>
      </c>
      <c r="D924" s="2" t="s">
        <v>925</v>
      </c>
    </row>
    <row r="925" ht="15.75" customHeight="1">
      <c r="A925" s="2" t="s">
        <v>7</v>
      </c>
      <c r="B925" s="2">
        <v>1.0</v>
      </c>
      <c r="D925" s="2" t="s">
        <v>926</v>
      </c>
    </row>
    <row r="926" ht="15.75" customHeight="1">
      <c r="A926" s="2" t="s">
        <v>688</v>
      </c>
      <c r="B926" s="2">
        <v>1.0</v>
      </c>
      <c r="D926" s="2" t="s">
        <v>927</v>
      </c>
    </row>
    <row r="927" ht="15.75" customHeight="1">
      <c r="A927" s="2" t="s">
        <v>37</v>
      </c>
      <c r="B927" s="2">
        <v>1.0</v>
      </c>
      <c r="D927" s="2" t="s">
        <v>928</v>
      </c>
    </row>
    <row r="928" ht="15.75" customHeight="1">
      <c r="A928" s="2" t="s">
        <v>138</v>
      </c>
      <c r="B928" s="2">
        <v>1.0</v>
      </c>
      <c r="D928" s="2" t="s">
        <v>929</v>
      </c>
    </row>
    <row r="929" ht="15.75" customHeight="1">
      <c r="A929" s="1" t="s">
        <v>689</v>
      </c>
      <c r="B929" s="1"/>
      <c r="C929" s="5">
        <f>B930+B931+B932+B933+B934+B935+B936+B937</f>
        <v>8</v>
      </c>
      <c r="D929" s="2" t="s">
        <v>921</v>
      </c>
      <c r="F929" s="2" t="str">
        <f>A929</f>
        <v>IAB-RP-V06</v>
      </c>
      <c r="G929" s="2" t="str">
        <f>A930</f>
        <v>VISTA ARCHITECTURAL CONSULTANT (Est‐1995)</v>
      </c>
      <c r="H929" s="2" t="str">
        <f>A931</f>
        <v>Office Address: House‐67/2/KA, Flat‐E/2, Zigatola, Dhaka‐1209</v>
      </c>
      <c r="I929" s="2" t="str">
        <f>A932</f>
        <v>Email ID: dsarif14@yahoo.com, dsarifoffice@gmail.com Contact: +88‐01971566019</v>
      </c>
      <c r="J929" s="2" t="str">
        <f>A933</f>
        <v>Website :</v>
      </c>
      <c r="K929" s="2" t="str">
        <f>A934</f>
        <v>NAME OF PROPRIETOR/ PARTNER/ DIRECTOR(s) &amp; DESIGNATION</v>
      </c>
      <c r="L929" s="2" t="str">
        <f>A935</f>
        <v>Ar. Dewan Shamsul Arif (A‐079) Proprietor &amp; Principal Architect</v>
      </c>
      <c r="M929" s="2" t="str">
        <f>A936</f>
        <v>FULL TIME ARCHITECTURAL PERSONNEL OF THE FIRM/COMPANY:</v>
      </c>
      <c r="N929" s="2" t="str">
        <f>A937</f>
        <v>IAB Member Architect 5 Architectural Graduate 0 Total 5</v>
      </c>
    </row>
    <row r="930" ht="15.75" customHeight="1">
      <c r="A930" s="2" t="s">
        <v>690</v>
      </c>
      <c r="B930" s="2">
        <v>1.0</v>
      </c>
      <c r="D930" s="2" t="s">
        <v>922</v>
      </c>
    </row>
    <row r="931" ht="15.75" customHeight="1">
      <c r="A931" s="2" t="s">
        <v>691</v>
      </c>
      <c r="B931" s="2">
        <v>1.0</v>
      </c>
      <c r="D931" s="2" t="s">
        <v>923</v>
      </c>
    </row>
    <row r="932" ht="15.75" customHeight="1">
      <c r="A932" s="2" t="s">
        <v>692</v>
      </c>
      <c r="B932" s="2">
        <v>1.0</v>
      </c>
      <c r="D932" s="2" t="s">
        <v>924</v>
      </c>
    </row>
    <row r="933" ht="15.75" customHeight="1">
      <c r="A933" s="2" t="s">
        <v>50</v>
      </c>
      <c r="B933" s="2">
        <v>1.0</v>
      </c>
      <c r="D933" s="2" t="s">
        <v>925</v>
      </c>
    </row>
    <row r="934" ht="15.75" customHeight="1">
      <c r="A934" s="2" t="s">
        <v>7</v>
      </c>
      <c r="B934" s="2">
        <v>1.0</v>
      </c>
      <c r="D934" s="2" t="s">
        <v>926</v>
      </c>
    </row>
    <row r="935" ht="15.75" customHeight="1">
      <c r="A935" s="2" t="s">
        <v>693</v>
      </c>
      <c r="B935" s="2">
        <v>1.0</v>
      </c>
      <c r="D935" s="2" t="s">
        <v>927</v>
      </c>
    </row>
    <row r="936" ht="15.75" customHeight="1">
      <c r="A936" s="2" t="s">
        <v>37</v>
      </c>
      <c r="B936" s="2">
        <v>1.0</v>
      </c>
      <c r="D936" s="2" t="s">
        <v>928</v>
      </c>
    </row>
    <row r="937" ht="15.75" customHeight="1">
      <c r="A937" s="2" t="s">
        <v>636</v>
      </c>
      <c r="B937" s="2">
        <v>1.0</v>
      </c>
      <c r="D937" s="2" t="s">
        <v>929</v>
      </c>
    </row>
    <row r="938" ht="15.75" customHeight="1">
      <c r="A938" s="1" t="s">
        <v>694</v>
      </c>
      <c r="B938" s="1"/>
      <c r="C938" s="5">
        <f>B939+B940+B941+B942+B943+B944+B946+B945</f>
        <v>8</v>
      </c>
      <c r="D938" s="2" t="s">
        <v>921</v>
      </c>
      <c r="F938" s="2" t="str">
        <f>A938</f>
        <v>IAB-RP-V07</v>
      </c>
      <c r="G938" s="2" t="str">
        <f>A939</f>
        <v>VITTI STHAPATI BRINDO LTD (Est‐1991)</v>
      </c>
      <c r="H938" s="2" t="str">
        <f>A940</f>
        <v>Office Address: 27/A, Level‐6&amp;7, Shangshad Avenue, Dhaka‐1215</v>
      </c>
      <c r="I938" s="2" t="str">
        <f>A941</f>
        <v>Email ID: vittibd@gmail.com Contact: +88 01912888015 +88 02‐8143471</v>
      </c>
      <c r="J938" s="2" t="str">
        <f>A942</f>
        <v>Website: www.vitti.com.bd</v>
      </c>
      <c r="K938" s="2" t="str">
        <f>A943</f>
        <v>NAME OF PROPRIETOR/ PARTNER/ DIRECTOR(s) &amp; DESIGNATION</v>
      </c>
      <c r="L938" s="2" t="str">
        <f>A944</f>
        <v>Ar. Md. Ishtiaque Zahir (Z‐011) Director &amp; Ar. Md. Iqbal Habib (H‐075) Managing Director</v>
      </c>
      <c r="M938" s="2" t="str">
        <f>A945</f>
        <v>FULL TIME ARCHITECTURAL PERSONNEL OF THE FIRM/COMPANY:</v>
      </c>
      <c r="N938" s="2" t="str">
        <f>A946</f>
        <v>IAB Member Architect Architectural Graduate Total</v>
      </c>
    </row>
    <row r="939" ht="15.75" customHeight="1">
      <c r="A939" s="2" t="s">
        <v>695</v>
      </c>
      <c r="B939" s="2">
        <v>1.0</v>
      </c>
      <c r="D939" s="2" t="s">
        <v>922</v>
      </c>
    </row>
    <row r="940" ht="15.75" customHeight="1">
      <c r="A940" s="2" t="s">
        <v>696</v>
      </c>
      <c r="B940" s="2">
        <v>1.0</v>
      </c>
      <c r="D940" s="2" t="s">
        <v>923</v>
      </c>
    </row>
    <row r="941" ht="15.75" customHeight="1">
      <c r="A941" s="2" t="s">
        <v>697</v>
      </c>
      <c r="B941" s="2">
        <v>1.0</v>
      </c>
      <c r="D941" s="2" t="s">
        <v>924</v>
      </c>
    </row>
    <row r="942" ht="15.75" customHeight="1">
      <c r="A942" s="2" t="s">
        <v>698</v>
      </c>
      <c r="B942" s="2">
        <v>1.0</v>
      </c>
      <c r="D942" s="2" t="s">
        <v>925</v>
      </c>
    </row>
    <row r="943" ht="15.75" customHeight="1">
      <c r="A943" s="2" t="s">
        <v>7</v>
      </c>
      <c r="B943" s="2">
        <v>1.0</v>
      </c>
      <c r="D943" s="2" t="s">
        <v>926</v>
      </c>
    </row>
    <row r="944" ht="15.75" customHeight="1">
      <c r="A944" s="2" t="s">
        <v>970</v>
      </c>
      <c r="B944" s="2">
        <v>1.0</v>
      </c>
      <c r="D944" s="2" t="s">
        <v>927</v>
      </c>
    </row>
    <row r="945" ht="15.75" customHeight="1">
      <c r="A945" s="2" t="s">
        <v>37</v>
      </c>
      <c r="B945" s="2">
        <v>1.0</v>
      </c>
      <c r="D945" s="2" t="s">
        <v>928</v>
      </c>
    </row>
    <row r="946" ht="15.75" customHeight="1">
      <c r="A946" s="2" t="s">
        <v>161</v>
      </c>
      <c r="B946" s="2">
        <v>1.0</v>
      </c>
      <c r="D946" s="2" t="s">
        <v>929</v>
      </c>
    </row>
    <row r="947" ht="15.75" customHeight="1">
      <c r="A947" s="1" t="s">
        <v>701</v>
      </c>
      <c r="B947" s="1"/>
      <c r="C947" s="5">
        <f>B948+B949+B950+B951+B952+B953+B954+B955</f>
        <v>8</v>
      </c>
      <c r="D947" s="2" t="s">
        <v>921</v>
      </c>
      <c r="F947" s="2" t="str">
        <f>A947</f>
        <v>IAB-RP-W01</v>
      </c>
      <c r="G947" s="2" t="str">
        <f>A948</f>
        <v>4 WALLS INSIDE OUTSIDE (Est‐)</v>
      </c>
      <c r="H947" s="2" t="str">
        <f>A949</f>
        <v>Office Address: House‐246, Road‐19, New DOHS, Mohakhali, Dhaka‐1206</v>
      </c>
      <c r="I947" s="2" t="str">
        <f>A950</f>
        <v>Email ID: wahidasif@gmaii.com Contact: +88 01711433431 +88 02‐9890003</v>
      </c>
      <c r="J947" s="2" t="str">
        <f>A951</f>
        <v>Website: www.4wallsbd.com</v>
      </c>
      <c r="K947" s="2" t="str">
        <f>A952</f>
        <v>NAME OF PROPRIETOR/ PARTNER/ DIRECTOR(s) &amp; DESIGNATION</v>
      </c>
      <c r="L947" s="2" t="str">
        <f>A953</f>
        <v>Ar. M. Wahid Asif (A‐117) Principal Architect</v>
      </c>
      <c r="M947" s="2" t="str">
        <f>A954</f>
        <v>FULL TIME ARCHITECTURAL PERSONNEL OF THE FIRM/COMPANY:</v>
      </c>
      <c r="N947" s="2" t="str">
        <f>A955</f>
        <v>IAB Member Architect Architectural Graduate Total</v>
      </c>
    </row>
    <row r="948" ht="15.75" customHeight="1">
      <c r="A948" s="2" t="s">
        <v>702</v>
      </c>
      <c r="B948" s="2">
        <v>1.0</v>
      </c>
      <c r="D948" s="2" t="s">
        <v>922</v>
      </c>
    </row>
    <row r="949" ht="15.75" customHeight="1">
      <c r="A949" s="2" t="s">
        <v>703</v>
      </c>
      <c r="B949" s="2">
        <v>1.0</v>
      </c>
      <c r="D949" s="2" t="s">
        <v>923</v>
      </c>
    </row>
    <row r="950" ht="15.75" customHeight="1">
      <c r="A950" s="2" t="s">
        <v>704</v>
      </c>
      <c r="B950" s="2">
        <v>1.0</v>
      </c>
      <c r="D950" s="2" t="s">
        <v>924</v>
      </c>
    </row>
    <row r="951" ht="15.75" customHeight="1">
      <c r="A951" s="2" t="s">
        <v>705</v>
      </c>
      <c r="B951" s="2">
        <v>1.0</v>
      </c>
      <c r="D951" s="2" t="s">
        <v>925</v>
      </c>
    </row>
    <row r="952" ht="15.75" customHeight="1">
      <c r="A952" s="2" t="s">
        <v>7</v>
      </c>
      <c r="B952" s="2">
        <v>1.0</v>
      </c>
      <c r="D952" s="2" t="s">
        <v>926</v>
      </c>
    </row>
    <row r="953" ht="15.75" customHeight="1">
      <c r="A953" s="2" t="s">
        <v>706</v>
      </c>
      <c r="B953" s="2">
        <v>1.0</v>
      </c>
      <c r="D953" s="2" t="s">
        <v>927</v>
      </c>
    </row>
    <row r="954" ht="15.75" customHeight="1">
      <c r="A954" s="2" t="s">
        <v>37</v>
      </c>
      <c r="B954" s="2">
        <v>1.0</v>
      </c>
      <c r="D954" s="2" t="s">
        <v>928</v>
      </c>
    </row>
    <row r="955" ht="15.75" customHeight="1">
      <c r="A955" s="2" t="s">
        <v>161</v>
      </c>
      <c r="B955" s="2">
        <v>1.0</v>
      </c>
      <c r="D955" s="2" t="s">
        <v>929</v>
      </c>
    </row>
    <row r="956" ht="15.75" customHeight="1">
      <c r="A956" s="1" t="s">
        <v>707</v>
      </c>
      <c r="B956" s="1"/>
      <c r="C956" s="5">
        <f>B957+B958+B959+B960+B961+B962+B963+B964</f>
        <v>8</v>
      </c>
      <c r="D956" s="2" t="s">
        <v>921</v>
      </c>
      <c r="F956" s="2" t="str">
        <f>A956</f>
        <v>IAB-RP-A01</v>
      </c>
      <c r="G956" s="2" t="str">
        <f>A957</f>
        <v>ABASHAN UPODESHTA LIMITED (Est-1996)</v>
      </c>
      <c r="H956" s="2" t="str">
        <f>A958</f>
        <v>Office Address: Bengal Centre, Plot 2, Civil Aviation, New Airport Road, Khilkhet, Dhaka-1229</v>
      </c>
      <c r="I956" s="2" t="str">
        <f>A959</f>
        <v>Email ID: mail@abashan.com</v>
      </c>
      <c r="J956" s="2" t="str">
        <f>A960</f>
        <v>Website : www.abashan.com Contact: +88-02-8901185, 8901180</v>
      </c>
      <c r="K956" s="2" t="str">
        <f>A961</f>
        <v>NAME OF PROPRIETOR/ PARTNER/ DIRECTOR(s) &amp; DESIGNATION:</v>
      </c>
      <c r="L956" s="2" t="str">
        <f>A962</f>
        <v>Ar. Luva Nahid Chowdhury (C-018) Managing Director</v>
      </c>
      <c r="M956" s="2" t="str">
        <f>A963</f>
        <v>FULL TIME TECHNICAL PERSONNEL OF THE FIRM/COMPANY:</v>
      </c>
      <c r="N956" s="2" t="str">
        <f>A964</f>
        <v>IAB Member Architect 3 Architectural Graduate 2 Total 5</v>
      </c>
    </row>
    <row r="957" ht="15.75" customHeight="1">
      <c r="A957" s="2" t="s">
        <v>708</v>
      </c>
      <c r="B957" s="2">
        <v>1.0</v>
      </c>
      <c r="D957" s="2" t="s">
        <v>922</v>
      </c>
    </row>
    <row r="958" ht="15.75" customHeight="1">
      <c r="A958" s="2" t="s">
        <v>709</v>
      </c>
      <c r="B958" s="2">
        <v>1.0</v>
      </c>
      <c r="D958" s="2" t="s">
        <v>923</v>
      </c>
    </row>
    <row r="959" ht="15.75" customHeight="1">
      <c r="A959" s="2" t="s">
        <v>710</v>
      </c>
      <c r="B959" s="2">
        <v>1.0</v>
      </c>
      <c r="D959" s="2" t="s">
        <v>924</v>
      </c>
    </row>
    <row r="960" ht="15.75" customHeight="1">
      <c r="A960" s="2" t="s">
        <v>711</v>
      </c>
      <c r="B960" s="2">
        <v>1.0</v>
      </c>
      <c r="D960" s="2" t="s">
        <v>925</v>
      </c>
    </row>
    <row r="961" ht="15.75" customHeight="1">
      <c r="A961" s="2" t="s">
        <v>44</v>
      </c>
      <c r="B961" s="2">
        <v>1.0</v>
      </c>
      <c r="D961" s="2" t="s">
        <v>926</v>
      </c>
    </row>
    <row r="962" ht="15.75" customHeight="1">
      <c r="A962" s="2" t="s">
        <v>712</v>
      </c>
      <c r="B962" s="2">
        <v>1.0</v>
      </c>
      <c r="D962" s="2" t="s">
        <v>927</v>
      </c>
    </row>
    <row r="963" ht="15.75" customHeight="1">
      <c r="A963" s="2" t="s">
        <v>9</v>
      </c>
      <c r="B963" s="2">
        <v>1.0</v>
      </c>
      <c r="D963" s="2" t="s">
        <v>928</v>
      </c>
    </row>
    <row r="964" ht="15.75" customHeight="1">
      <c r="A964" s="2" t="s">
        <v>146</v>
      </c>
      <c r="B964" s="2">
        <v>1.0</v>
      </c>
      <c r="D964" s="2" t="s">
        <v>929</v>
      </c>
    </row>
    <row r="965" ht="15.75" customHeight="1">
      <c r="A965" s="1" t="s">
        <v>713</v>
      </c>
      <c r="B965" s="1"/>
      <c r="C965" s="5">
        <f>B966+B967+B968+B970+B971+B972+B973+B974</f>
        <v>7</v>
      </c>
      <c r="D965" s="2" t="s">
        <v>921</v>
      </c>
      <c r="F965" s="2" t="str">
        <f>A965</f>
        <v>IAB-RP-A02</v>
      </c>
      <c r="G965" s="2" t="str">
        <f>A966</f>
        <v>ADS ARCHITECTS DESIGN STUDIO (Est-2005)</v>
      </c>
      <c r="H965" s="2" t="str">
        <f>A967</f>
        <v>Office Address: House#29-31, Road#18, Sector#7, Uttara , Dhaka 1230</v>
      </c>
      <c r="I965" s="2" t="str">
        <f>A968</f>
        <v>Email ID: ads.architectstudio@gmail.com Contact: +88-02-8950536</v>
      </c>
      <c r="J965" s="2" t="str">
        <f>A969</f>
        <v>website:</v>
      </c>
      <c r="K965" s="2" t="str">
        <f>A970</f>
        <v>NAME OF PROPRIETOR/ PARTNER/ DIRECTOR(s) &amp; DESIGNATION:</v>
      </c>
      <c r="L965" s="2" t="str">
        <f>A971</f>
        <v>Ar. Md. Sayedul Hasan (H-103) Principal Architect</v>
      </c>
      <c r="M965" s="2" t="str">
        <f>A972</f>
        <v>FULL TIME TECHNICAL PERSONNEL OF THE FIRM/COMPANY:</v>
      </c>
      <c r="N965" s="2" t="str">
        <f>A973</f>
        <v>IAB Member Architect 4 Architectural Graduate 1 Total 5</v>
      </c>
    </row>
    <row r="966" ht="15.75" customHeight="1">
      <c r="A966" s="2" t="s">
        <v>714</v>
      </c>
      <c r="B966" s="2">
        <v>1.0</v>
      </c>
      <c r="D966" s="2" t="s">
        <v>922</v>
      </c>
    </row>
    <row r="967" ht="15.75" customHeight="1">
      <c r="A967" s="2" t="s">
        <v>715</v>
      </c>
      <c r="B967" s="2">
        <v>1.0</v>
      </c>
      <c r="D967" s="2" t="s">
        <v>923</v>
      </c>
    </row>
    <row r="968" ht="15.75" customHeight="1">
      <c r="A968" s="2" t="s">
        <v>716</v>
      </c>
      <c r="B968" s="2">
        <v>1.0</v>
      </c>
      <c r="D968" s="2" t="s">
        <v>924</v>
      </c>
    </row>
    <row r="969" ht="15.75" customHeight="1">
      <c r="A969" s="2" t="s">
        <v>936</v>
      </c>
      <c r="B969" s="2">
        <v>1.0</v>
      </c>
      <c r="D969" s="2" t="s">
        <v>925</v>
      </c>
    </row>
    <row r="970" ht="15.75" customHeight="1">
      <c r="A970" s="2" t="s">
        <v>44</v>
      </c>
      <c r="B970" s="2">
        <v>1.0</v>
      </c>
      <c r="D970" s="2" t="s">
        <v>926</v>
      </c>
    </row>
    <row r="971" ht="15.75" customHeight="1">
      <c r="A971" s="2" t="s">
        <v>717</v>
      </c>
      <c r="B971" s="2">
        <v>1.0</v>
      </c>
      <c r="D971" s="2" t="s">
        <v>927</v>
      </c>
    </row>
    <row r="972" ht="15.75" customHeight="1">
      <c r="A972" s="2" t="s">
        <v>9</v>
      </c>
      <c r="B972" s="2">
        <v>1.0</v>
      </c>
      <c r="D972" s="2" t="s">
        <v>928</v>
      </c>
    </row>
    <row r="973" ht="15.75" customHeight="1">
      <c r="A973" s="2" t="s">
        <v>718</v>
      </c>
      <c r="B973" s="2">
        <v>1.0</v>
      </c>
      <c r="D973" s="2" t="s">
        <v>929</v>
      </c>
    </row>
    <row r="974" ht="15.75" customHeight="1">
      <c r="A974" s="1" t="s">
        <v>719</v>
      </c>
      <c r="B974" s="1"/>
      <c r="C974" s="5">
        <f>B975+B976+B977+B978+B979+B980+B981+B982</f>
        <v>8</v>
      </c>
      <c r="D974" s="2" t="s">
        <v>921</v>
      </c>
      <c r="F974" s="2" t="str">
        <f>A974</f>
        <v>IAB-RP-A03</v>
      </c>
      <c r="G974" s="2" t="str">
        <f>A975</f>
        <v>AKRITY (Est-2008)</v>
      </c>
      <c r="H974" s="2" t="str">
        <f>A976</f>
        <v>Office Address: House-10/GA (GF), Road-2, Shyamoli, Dhaka</v>
      </c>
      <c r="I974" s="2" t="str">
        <f>A977</f>
        <v>Email ID: akriti.si@gmail.com,</v>
      </c>
      <c r="J974" s="2" t="str">
        <f>A978</f>
        <v>Website : www.akritybd.com Contact: +88-02-9111557</v>
      </c>
      <c r="K974" s="2" t="str">
        <f>A979</f>
        <v>NAME OF PROPRIETOR/ PARTNER/ DIRECTOR(s) &amp; DESIGNATION</v>
      </c>
      <c r="L974" s="2" t="str">
        <f>A980</f>
        <v>Ar. Monir Hossain Khan (K-104) Architect</v>
      </c>
      <c r="M974" s="2" t="str">
        <f>A981</f>
        <v>FULL TIME TECHNICAL PERSONNEL OF THE FIRM/COMPANY:</v>
      </c>
      <c r="N974" s="2" t="str">
        <f>A982</f>
        <v>IAB Member Architect 1 Architectural Graduate 7 Total 8</v>
      </c>
    </row>
    <row r="975" ht="15.75" customHeight="1">
      <c r="A975" s="2" t="s">
        <v>720</v>
      </c>
      <c r="B975" s="2">
        <v>1.0</v>
      </c>
      <c r="D975" s="2" t="s">
        <v>922</v>
      </c>
    </row>
    <row r="976" ht="15.75" customHeight="1">
      <c r="A976" s="2" t="s">
        <v>721</v>
      </c>
      <c r="B976" s="2">
        <v>1.0</v>
      </c>
      <c r="D976" s="2" t="s">
        <v>923</v>
      </c>
    </row>
    <row r="977" ht="15.75" customHeight="1">
      <c r="A977" s="2" t="s">
        <v>722</v>
      </c>
      <c r="B977" s="2">
        <v>1.0</v>
      </c>
      <c r="D977" s="2" t="s">
        <v>924</v>
      </c>
    </row>
    <row r="978" ht="15.75" customHeight="1">
      <c r="A978" s="2" t="s">
        <v>723</v>
      </c>
      <c r="B978" s="2">
        <v>1.0</v>
      </c>
      <c r="D978" s="2" t="s">
        <v>925</v>
      </c>
    </row>
    <row r="979" ht="15.75" customHeight="1">
      <c r="A979" s="2" t="s">
        <v>7</v>
      </c>
      <c r="B979" s="2">
        <v>1.0</v>
      </c>
      <c r="D979" s="2" t="s">
        <v>926</v>
      </c>
    </row>
    <row r="980" ht="15.75" customHeight="1">
      <c r="A980" s="2" t="s">
        <v>724</v>
      </c>
      <c r="B980" s="2">
        <v>1.0</v>
      </c>
      <c r="D980" s="2" t="s">
        <v>927</v>
      </c>
    </row>
    <row r="981" ht="15.75" customHeight="1">
      <c r="A981" s="2" t="s">
        <v>9</v>
      </c>
      <c r="B981" s="2">
        <v>1.0</v>
      </c>
      <c r="D981" s="2" t="s">
        <v>928</v>
      </c>
    </row>
    <row r="982" ht="15.75" customHeight="1">
      <c r="A982" s="2" t="s">
        <v>346</v>
      </c>
      <c r="B982" s="2">
        <v>1.0</v>
      </c>
      <c r="D982" s="2" t="s">
        <v>929</v>
      </c>
    </row>
    <row r="983" ht="15.75" customHeight="1">
      <c r="A983" s="1" t="s">
        <v>725</v>
      </c>
      <c r="B983" s="1"/>
      <c r="C983" s="5">
        <f>B984+B985+B986+B988+B989+B990+B991+B992</f>
        <v>7</v>
      </c>
      <c r="D983" s="2" t="s">
        <v>921</v>
      </c>
      <c r="F983" s="2" t="str">
        <f>A983</f>
        <v>IAB-RP-A04</v>
      </c>
      <c r="G983" s="2" t="str">
        <f>A984</f>
        <v>ANWAR &amp; ASSOCIATES (Est-25/01/2006)</v>
      </c>
      <c r="H983" s="2" t="str">
        <f>A985</f>
        <v>Office Address: House #221(GF), Road -15, New DOHS, Mohakhali, Dhaka 1206.</v>
      </c>
      <c r="I983" s="2" t="str">
        <f>A986</f>
        <v>Email ID: ahaq06@yahoo.com Contact: +88-02-8837313</v>
      </c>
      <c r="J983" s="2" t="str">
        <f>A987</f>
        <v>website:</v>
      </c>
      <c r="K983" s="2" t="str">
        <f>A988</f>
        <v>NAME OF PROPRIETOR/ PARTNER/ DIRECTOR(s) &amp; DESIGNATION</v>
      </c>
      <c r="L983" s="2" t="str">
        <f>A989</f>
        <v>Ar. Anwarul Haq Chow (C-021) Principal Architect</v>
      </c>
      <c r="M983" s="2" t="str">
        <f>A990</f>
        <v>FULL TIME TECHNICAL PERSONNEL OF THE FIRM/COMPANY:</v>
      </c>
      <c r="N983" s="2" t="str">
        <f>A991</f>
        <v>Architectural Staff 1 Architectural Graduate 3 Total 4</v>
      </c>
    </row>
    <row r="984" ht="15.75" customHeight="1">
      <c r="A984" s="2" t="s">
        <v>726</v>
      </c>
      <c r="B984" s="2">
        <v>1.0</v>
      </c>
      <c r="D984" s="2" t="s">
        <v>922</v>
      </c>
    </row>
    <row r="985" ht="15.75" customHeight="1">
      <c r="A985" s="2" t="s">
        <v>727</v>
      </c>
      <c r="B985" s="2">
        <v>1.0</v>
      </c>
      <c r="D985" s="2" t="s">
        <v>923</v>
      </c>
    </row>
    <row r="986" ht="15.75" customHeight="1">
      <c r="A986" s="2" t="s">
        <v>728</v>
      </c>
      <c r="B986" s="2">
        <v>1.0</v>
      </c>
      <c r="D986" s="2" t="s">
        <v>924</v>
      </c>
    </row>
    <row r="987" ht="15.75" customHeight="1">
      <c r="A987" s="2" t="s">
        <v>936</v>
      </c>
      <c r="B987" s="2">
        <v>1.0</v>
      </c>
      <c r="D987" s="2" t="s">
        <v>925</v>
      </c>
    </row>
    <row r="988" ht="15.75" customHeight="1">
      <c r="A988" s="2" t="s">
        <v>7</v>
      </c>
      <c r="B988" s="2">
        <v>1.0</v>
      </c>
      <c r="D988" s="2" t="s">
        <v>926</v>
      </c>
    </row>
    <row r="989" ht="15.75" customHeight="1">
      <c r="A989" s="2" t="s">
        <v>729</v>
      </c>
      <c r="B989" s="2">
        <v>1.0</v>
      </c>
      <c r="D989" s="2" t="s">
        <v>927</v>
      </c>
    </row>
    <row r="990" ht="15.75" customHeight="1">
      <c r="A990" s="2" t="s">
        <v>9</v>
      </c>
      <c r="B990" s="2">
        <v>1.0</v>
      </c>
      <c r="D990" s="2" t="s">
        <v>928</v>
      </c>
    </row>
    <row r="991" ht="15.75" customHeight="1">
      <c r="A991" s="2" t="s">
        <v>730</v>
      </c>
      <c r="B991" s="2">
        <v>1.0</v>
      </c>
      <c r="D991" s="2" t="s">
        <v>929</v>
      </c>
    </row>
    <row r="992" ht="15.75" customHeight="1">
      <c r="A992" s="1" t="s">
        <v>731</v>
      </c>
      <c r="B992" s="1"/>
      <c r="C992" s="5">
        <f>B993+B994+B995+B996+B997+B998+B999+B1000</f>
        <v>8</v>
      </c>
      <c r="D992" s="2" t="s">
        <v>921</v>
      </c>
      <c r="F992" s="2" t="str">
        <f>A992</f>
        <v>IAB-RP-A05</v>
      </c>
      <c r="G992" s="2" t="str">
        <f>A993</f>
        <v>ARC ARCHITECTURAL CONSULTANTS (Est-1982)</v>
      </c>
      <c r="H992" s="2" t="str">
        <f>A994</f>
        <v>Office Address: 60A, Road 7A, Dhanmondi, Dhaka-1209</v>
      </c>
      <c r="I992" s="2" t="str">
        <f>A995</f>
        <v>Email ID: arc.architect@gmail.com, nahaskhalil@yahoo.com</v>
      </c>
      <c r="J992" s="2" t="str">
        <f>A996</f>
        <v>Website : Contact: +88-02-8117462</v>
      </c>
      <c r="K992" s="2" t="str">
        <f>A997</f>
        <v>NAME OF PROPRIETOR/ PARTNER/ DIRECTOR(s) &amp; DESIGNATION</v>
      </c>
      <c r="L992" s="2" t="str">
        <f>A998</f>
        <v>Ar. Nahas Ahmed khalil (K-022) Principal Architect</v>
      </c>
      <c r="M992" s="2" t="str">
        <f>A999</f>
        <v>FULL TIME TECHNICAL PERSONNEL OF THE FIRM/COMPANY:</v>
      </c>
      <c r="N992" s="2" t="str">
        <f>A1000</f>
        <v>IAB Member Architect 5 Architectural Graduate 3 Total 8</v>
      </c>
    </row>
    <row r="993" ht="15.75" customHeight="1">
      <c r="A993" s="2" t="s">
        <v>732</v>
      </c>
      <c r="B993" s="2">
        <v>1.0</v>
      </c>
      <c r="D993" s="2" t="s">
        <v>922</v>
      </c>
    </row>
    <row r="994" ht="15.75" customHeight="1">
      <c r="A994" s="2" t="s">
        <v>733</v>
      </c>
      <c r="B994" s="2">
        <v>1.0</v>
      </c>
      <c r="D994" s="2" t="s">
        <v>923</v>
      </c>
    </row>
    <row r="995" ht="15.75" customHeight="1">
      <c r="A995" s="2" t="s">
        <v>734</v>
      </c>
      <c r="B995" s="2">
        <v>1.0</v>
      </c>
      <c r="D995" s="2" t="s">
        <v>924</v>
      </c>
    </row>
    <row r="996" ht="15.75" customHeight="1">
      <c r="A996" s="2" t="s">
        <v>735</v>
      </c>
      <c r="B996" s="2">
        <v>1.0</v>
      </c>
      <c r="D996" s="2" t="s">
        <v>925</v>
      </c>
    </row>
    <row r="997" ht="15.75" customHeight="1">
      <c r="A997" s="2" t="s">
        <v>7</v>
      </c>
      <c r="B997" s="2">
        <v>1.0</v>
      </c>
      <c r="D997" s="2" t="s">
        <v>926</v>
      </c>
    </row>
    <row r="998" ht="15.75" customHeight="1">
      <c r="A998" s="2" t="s">
        <v>736</v>
      </c>
      <c r="B998" s="2">
        <v>1.0</v>
      </c>
      <c r="D998" s="2" t="s">
        <v>927</v>
      </c>
    </row>
    <row r="999" ht="15.75" customHeight="1">
      <c r="A999" s="2" t="s">
        <v>9</v>
      </c>
      <c r="B999" s="2">
        <v>1.0</v>
      </c>
      <c r="D999" s="2" t="s">
        <v>928</v>
      </c>
    </row>
    <row r="1000" ht="15.75" customHeight="1">
      <c r="A1000" s="2" t="s">
        <v>737</v>
      </c>
      <c r="B1000" s="2">
        <v>1.0</v>
      </c>
      <c r="D1000" s="2" t="s">
        <v>929</v>
      </c>
    </row>
    <row r="1001" ht="15.75" customHeight="1">
      <c r="A1001" s="1" t="s">
        <v>738</v>
      </c>
      <c r="B1001" s="1"/>
      <c r="C1001" s="5">
        <f>B1002+B1003+B1004+B1006+B1007+B1005+B1008+B1009</f>
        <v>8</v>
      </c>
      <c r="D1001" s="2" t="s">
        <v>921</v>
      </c>
      <c r="F1001" s="2" t="str">
        <f>A1001</f>
        <v>IAB-RP-A06</v>
      </c>
      <c r="G1001" s="2" t="str">
        <f>A1002</f>
        <v>ARCHDOERS (Est-2012)</v>
      </c>
      <c r="H1001" s="2" t="str">
        <f>A1003</f>
        <v>Office Address: H#252,R#19(old),West Dhanmondi,Dhaka-1209</v>
      </c>
      <c r="I1001" s="2" t="str">
        <f>A1004</f>
        <v>Email ID: archdoers@gmail.com Contact: 01816506988, 01816506989</v>
      </c>
      <c r="J1001" s="2" t="str">
        <f>A1005</f>
        <v>website:</v>
      </c>
      <c r="K1001" s="2" t="str">
        <f>A1006</f>
        <v>NAME OF PROPRIETOR/ PARTNER/ DIRECTOR(s) &amp; DESIGNATION</v>
      </c>
      <c r="L1001" s="2" t="str">
        <f>A1007</f>
        <v>Ar. Quazi Fahima Naz (N-024) Partner Architect &amp; Ar. Subrata CH.Sikder (S-112) Partner Architect</v>
      </c>
      <c r="M1001" s="2" t="str">
        <f>A1008</f>
        <v>FULL TIME TECHNICAL PERSONNEL OF THE FIRM/COMPANY:</v>
      </c>
      <c r="N1001" s="2" t="str">
        <f>A1009</f>
        <v>IAB Member Architect 3 Architectural Graduate 2 Total 5</v>
      </c>
    </row>
    <row r="1002" ht="15.75" customHeight="1">
      <c r="A1002" s="2" t="s">
        <v>739</v>
      </c>
      <c r="B1002" s="2">
        <v>1.0</v>
      </c>
      <c r="D1002" s="2" t="s">
        <v>922</v>
      </c>
    </row>
    <row r="1003" ht="15.75" customHeight="1">
      <c r="A1003" s="2" t="s">
        <v>740</v>
      </c>
      <c r="B1003" s="2">
        <v>1.0</v>
      </c>
      <c r="D1003" s="2" t="s">
        <v>923</v>
      </c>
    </row>
    <row r="1004" ht="15.75" customHeight="1">
      <c r="A1004" s="2" t="s">
        <v>741</v>
      </c>
      <c r="B1004" s="2">
        <v>1.0</v>
      </c>
      <c r="D1004" s="2" t="s">
        <v>924</v>
      </c>
    </row>
    <row r="1005" ht="15.75" customHeight="1">
      <c r="A1005" s="2" t="s">
        <v>936</v>
      </c>
      <c r="B1005" s="2">
        <v>1.0</v>
      </c>
      <c r="D1005" s="2" t="s">
        <v>925</v>
      </c>
    </row>
    <row r="1006" ht="15.75" customHeight="1">
      <c r="A1006" s="2" t="s">
        <v>7</v>
      </c>
      <c r="B1006" s="2">
        <v>1.0</v>
      </c>
      <c r="D1006" s="2" t="s">
        <v>926</v>
      </c>
    </row>
    <row r="1007" ht="15.75" customHeight="1">
      <c r="A1007" s="2" t="s">
        <v>971</v>
      </c>
      <c r="B1007" s="2">
        <v>1.0</v>
      </c>
      <c r="D1007" s="2" t="s">
        <v>927</v>
      </c>
    </row>
    <row r="1008" ht="15.75" customHeight="1">
      <c r="A1008" s="2" t="s">
        <v>9</v>
      </c>
      <c r="B1008" s="2">
        <v>1.0</v>
      </c>
      <c r="D1008" s="2" t="s">
        <v>928</v>
      </c>
    </row>
    <row r="1009" ht="15.75" customHeight="1">
      <c r="A1009" s="2" t="s">
        <v>146</v>
      </c>
      <c r="B1009" s="2">
        <v>1.0</v>
      </c>
      <c r="D1009" s="2" t="s">
        <v>929</v>
      </c>
    </row>
    <row r="1010" ht="15.75" customHeight="1">
      <c r="A1010" s="1" t="s">
        <v>744</v>
      </c>
      <c r="B1010" s="1"/>
      <c r="C1010" s="5">
        <f>B1011+B1012+B1013+B1014+B1015+B1016+B1017+B1018</f>
        <v>8</v>
      </c>
      <c r="D1010" s="2" t="s">
        <v>921</v>
      </c>
      <c r="F1010" s="2" t="str">
        <f>A1010</f>
        <v>IAB-RP-A07</v>
      </c>
      <c r="G1010" s="2" t="str">
        <f>A1011</f>
        <v>ARCHEGROUND LTD. (Est-2012)</v>
      </c>
      <c r="H1010" s="2" t="str">
        <f>A1012</f>
        <v>Office Address: “NoorMahal”, 44/1, Lake-Circus, Kalabagan, Dhaka-1205</v>
      </c>
      <c r="I1010" s="2" t="str">
        <f>A1013</f>
        <v>Email ID: studio@archeground.com, arche_ground@yahoo.com</v>
      </c>
      <c r="J1010" s="2" t="str">
        <f>A1014</f>
        <v>Website : www.archeground.com Contact: +88-02-9138516</v>
      </c>
      <c r="K1010" s="2" t="str">
        <f>A1015</f>
        <v>NAME OF PROPRIETOR/ PARTNER/ DIRECTOR(s) &amp; DESIGNATION</v>
      </c>
      <c r="L1010" s="2" t="str">
        <f>A1016</f>
        <v>Ar. Nabi Newaz Khan (K-106) Chairman &amp; Ar. Lutfullahil Majid (M-076) Managing Director &amp; Ar. Md. Jubair Hasan (H-163) Director</v>
      </c>
      <c r="M1010" s="2" t="str">
        <f>A1017</f>
        <v>FULL TIME TECHNICAL PERSONNEL OF THE FIRM/COMPANY:</v>
      </c>
      <c r="N1010" s="2" t="str">
        <f>A1018</f>
        <v>IAB Member Architect 6 Architectural Graduate 3 Total 9</v>
      </c>
    </row>
    <row r="1011" ht="15.75" customHeight="1">
      <c r="A1011" s="2" t="s">
        <v>745</v>
      </c>
      <c r="B1011" s="2">
        <v>1.0</v>
      </c>
      <c r="D1011" s="2" t="s">
        <v>922</v>
      </c>
    </row>
    <row r="1012" ht="15.75" customHeight="1">
      <c r="A1012" s="2" t="s">
        <v>746</v>
      </c>
      <c r="B1012" s="2">
        <v>1.0</v>
      </c>
      <c r="D1012" s="2" t="s">
        <v>923</v>
      </c>
    </row>
    <row r="1013" ht="15.75" customHeight="1">
      <c r="A1013" s="2" t="s">
        <v>747</v>
      </c>
      <c r="B1013" s="2">
        <v>1.0</v>
      </c>
      <c r="D1013" s="2" t="s">
        <v>924</v>
      </c>
    </row>
    <row r="1014" ht="15.75" customHeight="1">
      <c r="A1014" s="2" t="s">
        <v>748</v>
      </c>
      <c r="B1014" s="2">
        <v>1.0</v>
      </c>
      <c r="D1014" s="2" t="s">
        <v>925</v>
      </c>
    </row>
    <row r="1015" ht="15.75" customHeight="1">
      <c r="A1015" s="2" t="s">
        <v>7</v>
      </c>
      <c r="B1015" s="2">
        <v>1.0</v>
      </c>
      <c r="D1015" s="2" t="s">
        <v>926</v>
      </c>
    </row>
    <row r="1016" ht="15.75" customHeight="1">
      <c r="A1016" s="2" t="s">
        <v>972</v>
      </c>
      <c r="B1016" s="2">
        <v>1.0</v>
      </c>
      <c r="D1016" s="2" t="s">
        <v>927</v>
      </c>
    </row>
    <row r="1017" ht="15.75" customHeight="1">
      <c r="A1017" s="2" t="s">
        <v>9</v>
      </c>
      <c r="B1017" s="2">
        <v>1.0</v>
      </c>
      <c r="D1017" s="2" t="s">
        <v>928</v>
      </c>
    </row>
    <row r="1018" ht="15.75" customHeight="1">
      <c r="A1018" s="2" t="s">
        <v>752</v>
      </c>
      <c r="B1018" s="2">
        <v>1.0</v>
      </c>
      <c r="D1018" s="2" t="s">
        <v>929</v>
      </c>
    </row>
    <row r="1019" ht="15.75" customHeight="1">
      <c r="A1019" s="1" t="s">
        <v>753</v>
      </c>
      <c r="B1019" s="1"/>
      <c r="C1019" s="5">
        <f>B1020+B1021+B1022+B1024+B1025+B1023+B1026+B1027</f>
        <v>8</v>
      </c>
      <c r="D1019" s="2" t="s">
        <v>921</v>
      </c>
      <c r="F1019" s="2" t="str">
        <f>A1019</f>
        <v>IAB-RP-A08</v>
      </c>
      <c r="G1019" s="2" t="str">
        <f>A1020</f>
        <v>ARCHFIELD (Est-2010)</v>
      </c>
      <c r="H1019" s="2" t="str">
        <f>A1021</f>
        <v>Office Address: 32/D, Road-10, Banani</v>
      </c>
      <c r="I1019" s="2" t="str">
        <f>A1022</f>
        <v>Email ID: archfield2010@gmail.com Contact: 01713338002, 01819117710</v>
      </c>
      <c r="J1019" s="2" t="str">
        <f>A1023</f>
        <v>website:</v>
      </c>
      <c r="K1019" s="2" t="str">
        <f>A1024</f>
        <v>NAME OF PROPRIETOR/ PARTNER/ DIRECTOR(s) &amp; DESIGNATION</v>
      </c>
      <c r="L1019" s="2" t="str">
        <f>A1025</f>
        <v>Ar. Syeda Nitee Mahbub (M-090) Partner &amp; Ar. Wares-Ul-Ambia (A-145) Partner</v>
      </c>
      <c r="M1019" s="2" t="str">
        <f>A1026</f>
        <v>FULL TIME TECHNICAL PERSONNEL OF THE FIRM/COMPANY:</v>
      </c>
      <c r="N1019" s="2" t="str">
        <f>A1027</f>
        <v>IAB Member Architect 4 Architectural Graduate 1 Total 05</v>
      </c>
    </row>
    <row r="1020" ht="15.75" customHeight="1">
      <c r="A1020" s="2" t="s">
        <v>754</v>
      </c>
      <c r="B1020" s="2">
        <v>1.0</v>
      </c>
      <c r="D1020" s="2" t="s">
        <v>922</v>
      </c>
    </row>
    <row r="1021" ht="15.75" customHeight="1">
      <c r="A1021" s="2" t="s">
        <v>755</v>
      </c>
      <c r="B1021" s="2">
        <v>1.0</v>
      </c>
      <c r="D1021" s="2" t="s">
        <v>923</v>
      </c>
    </row>
    <row r="1022" ht="15.75" customHeight="1">
      <c r="A1022" s="2" t="s">
        <v>756</v>
      </c>
      <c r="B1022" s="2">
        <v>1.0</v>
      </c>
      <c r="D1022" s="2" t="s">
        <v>924</v>
      </c>
    </row>
    <row r="1023" ht="15.75" customHeight="1">
      <c r="A1023" s="2" t="s">
        <v>936</v>
      </c>
      <c r="B1023" s="2">
        <v>1.0</v>
      </c>
      <c r="D1023" s="2" t="s">
        <v>925</v>
      </c>
    </row>
    <row r="1024" ht="15.75" customHeight="1">
      <c r="A1024" s="2" t="s">
        <v>7</v>
      </c>
      <c r="B1024" s="2">
        <v>1.0</v>
      </c>
      <c r="D1024" s="2" t="s">
        <v>926</v>
      </c>
    </row>
    <row r="1025" ht="15.75" customHeight="1">
      <c r="A1025" s="2" t="s">
        <v>973</v>
      </c>
      <c r="B1025" s="2">
        <v>1.0</v>
      </c>
      <c r="D1025" s="2" t="s">
        <v>927</v>
      </c>
    </row>
    <row r="1026" ht="15.75" customHeight="1">
      <c r="A1026" s="2" t="s">
        <v>9</v>
      </c>
      <c r="B1026" s="2">
        <v>1.0</v>
      </c>
      <c r="D1026" s="2" t="s">
        <v>928</v>
      </c>
    </row>
    <row r="1027" ht="15.75" customHeight="1">
      <c r="A1027" s="2" t="s">
        <v>759</v>
      </c>
      <c r="B1027" s="2">
        <v>1.0</v>
      </c>
      <c r="D1027" s="2" t="s">
        <v>929</v>
      </c>
    </row>
    <row r="1028" ht="15.75" customHeight="1">
      <c r="A1028" s="1" t="s">
        <v>760</v>
      </c>
      <c r="B1028" s="1"/>
      <c r="C1028" s="5">
        <f>B1029+B1030+B1031+B1033+B1034+B1035+B1036+B1037+B1032</f>
        <v>8</v>
      </c>
      <c r="D1028" s="2" t="s">
        <v>921</v>
      </c>
      <c r="F1028" s="2" t="str">
        <f>A1028</f>
        <v>IAB-RP-A09</v>
      </c>
      <c r="G1028" s="2" t="str">
        <f>A1029</f>
        <v>ARCHITECT HASAN &amp; ASSOCIATES LTD. (Est-02/04/1998)</v>
      </c>
      <c r="H1028" s="2" t="str">
        <f>A1030</f>
        <v>Office Address: House# 1/4,Flat# C4,Block# C, Lalmatia, Dhaka-1207</v>
      </c>
      <c r="I1028" s="2" t="str">
        <f>A1031</f>
        <v>Email ID: cmfoundation@gmail.com Contact: +88-02-8125830</v>
      </c>
      <c r="J1028" s="2" t="str">
        <f>A1032</f>
        <v>website:</v>
      </c>
      <c r="K1028" s="2" t="str">
        <f>A1033</f>
        <v>NAME OF PROPRIETOR/ PARTNER/ DIRECTOR(s) &amp; DESIGNATION</v>
      </c>
      <c r="L1028" s="2" t="str">
        <f>A1034</f>
        <v>Ar. Md. Hasan Shams Uddin (S-014) Managing Director</v>
      </c>
      <c r="M1028" s="2" t="str">
        <f>A1035</f>
        <v>FULL TIME TECHNICAL PERSONNEL OF THE FIRM/COMPANY:</v>
      </c>
      <c r="N1028" s="2" t="str">
        <f>A1036</f>
        <v>IAB Member Architect 1 Architectural Graduate 5 Total 6</v>
      </c>
    </row>
    <row r="1029" ht="15.75" customHeight="1">
      <c r="A1029" s="2" t="s">
        <v>761</v>
      </c>
      <c r="B1029" s="2">
        <v>1.0</v>
      </c>
      <c r="D1029" s="2" t="s">
        <v>922</v>
      </c>
    </row>
    <row r="1030" ht="15.75" customHeight="1">
      <c r="A1030" s="2" t="s">
        <v>762</v>
      </c>
      <c r="B1030" s="2">
        <v>1.0</v>
      </c>
      <c r="D1030" s="2" t="s">
        <v>923</v>
      </c>
    </row>
    <row r="1031" ht="15.75" customHeight="1">
      <c r="A1031" s="2" t="s">
        <v>763</v>
      </c>
      <c r="B1031" s="2">
        <v>1.0</v>
      </c>
      <c r="D1031" s="2" t="s">
        <v>924</v>
      </c>
    </row>
    <row r="1032" ht="15.75" customHeight="1">
      <c r="A1032" s="2" t="s">
        <v>936</v>
      </c>
      <c r="B1032" s="2">
        <v>1.0</v>
      </c>
      <c r="D1032" s="2" t="s">
        <v>925</v>
      </c>
    </row>
    <row r="1033" ht="15.75" customHeight="1">
      <c r="A1033" s="2" t="s">
        <v>7</v>
      </c>
      <c r="B1033" s="2">
        <v>1.0</v>
      </c>
      <c r="D1033" s="2" t="s">
        <v>926</v>
      </c>
    </row>
    <row r="1034" ht="15.75" customHeight="1">
      <c r="A1034" s="2" t="s">
        <v>764</v>
      </c>
      <c r="B1034" s="2">
        <v>1.0</v>
      </c>
      <c r="D1034" s="2" t="s">
        <v>927</v>
      </c>
    </row>
    <row r="1035" ht="15.75" customHeight="1">
      <c r="A1035" s="2" t="s">
        <v>9</v>
      </c>
      <c r="B1035" s="2">
        <v>1.0</v>
      </c>
      <c r="D1035" s="2" t="s">
        <v>928</v>
      </c>
    </row>
    <row r="1036" ht="15.75" customHeight="1">
      <c r="A1036" s="2" t="s">
        <v>530</v>
      </c>
      <c r="B1036" s="2">
        <v>1.0</v>
      </c>
      <c r="D1036" s="2" t="s">
        <v>929</v>
      </c>
    </row>
    <row r="1037" ht="15.75" customHeight="1">
      <c r="A1037" s="1" t="s">
        <v>765</v>
      </c>
      <c r="B1037" s="1"/>
      <c r="C1037" s="5">
        <f>B1038+B1039+B1040+B1042+B1043+B1044+B1045+B1046+B1041</f>
        <v>8</v>
      </c>
      <c r="D1037" s="2" t="s">
        <v>921</v>
      </c>
      <c r="F1037" s="2" t="str">
        <f>A1037</f>
        <v>IAB-RP-A10</v>
      </c>
      <c r="G1037" s="2" t="str">
        <f>A1038</f>
        <v>ARCHITECTES CONTEMPORAIN (ARCON) (Est-1996)</v>
      </c>
      <c r="H1037" s="2" t="str">
        <f>A1039</f>
        <v>Office Address: House-2/8, Block-E, Lalmatia, Dhaka</v>
      </c>
      <c r="I1037" s="2" t="str">
        <f>A1040</f>
        <v>Email ID: sazal953@gmail.com Contact: 044-78004350, 044-78004353</v>
      </c>
      <c r="J1037" s="2" t="str">
        <f>A1041</f>
        <v>website:</v>
      </c>
      <c r="K1037" s="2" t="str">
        <f>A1042</f>
        <v>NAME OF PROPRIETOR/ PARTNER/ DIRECTOR(s) &amp; DESIGNATION</v>
      </c>
      <c r="L1037" s="2" t="str">
        <f>A1043</f>
        <v>Ar. S.M. Helaluddin Ahmed (A-101) Proprietor</v>
      </c>
      <c r="M1037" s="2" t="str">
        <f>A1044</f>
        <v>FULL TIME TECHNICAL PERSONNEL OF THE FIRM/COMPANY:</v>
      </c>
      <c r="N1037" s="2" t="str">
        <f>A1045</f>
        <v>IAB Member Architect 3 Architectural Graduate 1 Total 4</v>
      </c>
    </row>
    <row r="1038" ht="15.75" customHeight="1">
      <c r="A1038" s="2" t="s">
        <v>766</v>
      </c>
      <c r="B1038" s="2">
        <v>1.0</v>
      </c>
      <c r="D1038" s="2" t="s">
        <v>922</v>
      </c>
    </row>
    <row r="1039" ht="15.75" customHeight="1">
      <c r="A1039" s="2" t="s">
        <v>767</v>
      </c>
      <c r="B1039" s="2">
        <v>1.0</v>
      </c>
      <c r="D1039" s="2" t="s">
        <v>923</v>
      </c>
    </row>
    <row r="1040" ht="15.75" customHeight="1">
      <c r="A1040" s="2" t="s">
        <v>768</v>
      </c>
      <c r="B1040" s="2">
        <v>1.0</v>
      </c>
      <c r="D1040" s="2" t="s">
        <v>924</v>
      </c>
    </row>
    <row r="1041" ht="15.75" customHeight="1">
      <c r="A1041" s="2" t="s">
        <v>936</v>
      </c>
      <c r="B1041" s="2">
        <v>1.0</v>
      </c>
      <c r="D1041" s="2" t="s">
        <v>925</v>
      </c>
    </row>
    <row r="1042" ht="15.75" customHeight="1">
      <c r="A1042" s="2" t="s">
        <v>7</v>
      </c>
      <c r="B1042" s="2">
        <v>1.0</v>
      </c>
      <c r="D1042" s="2" t="s">
        <v>926</v>
      </c>
    </row>
    <row r="1043" ht="15.75" customHeight="1">
      <c r="A1043" s="2" t="s">
        <v>769</v>
      </c>
      <c r="B1043" s="2">
        <v>1.0</v>
      </c>
      <c r="D1043" s="2" t="s">
        <v>927</v>
      </c>
    </row>
    <row r="1044" ht="15.75" customHeight="1">
      <c r="A1044" s="2" t="s">
        <v>9</v>
      </c>
      <c r="B1044" s="2">
        <v>1.0</v>
      </c>
      <c r="D1044" s="2" t="s">
        <v>928</v>
      </c>
    </row>
    <row r="1045" ht="15.75" customHeight="1">
      <c r="A1045" s="2" t="s">
        <v>138</v>
      </c>
      <c r="B1045" s="2">
        <v>1.0</v>
      </c>
      <c r="D1045" s="2" t="s">
        <v>929</v>
      </c>
    </row>
    <row r="1046" ht="15.75" customHeight="1">
      <c r="A1046" s="1" t="s">
        <v>770</v>
      </c>
      <c r="B1046" s="1"/>
      <c r="C1046" s="5">
        <f>B1047+B1048+B1049+B1050+B1051+B1052+B1053+B1054</f>
        <v>8</v>
      </c>
      <c r="D1046" s="2" t="s">
        <v>921</v>
      </c>
      <c r="F1046" s="2" t="str">
        <f>A1046</f>
        <v>IAB-RP-A11</v>
      </c>
      <c r="G1046" s="2" t="str">
        <f>A1047</f>
        <v>ARCHIWORKS CONSULTANTS (Est-2009)</v>
      </c>
      <c r="H1046" s="2" t="str">
        <f>A1048</f>
        <v>Office Address: House-48, Road-02, Block-B, Niketan, Gulshan 01, Dhaka-1212</v>
      </c>
      <c r="I1046" s="2" t="str">
        <f>A1049</f>
        <v>Email ID: archiworks.bd@hotmail.com</v>
      </c>
      <c r="J1046" s="2" t="str">
        <f>A1050</f>
        <v>Website : www.archiworks.bd.wix.com/Home Contact:</v>
      </c>
      <c r="K1046" s="2" t="str">
        <f>A1051</f>
        <v>NAME OF PROPRIETOR/ PARTNER/ DIRECTOR(s) &amp; DESIGNATION</v>
      </c>
      <c r="L1046" s="2" t="str">
        <f>A1052</f>
        <v>Ar. Mohammad Arefeen Ibrahim (I-047) Proprietor</v>
      </c>
      <c r="M1046" s="2" t="str">
        <f>A1053</f>
        <v>FULL TIME TECHNICAL PERSONNEL OF THE FIRM/COMPANY:</v>
      </c>
      <c r="N1046" s="2" t="str">
        <f>A1054</f>
        <v>IAB Member Architect 4 Architectural Graduate 2 Total 6</v>
      </c>
    </row>
    <row r="1047" ht="15.75" customHeight="1">
      <c r="A1047" s="2" t="s">
        <v>771</v>
      </c>
      <c r="B1047" s="2">
        <v>1.0</v>
      </c>
      <c r="D1047" s="2" t="s">
        <v>922</v>
      </c>
    </row>
    <row r="1048" ht="15.75" customHeight="1">
      <c r="A1048" s="2" t="s">
        <v>772</v>
      </c>
      <c r="B1048" s="2">
        <v>1.0</v>
      </c>
      <c r="D1048" s="2" t="s">
        <v>923</v>
      </c>
    </row>
    <row r="1049" ht="15.75" customHeight="1">
      <c r="A1049" s="2" t="s">
        <v>773</v>
      </c>
      <c r="B1049" s="2">
        <v>1.0</v>
      </c>
      <c r="D1049" s="2" t="s">
        <v>924</v>
      </c>
    </row>
    <row r="1050" ht="15.75" customHeight="1">
      <c r="A1050" s="2" t="s">
        <v>774</v>
      </c>
      <c r="B1050" s="2">
        <v>1.0</v>
      </c>
      <c r="D1050" s="2" t="s">
        <v>925</v>
      </c>
    </row>
    <row r="1051" ht="15.75" customHeight="1">
      <c r="A1051" s="2" t="s">
        <v>7</v>
      </c>
      <c r="B1051" s="2">
        <v>1.0</v>
      </c>
      <c r="D1051" s="2" t="s">
        <v>926</v>
      </c>
    </row>
    <row r="1052" ht="15.75" customHeight="1">
      <c r="A1052" s="2" t="s">
        <v>775</v>
      </c>
      <c r="B1052" s="2">
        <v>1.0</v>
      </c>
      <c r="D1052" s="2" t="s">
        <v>927</v>
      </c>
    </row>
    <row r="1053" ht="15.75" customHeight="1">
      <c r="A1053" s="2" t="s">
        <v>9</v>
      </c>
      <c r="B1053" s="2">
        <v>1.0</v>
      </c>
      <c r="D1053" s="2" t="s">
        <v>928</v>
      </c>
    </row>
    <row r="1054" ht="15.75" customHeight="1">
      <c r="A1054" s="2" t="s">
        <v>334</v>
      </c>
      <c r="B1054" s="2">
        <v>1.0</v>
      </c>
      <c r="D1054" s="2" t="s">
        <v>929</v>
      </c>
    </row>
    <row r="1055" ht="15.75" customHeight="1">
      <c r="A1055" s="1" t="s">
        <v>776</v>
      </c>
      <c r="B1055" s="1"/>
      <c r="C1055" s="5">
        <f>B1056+B1057+B1058+B1059+B1060+B1061+B1062+B1063</f>
        <v>8</v>
      </c>
      <c r="D1055" s="2" t="s">
        <v>921</v>
      </c>
      <c r="F1055" s="2" t="str">
        <f>A1055</f>
        <v>IAB-RP-A12</v>
      </c>
      <c r="G1055" s="2" t="str">
        <f>A1056</f>
        <v>ARCHSEL (Est-1997)</v>
      </c>
      <c r="H1055" s="2" t="str">
        <f>A1057</f>
        <v>Office Address: 34/KA, Shyamoli Pisiculture H/S, Dhaka-1207</v>
      </c>
      <c r="I1055" s="2" t="str">
        <f>A1058</f>
        <v>Email ID: mail@archsel.com</v>
      </c>
      <c r="J1055" s="2" t="str">
        <f>A1059</f>
        <v>Website : www.archsel.com Contact: +88-02-8124698, 8116617</v>
      </c>
      <c r="K1055" s="2" t="str">
        <f>A1060</f>
        <v>NAME OF PROPRIETOR/ PARTNER/ DIRECTOR(s) &amp; DESIGNATION</v>
      </c>
      <c r="L1055" s="2" t="str">
        <f>A1061</f>
        <v>Ar. Imtiaz Farid Chowdhury(C-036) Chief Architect</v>
      </c>
      <c r="M1055" s="2" t="str">
        <f>A1062</f>
        <v>FULL TIME TECHNICAL PERSONNEL OF THE FIRM/COMPANY:</v>
      </c>
      <c r="N1055" s="2" t="str">
        <f>A1063</f>
        <v>IAB Member Architect 2 Architectural Graduate 6 Total 8</v>
      </c>
    </row>
    <row r="1056" ht="15.75" customHeight="1">
      <c r="A1056" s="2" t="s">
        <v>777</v>
      </c>
      <c r="B1056" s="2">
        <v>1.0</v>
      </c>
      <c r="D1056" s="2" t="s">
        <v>922</v>
      </c>
    </row>
    <row r="1057" ht="15.75" customHeight="1">
      <c r="A1057" s="2" t="s">
        <v>778</v>
      </c>
      <c r="B1057" s="2">
        <v>1.0</v>
      </c>
      <c r="D1057" s="2" t="s">
        <v>923</v>
      </c>
    </row>
    <row r="1058" ht="15.75" customHeight="1">
      <c r="A1058" s="2" t="s">
        <v>779</v>
      </c>
      <c r="B1058" s="2">
        <v>1.0</v>
      </c>
      <c r="D1058" s="2" t="s">
        <v>924</v>
      </c>
    </row>
    <row r="1059" ht="15.75" customHeight="1">
      <c r="A1059" s="2" t="s">
        <v>780</v>
      </c>
      <c r="B1059" s="2">
        <v>1.0</v>
      </c>
      <c r="D1059" s="2" t="s">
        <v>925</v>
      </c>
    </row>
    <row r="1060" ht="15.75" customHeight="1">
      <c r="A1060" s="2" t="s">
        <v>7</v>
      </c>
      <c r="B1060" s="2">
        <v>1.0</v>
      </c>
      <c r="D1060" s="2" t="s">
        <v>926</v>
      </c>
    </row>
    <row r="1061" ht="15.75" customHeight="1">
      <c r="A1061" s="2" t="s">
        <v>781</v>
      </c>
      <c r="B1061" s="2">
        <v>1.0</v>
      </c>
      <c r="D1061" s="2" t="s">
        <v>927</v>
      </c>
    </row>
    <row r="1062" ht="15.75" customHeight="1">
      <c r="A1062" s="2" t="s">
        <v>9</v>
      </c>
      <c r="B1062" s="2">
        <v>1.0</v>
      </c>
      <c r="D1062" s="2" t="s">
        <v>928</v>
      </c>
    </row>
    <row r="1063" ht="15.75" customHeight="1">
      <c r="A1063" s="2" t="s">
        <v>782</v>
      </c>
      <c r="B1063" s="2">
        <v>1.0</v>
      </c>
      <c r="D1063" s="2" t="s">
        <v>929</v>
      </c>
    </row>
    <row r="1064" ht="15.75" customHeight="1">
      <c r="A1064" s="1" t="s">
        <v>783</v>
      </c>
      <c r="B1064" s="1"/>
      <c r="C1064" s="5">
        <f>B1065+B1066+B1067+B1069+B1070+B1071+B1072+B1073+B1068</f>
        <v>8</v>
      </c>
      <c r="D1064" s="2" t="s">
        <v>921</v>
      </c>
      <c r="F1064" s="2" t="str">
        <f>A1064</f>
        <v>IAB-RP-A13</v>
      </c>
      <c r="G1064" s="2" t="str">
        <f>A1065</f>
        <v>ARESCON CONSULTANT (Est-2004)</v>
      </c>
      <c r="H1064" s="2" t="str">
        <f>A1066</f>
        <v>Office Address: 137-Jahanara Garden, 5th Floor, E-4, Green Road, Dhaka-1205</v>
      </c>
      <c r="I1064" s="2" t="str">
        <f>A1067</f>
        <v>Email ID: arescon@gmail.com Contact: +88-02-8151121</v>
      </c>
      <c r="J1064" s="2" t="str">
        <f>A1068</f>
        <v>website:</v>
      </c>
      <c r="K1064" s="2" t="str">
        <f>A1069</f>
        <v>NAME OF PROPRIETOR/ PARTNER/ DIRECTOR(s) &amp; DESIGNATION</v>
      </c>
      <c r="L1064" s="2" t="str">
        <f>A1070</f>
        <v>Ar. Md. Helal Uddin (U-006) CEO/Proprietor</v>
      </c>
      <c r="M1064" s="2" t="str">
        <f>A1071</f>
        <v>FULL TIME TECHNICAL PERSONNEL OF THE FIRM/COMPANY:</v>
      </c>
      <c r="N1064" s="2" t="str">
        <f>A1072</f>
        <v>IAB Member Architect 1 Architectural Graduate 4 Total 5</v>
      </c>
    </row>
    <row r="1065" ht="15.75" customHeight="1">
      <c r="A1065" s="2" t="s">
        <v>784</v>
      </c>
      <c r="B1065" s="2">
        <v>1.0</v>
      </c>
      <c r="D1065" s="2" t="s">
        <v>922</v>
      </c>
    </row>
    <row r="1066" ht="15.75" customHeight="1">
      <c r="A1066" s="2" t="s">
        <v>785</v>
      </c>
      <c r="B1066" s="2">
        <v>1.0</v>
      </c>
      <c r="D1066" s="2" t="s">
        <v>923</v>
      </c>
    </row>
    <row r="1067" ht="15.75" customHeight="1">
      <c r="A1067" s="2" t="s">
        <v>786</v>
      </c>
      <c r="B1067" s="2">
        <v>1.0</v>
      </c>
      <c r="D1067" s="2" t="s">
        <v>924</v>
      </c>
    </row>
    <row r="1068" ht="15.75" customHeight="1">
      <c r="A1068" s="2" t="s">
        <v>936</v>
      </c>
      <c r="B1068" s="2">
        <v>1.0</v>
      </c>
      <c r="D1068" s="2" t="s">
        <v>925</v>
      </c>
    </row>
    <row r="1069" ht="15.75" customHeight="1">
      <c r="A1069" s="2" t="s">
        <v>7</v>
      </c>
      <c r="B1069" s="2">
        <v>1.0</v>
      </c>
      <c r="D1069" s="2" t="s">
        <v>926</v>
      </c>
    </row>
    <row r="1070" ht="15.75" customHeight="1">
      <c r="A1070" s="2" t="s">
        <v>787</v>
      </c>
      <c r="B1070" s="2">
        <v>1.0</v>
      </c>
      <c r="D1070" s="2" t="s">
        <v>927</v>
      </c>
    </row>
    <row r="1071" ht="15.75" customHeight="1">
      <c r="A1071" s="2" t="s">
        <v>9</v>
      </c>
      <c r="B1071" s="2">
        <v>1.0</v>
      </c>
      <c r="D1071" s="2" t="s">
        <v>928</v>
      </c>
    </row>
    <row r="1072" ht="15.75" customHeight="1">
      <c r="A1072" s="2" t="s">
        <v>216</v>
      </c>
      <c r="B1072" s="2">
        <v>1.0</v>
      </c>
      <c r="D1072" s="2" t="s">
        <v>929</v>
      </c>
    </row>
    <row r="1073" ht="15.75" customHeight="1">
      <c r="A1073" s="1" t="s">
        <v>788</v>
      </c>
      <c r="B1073" s="1"/>
      <c r="C1073" s="5">
        <f>B1074+B1075+B1076+B1077+B1078+B1079+B1080+B1081</f>
        <v>8</v>
      </c>
      <c r="D1073" s="2" t="s">
        <v>921</v>
      </c>
      <c r="F1073" s="2" t="str">
        <f>A1073</f>
        <v>IAB-RP-A14</v>
      </c>
      <c r="G1073" s="2" t="str">
        <f>A1074</f>
        <v>ARTISAN ARCHITECTS ENGINEERS &amp; DEVELOPMENTS LTD. (Est- )</v>
      </c>
      <c r="H1073" s="2" t="str">
        <f>A1075</f>
        <v>Office Address: 56/A, DOHS Road, Old DOHS, Banani, Dhaka-1206</v>
      </c>
      <c r="I1073" s="2" t="str">
        <f>A1076</f>
        <v>Email ID: info@artisanbd.com</v>
      </c>
      <c r="J1073" s="2" t="str">
        <f>A1077</f>
        <v>Website : www.artisanbd.com Contact: +88-02-8813992, 9889360</v>
      </c>
      <c r="K1073" s="2" t="str">
        <f>A1078</f>
        <v>NAME OF PROPRIETOR/ PARTNER/ DIRECTOR(s) &amp; DESIGNATION</v>
      </c>
      <c r="L1073" s="2" t="str">
        <f>A1079</f>
        <v>Ar. Sayeed Parvez Reza Latif (L-007) Managing Director</v>
      </c>
      <c r="M1073" s="2" t="str">
        <f>A1080</f>
        <v>FULL TIME TECHNICAL PERSONNEL OF THE FIRM/COMPANY:</v>
      </c>
      <c r="N1073" s="2" t="str">
        <f>A1081</f>
        <v>IAB Member Architect 1 Architectural Graduate 5 Total 6</v>
      </c>
    </row>
    <row r="1074" ht="15.75" customHeight="1">
      <c r="A1074" s="2" t="s">
        <v>789</v>
      </c>
      <c r="B1074" s="2">
        <v>1.0</v>
      </c>
      <c r="D1074" s="2" t="s">
        <v>922</v>
      </c>
    </row>
    <row r="1075" ht="15.75" customHeight="1">
      <c r="A1075" s="2" t="s">
        <v>790</v>
      </c>
      <c r="B1075" s="2">
        <v>1.0</v>
      </c>
      <c r="D1075" s="2" t="s">
        <v>923</v>
      </c>
    </row>
    <row r="1076" ht="15.75" customHeight="1">
      <c r="A1076" s="2" t="s">
        <v>791</v>
      </c>
      <c r="B1076" s="2">
        <v>1.0</v>
      </c>
      <c r="D1076" s="2" t="s">
        <v>924</v>
      </c>
    </row>
    <row r="1077" ht="15.75" customHeight="1">
      <c r="A1077" s="2" t="s">
        <v>792</v>
      </c>
      <c r="B1077" s="2">
        <v>1.0</v>
      </c>
      <c r="D1077" s="2" t="s">
        <v>925</v>
      </c>
    </row>
    <row r="1078" ht="15.75" customHeight="1">
      <c r="A1078" s="2" t="s">
        <v>7</v>
      </c>
      <c r="B1078" s="2">
        <v>1.0</v>
      </c>
      <c r="D1078" s="2" t="s">
        <v>926</v>
      </c>
    </row>
    <row r="1079" ht="15.75" customHeight="1">
      <c r="A1079" s="2" t="s">
        <v>793</v>
      </c>
      <c r="B1079" s="2">
        <v>1.0</v>
      </c>
      <c r="D1079" s="2" t="s">
        <v>927</v>
      </c>
    </row>
    <row r="1080" ht="15.75" customHeight="1">
      <c r="A1080" s="2" t="s">
        <v>9</v>
      </c>
      <c r="B1080" s="2">
        <v>1.0</v>
      </c>
      <c r="D1080" s="2" t="s">
        <v>928</v>
      </c>
    </row>
    <row r="1081" ht="15.75" customHeight="1">
      <c r="A1081" s="2" t="s">
        <v>530</v>
      </c>
      <c r="B1081" s="2">
        <v>1.0</v>
      </c>
      <c r="D1081" s="2" t="s">
        <v>929</v>
      </c>
    </row>
    <row r="1082" ht="15.75" customHeight="1">
      <c r="A1082" s="1" t="s">
        <v>794</v>
      </c>
      <c r="B1082" s="1"/>
      <c r="C1082" s="5">
        <f>B1083+B1084+B1085+B1087+B1088+B1089+B1090+B1091+B1086</f>
        <v>8</v>
      </c>
      <c r="D1082" s="2" t="s">
        <v>921</v>
      </c>
      <c r="F1082" s="2" t="str">
        <f>A1082</f>
        <v>IAB-RP-A15</v>
      </c>
      <c r="G1082" s="2" t="str">
        <f>A1083</f>
        <v>ARTYSPACE DESIGN STUDIO (Est-2010)</v>
      </c>
      <c r="H1082" s="2" t="str">
        <f>A1084</f>
        <v>Office Address: Azad Bhaban (7th Floor), 79/A, Jamal Khan Road, Chittagong, Bangladesh</v>
      </c>
      <c r="I1082" s="2" t="str">
        <f>A1085</f>
        <v>Email ID: artyspace.designstudio@gmail.com Contact: +88-031-2867388</v>
      </c>
      <c r="J1082" s="2" t="str">
        <f>A1086</f>
        <v>website:</v>
      </c>
      <c r="K1082" s="2" t="str">
        <f>A1087</f>
        <v>NAME OF PROPRIETOR/ PARTNER/ DIRECTOR(s) &amp; DESIGNATION:</v>
      </c>
      <c r="L1082" s="2" t="str">
        <f>A1088</f>
        <v>Ar. Ananya Bikash Barua (B-040) Chief Architect</v>
      </c>
      <c r="M1082" s="2" t="str">
        <f>A1089</f>
        <v>FULL TIME TECHNICAL PERSONNEL OF THE FIRM/COMPANY:</v>
      </c>
      <c r="N1082" s="2" t="str">
        <f>A1090</f>
        <v>IAB Member Architect 1 Architectural Graduate 4 Total 5</v>
      </c>
    </row>
    <row r="1083" ht="15.75" customHeight="1">
      <c r="A1083" s="2" t="s">
        <v>795</v>
      </c>
      <c r="B1083" s="2">
        <v>1.0</v>
      </c>
      <c r="D1083" s="2" t="s">
        <v>922</v>
      </c>
    </row>
    <row r="1084" ht="15.75" customHeight="1">
      <c r="A1084" s="2" t="s">
        <v>796</v>
      </c>
      <c r="B1084" s="2">
        <v>1.0</v>
      </c>
      <c r="D1084" s="2" t="s">
        <v>923</v>
      </c>
    </row>
    <row r="1085" ht="15.75" customHeight="1">
      <c r="A1085" s="2" t="s">
        <v>797</v>
      </c>
      <c r="B1085" s="2">
        <v>1.0</v>
      </c>
      <c r="D1085" s="2" t="s">
        <v>924</v>
      </c>
    </row>
    <row r="1086" ht="15.75" customHeight="1">
      <c r="A1086" s="2" t="s">
        <v>936</v>
      </c>
      <c r="B1086" s="2">
        <v>1.0</v>
      </c>
      <c r="D1086" s="2" t="s">
        <v>925</v>
      </c>
    </row>
    <row r="1087" ht="15.75" customHeight="1">
      <c r="A1087" s="2" t="s">
        <v>44</v>
      </c>
      <c r="B1087" s="2">
        <v>1.0</v>
      </c>
      <c r="D1087" s="2" t="s">
        <v>926</v>
      </c>
    </row>
    <row r="1088" ht="15.75" customHeight="1">
      <c r="A1088" s="2" t="s">
        <v>798</v>
      </c>
      <c r="B1088" s="2">
        <v>1.0</v>
      </c>
      <c r="D1088" s="2" t="s">
        <v>927</v>
      </c>
    </row>
    <row r="1089" ht="15.75" customHeight="1">
      <c r="A1089" s="2" t="s">
        <v>9</v>
      </c>
      <c r="B1089" s="2">
        <v>1.0</v>
      </c>
      <c r="D1089" s="2" t="s">
        <v>928</v>
      </c>
    </row>
    <row r="1090" ht="15.75" customHeight="1">
      <c r="A1090" s="2" t="s">
        <v>216</v>
      </c>
      <c r="B1090" s="2">
        <v>1.0</v>
      </c>
      <c r="D1090" s="2" t="s">
        <v>929</v>
      </c>
    </row>
    <row r="1091" ht="15.75" customHeight="1">
      <c r="A1091" s="1" t="s">
        <v>799</v>
      </c>
      <c r="B1091" s="1"/>
      <c r="C1091" s="5">
        <f>B1092+B1093+B1094+B1096+B1097+B1098+B1099+B1100+B1095</f>
        <v>8</v>
      </c>
      <c r="D1091" s="2" t="s">
        <v>921</v>
      </c>
      <c r="F1091" s="2" t="str">
        <f>A1091</f>
        <v>IAB-RP-A16</v>
      </c>
      <c r="G1091" s="2" t="str">
        <f>A1092</f>
        <v>AHMED HOSSAIN ARCHITECTS AND ASSOCIATES (Est-2009)</v>
      </c>
      <c r="H1091" s="2" t="str">
        <f>A1093</f>
        <v>Office Address: House-10, 2nd Floor, Road-03, Sector-05, Uttara, Dhaka 1230.</v>
      </c>
      <c r="I1091" s="2" t="str">
        <f>A1094</f>
        <v>Email ID: ahaaabd17@gmail.com, ashraf303@yahoo.com Contact: +88016179672992, +8801727672992</v>
      </c>
      <c r="J1091" s="2" t="str">
        <f>A1095</f>
        <v>website:</v>
      </c>
      <c r="K1091" s="2" t="str">
        <f>A1096</f>
        <v>NAME OF PROPRIETOR/ PARTNER/ DIRECTOR(s) &amp; DESIGNATION</v>
      </c>
      <c r="L1091" s="2" t="str">
        <f>A1097</f>
        <v>Ar. Ashraful Alam Ahmed (A-182) Principal Architect</v>
      </c>
      <c r="M1091" s="2" t="str">
        <f>A1098</f>
        <v>FULL TIME ARCHITECTURAL PERSONNEL OF THE FIRM/COMPANY:</v>
      </c>
      <c r="N1091" s="2" t="str">
        <f>A1099</f>
        <v>IAB Member Architect 3 Architectural Graduate 3 Total 5</v>
      </c>
    </row>
    <row r="1092" ht="15.75" customHeight="1">
      <c r="A1092" s="2" t="s">
        <v>800</v>
      </c>
      <c r="B1092" s="2">
        <v>1.0</v>
      </c>
      <c r="D1092" s="2" t="s">
        <v>922</v>
      </c>
    </row>
    <row r="1093" ht="15.75" customHeight="1">
      <c r="A1093" s="2" t="s">
        <v>801</v>
      </c>
      <c r="B1093" s="2">
        <v>1.0</v>
      </c>
      <c r="D1093" s="2" t="s">
        <v>923</v>
      </c>
    </row>
    <row r="1094" ht="15.75" customHeight="1">
      <c r="A1094" s="2" t="s">
        <v>802</v>
      </c>
      <c r="B1094" s="2">
        <v>1.0</v>
      </c>
      <c r="D1094" s="2" t="s">
        <v>924</v>
      </c>
    </row>
    <row r="1095" ht="15.75" customHeight="1">
      <c r="A1095" s="2" t="s">
        <v>936</v>
      </c>
      <c r="B1095" s="2">
        <v>1.0</v>
      </c>
      <c r="D1095" s="2" t="s">
        <v>925</v>
      </c>
    </row>
    <row r="1096" ht="15.75" customHeight="1">
      <c r="A1096" s="2" t="s">
        <v>7</v>
      </c>
      <c r="B1096" s="2">
        <v>1.0</v>
      </c>
      <c r="D1096" s="2" t="s">
        <v>926</v>
      </c>
    </row>
    <row r="1097" ht="15.75" customHeight="1">
      <c r="A1097" s="2" t="s">
        <v>803</v>
      </c>
      <c r="B1097" s="2">
        <v>1.0</v>
      </c>
      <c r="D1097" s="2" t="s">
        <v>927</v>
      </c>
    </row>
    <row r="1098" ht="15.75" customHeight="1">
      <c r="A1098" s="2" t="s">
        <v>37</v>
      </c>
      <c r="B1098" s="2">
        <v>1.0</v>
      </c>
      <c r="D1098" s="2" t="s">
        <v>928</v>
      </c>
    </row>
    <row r="1099" ht="15.75" customHeight="1">
      <c r="A1099" s="2" t="s">
        <v>804</v>
      </c>
      <c r="B1099" s="2">
        <v>1.0</v>
      </c>
      <c r="D1099" s="2" t="s">
        <v>929</v>
      </c>
    </row>
    <row r="1100" ht="15.75" customHeight="1">
      <c r="A1100" s="1" t="s">
        <v>805</v>
      </c>
      <c r="B1100" s="1"/>
      <c r="C1100" s="5">
        <f>B1101+B1102+B1103+B1104+B1105+B1106+B1107+B1108</f>
        <v>8</v>
      </c>
      <c r="D1100" s="2" t="s">
        <v>921</v>
      </c>
      <c r="F1100" s="2" t="str">
        <f>A1100</f>
        <v>IAB-RP-A17</v>
      </c>
      <c r="G1100" s="2" t="str">
        <f>A1101</f>
        <v>ALIGN ARCHITECTS (Est-2010)</v>
      </c>
      <c r="H1100" s="2" t="str">
        <f>A1102</f>
        <v>Office Address: House-14, Road-14, 1/Kha, Sugandha, Panchlish, Chittagong.</v>
      </c>
      <c r="I1100" s="2" t="str">
        <f>A1103</f>
        <v>Email ID: hossan_0047@yahioo.com</v>
      </c>
      <c r="J1100" s="2" t="str">
        <f>A1104</f>
        <v>Website : http://aligngroupbd.com/webmail Contact: +8801737280617</v>
      </c>
      <c r="K1100" s="2" t="str">
        <f>A1105</f>
        <v>NAME OF PROPRIETOR/ PARTNER/ DIRECTOR(s) &amp; DESIGNATION</v>
      </c>
      <c r="L1100" s="2" t="str">
        <f>A1106</f>
        <v>Ar. Hossan Murad (M-084) CEO &amp; Proprietor</v>
      </c>
      <c r="M1100" s="2" t="str">
        <f>A1107</f>
        <v>FULL TIME ARCHITECTURAL PERSONNEL OF THE FIRM/COMPANY:</v>
      </c>
      <c r="N1100" s="2" t="str">
        <f>A1108</f>
        <v>IAB Member Architect 2 Architectural Graduate 2 Total 4</v>
      </c>
    </row>
    <row r="1101" ht="15.75" customHeight="1">
      <c r="A1101" s="2" t="s">
        <v>806</v>
      </c>
      <c r="B1101" s="2">
        <v>1.0</v>
      </c>
      <c r="D1101" s="2" t="s">
        <v>922</v>
      </c>
    </row>
    <row r="1102" ht="15.75" customHeight="1">
      <c r="A1102" s="2" t="s">
        <v>807</v>
      </c>
      <c r="B1102" s="2">
        <v>1.0</v>
      </c>
      <c r="D1102" s="2" t="s">
        <v>923</v>
      </c>
    </row>
    <row r="1103" ht="15.75" customHeight="1">
      <c r="A1103" s="2" t="s">
        <v>808</v>
      </c>
      <c r="B1103" s="2">
        <v>1.0</v>
      </c>
      <c r="D1103" s="2" t="s">
        <v>924</v>
      </c>
    </row>
    <row r="1104" ht="15.75" customHeight="1">
      <c r="A1104" s="2" t="s">
        <v>809</v>
      </c>
      <c r="B1104" s="2">
        <v>1.0</v>
      </c>
      <c r="D1104" s="2" t="s">
        <v>925</v>
      </c>
    </row>
    <row r="1105" ht="15.75" customHeight="1">
      <c r="A1105" s="2" t="s">
        <v>7</v>
      </c>
      <c r="B1105" s="2">
        <v>1.0</v>
      </c>
      <c r="D1105" s="2" t="s">
        <v>926</v>
      </c>
    </row>
    <row r="1106" ht="15.75" customHeight="1">
      <c r="A1106" s="2" t="s">
        <v>810</v>
      </c>
      <c r="B1106" s="2">
        <v>1.0</v>
      </c>
      <c r="D1106" s="2" t="s">
        <v>927</v>
      </c>
    </row>
    <row r="1107" ht="15.75" customHeight="1">
      <c r="A1107" s="2" t="s">
        <v>37</v>
      </c>
      <c r="B1107" s="2">
        <v>1.0</v>
      </c>
      <c r="D1107" s="2" t="s">
        <v>928</v>
      </c>
    </row>
    <row r="1108" ht="15.75" customHeight="1">
      <c r="A1108" s="2" t="s">
        <v>38</v>
      </c>
      <c r="B1108" s="2">
        <v>1.0</v>
      </c>
      <c r="D1108" s="2" t="s">
        <v>929</v>
      </c>
    </row>
    <row r="1109" ht="15.75" customHeight="1">
      <c r="A1109" s="1" t="s">
        <v>811</v>
      </c>
      <c r="B1109" s="1"/>
      <c r="C1109" s="5">
        <f>B1110+B1111+B1112+B1114+B1115+B1116+B1117+B1118+B1113</f>
        <v>8</v>
      </c>
      <c r="D1109" s="2" t="s">
        <v>921</v>
      </c>
      <c r="F1109" s="2" t="str">
        <f>A1109</f>
        <v>IAB-RP-A18</v>
      </c>
      <c r="G1109" s="2" t="str">
        <f>A1110</f>
        <v>ARC.IN.D (Est-1996)</v>
      </c>
      <c r="H1109" s="2" t="str">
        <f>A1111</f>
        <v>Office Address: 25, Gulshan Avenue, Taj Casilina (5th Floor), 6/E, Gulshan-1, Dhaka-1212</v>
      </c>
      <c r="I1109" s="2" t="str">
        <f>A1112</f>
        <v>Email ID: arcindexind@gmail.com Contact: +88-02-9890855</v>
      </c>
      <c r="J1109" s="2" t="str">
        <f>A1113</f>
        <v>website:</v>
      </c>
      <c r="K1109" s="2" t="str">
        <f>A1114</f>
        <v>NAME OF PROPRIETOR/ PARTNER/ DIRECTOR(s) &amp; DESIGNATION</v>
      </c>
      <c r="L1109" s="2" t="str">
        <f>A1115</f>
        <v>Ar. Nusrat Jahan (J-016) Managing Director</v>
      </c>
      <c r="M1109" s="2" t="str">
        <f>A1116</f>
        <v>FULL TIME ARCHITECTURAL PERSONNEL OF THE FIRM/COMPANY:</v>
      </c>
      <c r="N1109" s="2" t="str">
        <f>A1117</f>
        <v>IAB Member Architect 1 Architectural Graduate 0 Total 1</v>
      </c>
    </row>
    <row r="1110" ht="15.75" customHeight="1">
      <c r="A1110" s="2" t="s">
        <v>812</v>
      </c>
      <c r="B1110" s="2">
        <v>1.0</v>
      </c>
      <c r="D1110" s="2" t="s">
        <v>922</v>
      </c>
    </row>
    <row r="1111" ht="15.75" customHeight="1">
      <c r="A1111" s="2" t="s">
        <v>813</v>
      </c>
      <c r="B1111" s="2">
        <v>1.0</v>
      </c>
      <c r="D1111" s="2" t="s">
        <v>923</v>
      </c>
    </row>
    <row r="1112" ht="15.75" customHeight="1">
      <c r="A1112" s="2" t="s">
        <v>814</v>
      </c>
      <c r="B1112" s="2">
        <v>1.0</v>
      </c>
      <c r="D1112" s="2" t="s">
        <v>924</v>
      </c>
    </row>
    <row r="1113" ht="15.75" customHeight="1">
      <c r="A1113" s="2" t="s">
        <v>936</v>
      </c>
      <c r="B1113" s="2">
        <v>1.0</v>
      </c>
      <c r="D1113" s="2" t="s">
        <v>925</v>
      </c>
    </row>
    <row r="1114" ht="15.75" customHeight="1">
      <c r="A1114" s="2" t="s">
        <v>7</v>
      </c>
      <c r="B1114" s="2">
        <v>1.0</v>
      </c>
      <c r="D1114" s="2" t="s">
        <v>926</v>
      </c>
    </row>
    <row r="1115" ht="15.75" customHeight="1">
      <c r="A1115" s="2" t="s">
        <v>815</v>
      </c>
      <c r="B1115" s="2">
        <v>1.0</v>
      </c>
      <c r="D1115" s="2" t="s">
        <v>927</v>
      </c>
    </row>
    <row r="1116" ht="15.75" customHeight="1">
      <c r="A1116" s="2" t="s">
        <v>37</v>
      </c>
      <c r="B1116" s="2">
        <v>1.0</v>
      </c>
      <c r="D1116" s="2" t="s">
        <v>928</v>
      </c>
    </row>
    <row r="1117" ht="15.75" customHeight="1">
      <c r="A1117" s="2" t="s">
        <v>66</v>
      </c>
      <c r="B1117" s="2">
        <v>1.0</v>
      </c>
      <c r="D1117" s="2" t="s">
        <v>929</v>
      </c>
    </row>
    <row r="1118" ht="15.75" customHeight="1">
      <c r="A1118" s="1" t="s">
        <v>816</v>
      </c>
      <c r="B1118" s="1"/>
      <c r="C1118" s="5">
        <f>B1119+B1120+B1121+B1122+B1123+B1124+B1125+B1126</f>
        <v>8</v>
      </c>
      <c r="D1118" s="2" t="s">
        <v>921</v>
      </c>
      <c r="F1118" s="2" t="str">
        <f>A1118</f>
        <v>IAB-RP-A19</v>
      </c>
      <c r="G1118" s="2" t="str">
        <f>A1119</f>
        <v>ARCH.PMC (Est-2018)</v>
      </c>
      <c r="H1118" s="2" t="str">
        <f>A1120</f>
        <v>Office Address: Plot-22, Road-12, Block-F, Niketan, Gulshan-1, Dhaka-1212</v>
      </c>
      <c r="I1118" s="2" t="str">
        <f>A1121</f>
        <v>Email ID: masiarchitect@gmail.com, arch.pmc.bd@gmail.com</v>
      </c>
      <c r="J1118" s="2" t="str">
        <f>A1122</f>
        <v>Website : www.archpmc.com Contact: +8801799586501</v>
      </c>
      <c r="K1118" s="2" t="str">
        <f>A1123</f>
        <v>NAME OF PROPRIETOR/ PARTNER/ DIRECTOR(s) &amp; DESIGNATION</v>
      </c>
      <c r="L1118" s="2" t="str">
        <f>A1124</f>
        <v>Ar. Mohammad Sajjadul Islam (I-075) Principal Architect &amp; CEO</v>
      </c>
      <c r="M1118" s="2" t="str">
        <f>A1125</f>
        <v>FULL TIME ARCHITECTURAL PERSONNEL OF THE FIRM/COMPANY:</v>
      </c>
      <c r="N1118" s="2" t="str">
        <f>A1126</f>
        <v>IAB Member Architect 1 Architectural Graduate 0 Total 1</v>
      </c>
    </row>
    <row r="1119" ht="15.75" customHeight="1">
      <c r="A1119" s="2" t="s">
        <v>817</v>
      </c>
      <c r="B1119" s="2">
        <v>1.0</v>
      </c>
      <c r="D1119" s="2" t="s">
        <v>922</v>
      </c>
    </row>
    <row r="1120" ht="15.75" customHeight="1">
      <c r="A1120" s="2" t="s">
        <v>818</v>
      </c>
      <c r="B1120" s="2">
        <v>1.0</v>
      </c>
      <c r="D1120" s="2" t="s">
        <v>923</v>
      </c>
    </row>
    <row r="1121" ht="15.75" customHeight="1">
      <c r="A1121" s="2" t="s">
        <v>819</v>
      </c>
      <c r="B1121" s="2">
        <v>1.0</v>
      </c>
      <c r="D1121" s="2" t="s">
        <v>924</v>
      </c>
    </row>
    <row r="1122" ht="15.75" customHeight="1">
      <c r="A1122" s="2" t="s">
        <v>820</v>
      </c>
      <c r="B1122" s="2">
        <v>1.0</v>
      </c>
      <c r="D1122" s="2" t="s">
        <v>925</v>
      </c>
    </row>
    <row r="1123" ht="15.75" customHeight="1">
      <c r="A1123" s="2" t="s">
        <v>7</v>
      </c>
      <c r="B1123" s="2">
        <v>1.0</v>
      </c>
      <c r="D1123" s="2" t="s">
        <v>926</v>
      </c>
    </row>
    <row r="1124" ht="15.75" customHeight="1">
      <c r="A1124" s="2" t="s">
        <v>821</v>
      </c>
      <c r="B1124" s="2">
        <v>1.0</v>
      </c>
      <c r="D1124" s="2" t="s">
        <v>927</v>
      </c>
    </row>
    <row r="1125" ht="15.75" customHeight="1">
      <c r="A1125" s="2" t="s">
        <v>37</v>
      </c>
      <c r="B1125" s="2">
        <v>1.0</v>
      </c>
      <c r="D1125" s="2" t="s">
        <v>928</v>
      </c>
    </row>
    <row r="1126" ht="15.75" customHeight="1">
      <c r="A1126" s="2" t="s">
        <v>66</v>
      </c>
      <c r="B1126" s="2">
        <v>1.0</v>
      </c>
      <c r="D1126" s="2" t="s">
        <v>929</v>
      </c>
    </row>
    <row r="1127" ht="15.75" customHeight="1">
      <c r="A1127" s="1" t="s">
        <v>822</v>
      </c>
      <c r="B1127" s="1"/>
      <c r="C1127" s="5">
        <f>B1128+B1129+B1130+B1132+B1133+B1134+B1135+B1136+B1131</f>
        <v>8</v>
      </c>
      <c r="D1127" s="2" t="s">
        <v>921</v>
      </c>
      <c r="F1127" s="2" t="str">
        <f>A1127</f>
        <v>IAB-RP-A20</v>
      </c>
      <c r="G1127" s="2" t="str">
        <f>A1128</f>
        <v>ARCHIAAN ARCHITECTS (Est-2014)</v>
      </c>
      <c r="H1127" s="2" t="str">
        <f>A1129</f>
        <v>Office Address: 14, KA, Ring Road, Khan Plaza, 3rd Floor, Shamoly, Dhaka</v>
      </c>
      <c r="I1127" s="2" t="str">
        <f>A1130</f>
        <v>Email ID: archiaan07@gmail.com Contact: +8801679224304</v>
      </c>
      <c r="J1127" s="2" t="str">
        <f>A1131</f>
        <v>website:</v>
      </c>
      <c r="K1127" s="2" t="str">
        <f>A1132</f>
        <v>NAME OF PROPRIETOR/ PARTNER/ DIRECTOR(s) &amp; DESIGNATION</v>
      </c>
      <c r="L1127" s="2" t="str">
        <f>A1133</f>
        <v>Ar. Shohel Ahamed (A-180) Managing Partner</v>
      </c>
      <c r="M1127" s="2" t="str">
        <f>A1134</f>
        <v>FULL TIME ARCHITECTURAL PERSONNEL OF THE FIRM/COMPANY:</v>
      </c>
      <c r="N1127" s="2" t="str">
        <f>A1135</f>
        <v>IAB Member Architect 1 Architectural Graduate 0 Total 1</v>
      </c>
    </row>
    <row r="1128" ht="15.75" customHeight="1">
      <c r="A1128" s="2" t="s">
        <v>823</v>
      </c>
      <c r="B1128" s="2">
        <v>1.0</v>
      </c>
      <c r="D1128" s="2" t="s">
        <v>922</v>
      </c>
    </row>
    <row r="1129" ht="15.75" customHeight="1">
      <c r="A1129" s="2" t="s">
        <v>824</v>
      </c>
      <c r="B1129" s="2">
        <v>1.0</v>
      </c>
      <c r="D1129" s="2" t="s">
        <v>923</v>
      </c>
    </row>
    <row r="1130" ht="15.75" customHeight="1">
      <c r="A1130" s="2" t="s">
        <v>825</v>
      </c>
      <c r="B1130" s="2">
        <v>1.0</v>
      </c>
      <c r="D1130" s="2" t="s">
        <v>924</v>
      </c>
    </row>
    <row r="1131" ht="15.75" customHeight="1">
      <c r="A1131" s="2" t="s">
        <v>936</v>
      </c>
      <c r="B1131" s="2">
        <v>1.0</v>
      </c>
      <c r="D1131" s="2" t="s">
        <v>925</v>
      </c>
    </row>
    <row r="1132" ht="15.75" customHeight="1">
      <c r="A1132" s="2" t="s">
        <v>7</v>
      </c>
      <c r="B1132" s="2">
        <v>1.0</v>
      </c>
      <c r="D1132" s="2" t="s">
        <v>926</v>
      </c>
    </row>
    <row r="1133" ht="15.75" customHeight="1">
      <c r="A1133" s="2" t="s">
        <v>826</v>
      </c>
      <c r="B1133" s="2">
        <v>1.0</v>
      </c>
      <c r="D1133" s="2" t="s">
        <v>927</v>
      </c>
    </row>
    <row r="1134" ht="15.75" customHeight="1">
      <c r="A1134" s="2" t="s">
        <v>37</v>
      </c>
      <c r="B1134" s="2">
        <v>1.0</v>
      </c>
      <c r="D1134" s="2" t="s">
        <v>928</v>
      </c>
    </row>
    <row r="1135" ht="15.75" customHeight="1">
      <c r="A1135" s="2" t="s">
        <v>66</v>
      </c>
      <c r="B1135" s="2">
        <v>1.0</v>
      </c>
      <c r="D1135" s="2" t="s">
        <v>929</v>
      </c>
    </row>
    <row r="1136" ht="15.75" customHeight="1">
      <c r="A1136" s="1" t="s">
        <v>827</v>
      </c>
      <c r="B1136" s="1"/>
      <c r="C1136" s="5">
        <f>B1137+B1138+B1139+B1141+B1142+B1143+B1144+B1145+B1140</f>
        <v>8</v>
      </c>
      <c r="D1136" s="2" t="s">
        <v>921</v>
      </c>
      <c r="F1136" s="2" t="str">
        <f>A1136</f>
        <v>IAB-RP-A21</v>
      </c>
      <c r="G1136" s="2" t="str">
        <f>A1137</f>
        <v>ARCHINET ARCHITECTS &amp; ENGINEERS (Est-2010)</v>
      </c>
      <c r="H1136" s="2" t="str">
        <f>A1138</f>
        <v>Office Address: House-33, Road-04, Dhanmondi, Dhaka-1205</v>
      </c>
      <c r="I1136" s="2" t="str">
        <f>A1139</f>
        <v>Email ID: archinet2008@gmail.com Contact: +8801712228469</v>
      </c>
      <c r="J1136" s="2" t="str">
        <f>A1140</f>
        <v>website:</v>
      </c>
      <c r="K1136" s="2" t="str">
        <f>A1141</f>
        <v>NAME OF PROPRIETOR/ PARTNER/ DIRECTOR(s) &amp; DESIGNATION</v>
      </c>
      <c r="L1136" s="2" t="str">
        <f>A1142</f>
        <v>Ar. Iftekhar Ahmed (A-143) Principal Architect &amp; CEO</v>
      </c>
      <c r="M1136" s="2" t="str">
        <f>A1143</f>
        <v>FULL TIME ARCHITECTURAL PERSONNEL OF THE FIRM/COMPANY:</v>
      </c>
      <c r="N1136" s="2" t="str">
        <f>A1144</f>
        <v>IAB Member Architect 3 Architectural Graduate 0 Total 3</v>
      </c>
    </row>
    <row r="1137" ht="15.75" customHeight="1">
      <c r="A1137" s="2" t="s">
        <v>828</v>
      </c>
      <c r="B1137" s="2">
        <v>1.0</v>
      </c>
      <c r="D1137" s="2" t="s">
        <v>922</v>
      </c>
    </row>
    <row r="1138" ht="15.75" customHeight="1">
      <c r="A1138" s="2" t="s">
        <v>829</v>
      </c>
      <c r="B1138" s="2">
        <v>1.0</v>
      </c>
      <c r="D1138" s="2" t="s">
        <v>923</v>
      </c>
    </row>
    <row r="1139" ht="15.75" customHeight="1">
      <c r="A1139" s="2" t="s">
        <v>830</v>
      </c>
      <c r="B1139" s="2">
        <v>1.0</v>
      </c>
      <c r="D1139" s="2" t="s">
        <v>924</v>
      </c>
    </row>
    <row r="1140" ht="15.75" customHeight="1">
      <c r="A1140" s="2" t="s">
        <v>936</v>
      </c>
      <c r="B1140" s="2">
        <v>1.0</v>
      </c>
      <c r="D1140" s="2" t="s">
        <v>925</v>
      </c>
    </row>
    <row r="1141" ht="15.75" customHeight="1">
      <c r="A1141" s="2" t="s">
        <v>7</v>
      </c>
      <c r="B1141" s="2">
        <v>1.0</v>
      </c>
      <c r="D1141" s="2" t="s">
        <v>926</v>
      </c>
    </row>
    <row r="1142" ht="15.75" customHeight="1">
      <c r="A1142" s="2" t="s">
        <v>831</v>
      </c>
      <c r="B1142" s="2">
        <v>1.0</v>
      </c>
      <c r="D1142" s="2" t="s">
        <v>927</v>
      </c>
    </row>
    <row r="1143" ht="15.75" customHeight="1">
      <c r="A1143" s="2" t="s">
        <v>37</v>
      </c>
      <c r="B1143" s="2">
        <v>1.0</v>
      </c>
      <c r="D1143" s="2" t="s">
        <v>928</v>
      </c>
    </row>
    <row r="1144" ht="15.75" customHeight="1">
      <c r="A1144" s="2" t="s">
        <v>832</v>
      </c>
      <c r="B1144" s="2">
        <v>1.0</v>
      </c>
      <c r="D1144" s="2" t="s">
        <v>929</v>
      </c>
    </row>
    <row r="1145" ht="15.75" customHeight="1">
      <c r="A1145" s="1" t="s">
        <v>833</v>
      </c>
      <c r="B1145" s="1"/>
      <c r="C1145" s="5">
        <f>B1146+B1147+B1148+B1150+B1151+B1149+B1152+B1153</f>
        <v>8</v>
      </c>
      <c r="D1145" s="2" t="s">
        <v>921</v>
      </c>
      <c r="F1145" s="2" t="str">
        <f>A1145</f>
        <v>IAB-RP-A22</v>
      </c>
      <c r="G1145" s="2" t="str">
        <f>A1146</f>
        <v>ARCHITEKTON (PVT.) LTD. (Est-1995)</v>
      </c>
      <c r="H1145" s="2" t="str">
        <f>A1147</f>
        <v>Office Address: House-28, Road-28, Block-K, Banani, Dhaka-1213</v>
      </c>
      <c r="I1145" s="2" t="str">
        <f>A1148</f>
        <v>Email ID: architekton_bd@yahoo.com, minhas.rahman@architekton.com.bd , Contact: +88-02-9862930, +8801711520963</v>
      </c>
      <c r="J1145" s="2" t="str">
        <f>A1149</f>
        <v>website:</v>
      </c>
      <c r="K1145" s="2" t="str">
        <f>A1150</f>
        <v>NAME OF PROPRIETOR/ PARTNER/ DIRECTOR(s) &amp; DESIGNATION</v>
      </c>
      <c r="L1145" s="2" t="str">
        <f>A1151</f>
        <v>Ar. Minhasur Rahman (R-044) Managing Director &amp; Ar. Fuad Hassan Mallick (M-012) Share Holder</v>
      </c>
      <c r="M1145" s="2" t="str">
        <f>A1152</f>
        <v>FULL TIME ARCHITECTURAL PERSONNEL OF THE FIRM/COMPANY:</v>
      </c>
      <c r="N1145" s="2" t="str">
        <f>A1153</f>
        <v>IAB Member Architect 2 Architectural Graduate 5 Total 7</v>
      </c>
    </row>
    <row r="1146" ht="15.75" customHeight="1">
      <c r="A1146" s="2" t="s">
        <v>834</v>
      </c>
      <c r="B1146" s="2">
        <v>1.0</v>
      </c>
      <c r="D1146" s="2" t="s">
        <v>922</v>
      </c>
    </row>
    <row r="1147" ht="15.75" customHeight="1">
      <c r="A1147" s="2" t="s">
        <v>835</v>
      </c>
      <c r="B1147" s="2">
        <v>1.0</v>
      </c>
      <c r="D1147" s="2" t="s">
        <v>923</v>
      </c>
    </row>
    <row r="1148" ht="15.75" customHeight="1">
      <c r="A1148" s="2" t="s">
        <v>836</v>
      </c>
      <c r="B1148" s="2">
        <v>1.0</v>
      </c>
      <c r="D1148" s="2" t="s">
        <v>924</v>
      </c>
    </row>
    <row r="1149" ht="15.75" customHeight="1">
      <c r="A1149" s="2" t="s">
        <v>936</v>
      </c>
      <c r="B1149" s="2">
        <v>1.0</v>
      </c>
      <c r="D1149" s="2" t="s">
        <v>925</v>
      </c>
    </row>
    <row r="1150" ht="15.75" customHeight="1">
      <c r="A1150" s="2" t="s">
        <v>7</v>
      </c>
      <c r="B1150" s="2">
        <v>1.0</v>
      </c>
      <c r="D1150" s="2" t="s">
        <v>926</v>
      </c>
    </row>
    <row r="1151" ht="15.75" customHeight="1">
      <c r="A1151" s="2" t="s">
        <v>974</v>
      </c>
      <c r="B1151" s="2">
        <v>1.0</v>
      </c>
      <c r="D1151" s="2" t="s">
        <v>927</v>
      </c>
    </row>
    <row r="1152" ht="15.75" customHeight="1">
      <c r="A1152" s="2" t="s">
        <v>37</v>
      </c>
      <c r="B1152" s="2">
        <v>1.0</v>
      </c>
      <c r="D1152" s="2" t="s">
        <v>928</v>
      </c>
    </row>
    <row r="1153" ht="15.75" customHeight="1">
      <c r="A1153" s="2" t="s">
        <v>621</v>
      </c>
      <c r="B1153" s="2">
        <v>1.0</v>
      </c>
      <c r="D1153" s="2" t="s">
        <v>929</v>
      </c>
    </row>
    <row r="1154" ht="15.75" customHeight="1">
      <c r="A1154" s="1" t="s">
        <v>839</v>
      </c>
      <c r="B1154" s="1"/>
      <c r="C1154" s="5">
        <f>B1155+B1156+B1157+B1159+B1160+B1161+B1162+B1163+B1158</f>
        <v>8</v>
      </c>
      <c r="D1154" s="2" t="s">
        <v>921</v>
      </c>
      <c r="F1154" s="2" t="str">
        <f>A1154</f>
        <v>IAB-RP-A23</v>
      </c>
      <c r="G1154" s="2" t="str">
        <f>A1155</f>
        <v>ARCHSTUDIO (Est-2018)</v>
      </c>
      <c r="H1154" s="2" t="str">
        <f>A1156</f>
        <v>Office Address: 151, West Dhanmondi, Dhaka-1209</v>
      </c>
      <c r="I1154" s="2" t="str">
        <f>A1157</f>
        <v>Email ID: samabegum@gmail.com Contact: +8801716897632</v>
      </c>
      <c r="J1154" s="2" t="str">
        <f>A1158</f>
        <v>website:</v>
      </c>
      <c r="K1154" s="2" t="str">
        <f>A1159</f>
        <v>NAME OF PROPRIETOR/ PARTNER/ DIRECTOR(s) &amp; DESIGNATION</v>
      </c>
      <c r="L1154" s="2" t="str">
        <f>A1160</f>
        <v>Ar. Salma Begum (B-044) Architect</v>
      </c>
      <c r="M1154" s="2" t="str">
        <f>A1161</f>
        <v>FULL TIME ARCHITECTURAL PERSONNEL OF THE FIRM/COMPANY:</v>
      </c>
      <c r="N1154" s="2" t="str">
        <f>A1162</f>
        <v>IAB Member Architect 3 Architectural Graduate 0 Total 03</v>
      </c>
    </row>
    <row r="1155" ht="15.75" customHeight="1">
      <c r="A1155" s="2" t="s">
        <v>840</v>
      </c>
      <c r="B1155" s="2">
        <v>1.0</v>
      </c>
      <c r="D1155" s="2" t="s">
        <v>922</v>
      </c>
    </row>
    <row r="1156" ht="15.75" customHeight="1">
      <c r="A1156" s="2" t="s">
        <v>841</v>
      </c>
      <c r="B1156" s="2">
        <v>1.0</v>
      </c>
      <c r="D1156" s="2" t="s">
        <v>923</v>
      </c>
    </row>
    <row r="1157" ht="15.75" customHeight="1">
      <c r="A1157" s="2" t="s">
        <v>842</v>
      </c>
      <c r="B1157" s="2">
        <v>1.0</v>
      </c>
      <c r="D1157" s="2" t="s">
        <v>924</v>
      </c>
    </row>
    <row r="1158" ht="15.75" customHeight="1">
      <c r="A1158" s="2" t="s">
        <v>936</v>
      </c>
      <c r="B1158" s="2">
        <v>1.0</v>
      </c>
      <c r="D1158" s="2" t="s">
        <v>925</v>
      </c>
    </row>
    <row r="1159" ht="15.75" customHeight="1">
      <c r="A1159" s="2" t="s">
        <v>7</v>
      </c>
      <c r="B1159" s="2">
        <v>1.0</v>
      </c>
      <c r="D1159" s="2" t="s">
        <v>926</v>
      </c>
    </row>
    <row r="1160" ht="15.75" customHeight="1">
      <c r="A1160" s="2" t="s">
        <v>843</v>
      </c>
      <c r="B1160" s="2">
        <v>1.0</v>
      </c>
      <c r="D1160" s="2" t="s">
        <v>927</v>
      </c>
    </row>
    <row r="1161" ht="15.75" customHeight="1">
      <c r="A1161" s="2" t="s">
        <v>37</v>
      </c>
      <c r="B1161" s="2">
        <v>1.0</v>
      </c>
      <c r="D1161" s="2" t="s">
        <v>928</v>
      </c>
    </row>
    <row r="1162" ht="15.75" customHeight="1">
      <c r="A1162" s="2" t="s">
        <v>844</v>
      </c>
      <c r="B1162" s="2">
        <v>1.0</v>
      </c>
      <c r="D1162" s="2" t="s">
        <v>929</v>
      </c>
    </row>
    <row r="1163" ht="15.75" customHeight="1">
      <c r="A1163" s="1" t="s">
        <v>845</v>
      </c>
      <c r="B1163" s="1"/>
      <c r="C1163" s="5">
        <f>B1164+B1165+B1166+B1167+B1168+B1169+B1170+B1171</f>
        <v>8</v>
      </c>
      <c r="D1163" s="2" t="s">
        <v>921</v>
      </c>
      <c r="F1163" s="2" t="str">
        <f>A1163</f>
        <v>IAB-RP-A24</v>
      </c>
      <c r="G1163" s="2" t="str">
        <f>A1164</f>
        <v>ARCHYTAS LIMITED (Est-2014)</v>
      </c>
      <c r="H1163" s="2" t="str">
        <f>A1165</f>
        <v>Office Address: Road-36, House-16, Gulshan-2, Dhaka 1212.</v>
      </c>
      <c r="I1163" s="2" t="str">
        <f>A1166</f>
        <v>Email ID: archytas.s@gmail.com</v>
      </c>
      <c r="J1163" s="2" t="str">
        <f>A1167</f>
        <v>Website : www.archytasltd.com Contact: +8801911386561</v>
      </c>
      <c r="K1163" s="2" t="str">
        <f>A1168</f>
        <v>NAME OF PROPRIETOR/ PARTNER/ DIRECTOR(s) &amp; DESIGNATION</v>
      </c>
      <c r="L1163" s="2" t="str">
        <f>A1169</f>
        <v>Ar. Zahidul Hoque Shaikot (S-135) Managing Director</v>
      </c>
      <c r="M1163" s="2" t="str">
        <f>A1170</f>
        <v>FULL TIME ARCHITECTURAL PERSONNEL OF THE FIRM/COMPANY:</v>
      </c>
      <c r="N1163" s="2" t="str">
        <f>A1171</f>
        <v>IAB Member Architect 1 Architectural Graduate Total 1</v>
      </c>
    </row>
    <row r="1164" ht="15.75" customHeight="1">
      <c r="A1164" s="2" t="s">
        <v>846</v>
      </c>
      <c r="B1164" s="2">
        <v>1.0</v>
      </c>
      <c r="D1164" s="2" t="s">
        <v>922</v>
      </c>
    </row>
    <row r="1165" ht="15.75" customHeight="1">
      <c r="A1165" s="2" t="s">
        <v>847</v>
      </c>
      <c r="B1165" s="2">
        <v>1.0</v>
      </c>
      <c r="D1165" s="2" t="s">
        <v>923</v>
      </c>
    </row>
    <row r="1166" ht="15.75" customHeight="1">
      <c r="A1166" s="2" t="s">
        <v>848</v>
      </c>
      <c r="B1166" s="2">
        <v>1.0</v>
      </c>
      <c r="D1166" s="2" t="s">
        <v>924</v>
      </c>
    </row>
    <row r="1167" ht="15.75" customHeight="1">
      <c r="A1167" s="2" t="s">
        <v>849</v>
      </c>
      <c r="B1167" s="2">
        <v>1.0</v>
      </c>
      <c r="D1167" s="2" t="s">
        <v>925</v>
      </c>
    </row>
    <row r="1168" ht="15.75" customHeight="1">
      <c r="A1168" s="2" t="s">
        <v>7</v>
      </c>
      <c r="B1168" s="2">
        <v>1.0</v>
      </c>
      <c r="D1168" s="2" t="s">
        <v>926</v>
      </c>
    </row>
    <row r="1169" ht="15.75" customHeight="1">
      <c r="A1169" s="2" t="s">
        <v>850</v>
      </c>
      <c r="B1169" s="2">
        <v>1.0</v>
      </c>
      <c r="D1169" s="2" t="s">
        <v>927</v>
      </c>
    </row>
    <row r="1170" ht="15.75" customHeight="1">
      <c r="A1170" s="2" t="s">
        <v>37</v>
      </c>
      <c r="B1170" s="2">
        <v>1.0</v>
      </c>
      <c r="D1170" s="2" t="s">
        <v>928</v>
      </c>
    </row>
    <row r="1171" ht="15.75" customHeight="1">
      <c r="A1171" s="2" t="s">
        <v>851</v>
      </c>
      <c r="B1171" s="2">
        <v>1.0</v>
      </c>
      <c r="D1171" s="2" t="s">
        <v>929</v>
      </c>
    </row>
    <row r="1172" ht="15.75" customHeight="1">
      <c r="A1172" s="1" t="s">
        <v>852</v>
      </c>
      <c r="B1172" s="1"/>
      <c r="C1172" s="5">
        <f>B1173+B1174+B1175+B1177+B1178+B1179+B1180+B1181+B1176</f>
        <v>8</v>
      </c>
      <c r="D1172" s="2" t="s">
        <v>921</v>
      </c>
      <c r="F1172" s="2" t="str">
        <f>A1172</f>
        <v>IAB-RP-A25</v>
      </c>
      <c r="G1172" s="2" t="str">
        <f>A1173</f>
        <v>ARQUITECTURA DESIGN STUDIO(Est- 2015)</v>
      </c>
      <c r="H1172" s="2" t="str">
        <f>A1174</f>
        <v>Office Address: Lake Palisade, House 23, Level 02, Road 27, Dhanmondi, Dhaka 1209</v>
      </c>
      <c r="I1172" s="2" t="str">
        <f>A1175</f>
        <v>Email ID: faiahsa@gmail.com Contact: +880241021810</v>
      </c>
      <c r="J1172" s="2" t="str">
        <f>A1176</f>
        <v>website:</v>
      </c>
      <c r="K1172" s="2" t="str">
        <f>A1177</f>
        <v>NAME OF PROPRIETOR/ PARTNER/ DIRECTOR(s) &amp; DESIGNATION</v>
      </c>
      <c r="L1172" s="2" t="str">
        <f>A1178</f>
        <v>Ar. Fariha Sharmeen Akbar (A-198) Proprietor</v>
      </c>
      <c r="M1172" s="2" t="str">
        <f>A1179</f>
        <v>FULL TIME ARCHITECTURAL PERSONNEL OF THE FIRM/COMPANY:</v>
      </c>
      <c r="N1172" s="2" t="str">
        <f>A1180</f>
        <v>IAB Member Architect 4 Architectural Graduate 2 Total 6</v>
      </c>
    </row>
    <row r="1173" ht="15.75" customHeight="1">
      <c r="A1173" s="2" t="s">
        <v>853</v>
      </c>
      <c r="B1173" s="2">
        <v>1.0</v>
      </c>
      <c r="D1173" s="2" t="s">
        <v>922</v>
      </c>
    </row>
    <row r="1174" ht="15.75" customHeight="1">
      <c r="A1174" s="2" t="s">
        <v>854</v>
      </c>
      <c r="B1174" s="2">
        <v>1.0</v>
      </c>
      <c r="D1174" s="2" t="s">
        <v>923</v>
      </c>
    </row>
    <row r="1175" ht="15.75" customHeight="1">
      <c r="A1175" s="2" t="s">
        <v>855</v>
      </c>
      <c r="B1175" s="2">
        <v>1.0</v>
      </c>
      <c r="D1175" s="2" t="s">
        <v>924</v>
      </c>
    </row>
    <row r="1176" ht="15.75" customHeight="1">
      <c r="A1176" s="2" t="s">
        <v>936</v>
      </c>
      <c r="B1176" s="2">
        <v>1.0</v>
      </c>
      <c r="D1176" s="2" t="s">
        <v>925</v>
      </c>
    </row>
    <row r="1177" ht="15.75" customHeight="1">
      <c r="A1177" s="2" t="s">
        <v>7</v>
      </c>
      <c r="B1177" s="2">
        <v>1.0</v>
      </c>
      <c r="D1177" s="2" t="s">
        <v>926</v>
      </c>
    </row>
    <row r="1178" ht="15.75" customHeight="1">
      <c r="A1178" s="2" t="s">
        <v>856</v>
      </c>
      <c r="B1178" s="2">
        <v>1.0</v>
      </c>
      <c r="D1178" s="2" t="s">
        <v>927</v>
      </c>
    </row>
    <row r="1179" ht="15.75" customHeight="1">
      <c r="A1179" s="2" t="s">
        <v>37</v>
      </c>
      <c r="B1179" s="2">
        <v>1.0</v>
      </c>
      <c r="D1179" s="2" t="s">
        <v>928</v>
      </c>
    </row>
    <row r="1180" ht="15.75" customHeight="1">
      <c r="A1180" s="2" t="s">
        <v>334</v>
      </c>
      <c r="B1180" s="2">
        <v>1.0</v>
      </c>
      <c r="D1180" s="2" t="s">
        <v>929</v>
      </c>
    </row>
    <row r="1181" ht="15.75" customHeight="1">
      <c r="A1181" s="1" t="s">
        <v>857</v>
      </c>
      <c r="B1181" s="1"/>
      <c r="C1181" s="5">
        <f>B1182+B1183+B1184+B1185+B1186+B1187+B1188+B1189</f>
        <v>8</v>
      </c>
      <c r="D1181" s="2" t="s">
        <v>921</v>
      </c>
      <c r="F1181" s="2" t="str">
        <f>A1181</f>
        <v>IAB-RP-A26</v>
      </c>
      <c r="G1181" s="2" t="str">
        <f>A1182</f>
        <v>ARQUITECTURA (PVT.) LTD. (Est-2017)</v>
      </c>
      <c r="H1181" s="2" t="str">
        <f>A1183</f>
        <v>Office Address: Lake Palisade, House 23, Level 02, Road 27, Dhanmondi, Dhaka 1209</v>
      </c>
      <c r="I1181" s="2" t="str">
        <f>A1184</f>
        <v>Email ID: mail@arquitecturabd.com</v>
      </c>
      <c r="J1181" s="2" t="str">
        <f>A1185</f>
        <v>Website : www.arquitecturabd.com Contact: +880241021810</v>
      </c>
      <c r="K1181" s="2" t="str">
        <f>A1186</f>
        <v>NAME OF PROPRIETOR/ PARTNER/ DIRECTOR(s) &amp; DESIGNATION</v>
      </c>
      <c r="L1181" s="2" t="str">
        <f>A1187</f>
        <v>Ar. Fariha Sharmeen Akbar (A-198) Chairman &amp; Ar. Md. Shafiul Azam Shamim (S-127) Managing Director</v>
      </c>
      <c r="M1181" s="2" t="str">
        <f>A1188</f>
        <v>FULL TIME ARCHITECTURAL PERSONNEL OF THE FIRM/COMPANY:</v>
      </c>
      <c r="N1181" s="2" t="str">
        <f>A1189</f>
        <v>IAB Member Architect 6 Architectural Graduate 2 Total 8</v>
      </c>
    </row>
    <row r="1182" ht="15.75" customHeight="1">
      <c r="A1182" s="2" t="s">
        <v>858</v>
      </c>
      <c r="B1182" s="2">
        <v>1.0</v>
      </c>
      <c r="D1182" s="2" t="s">
        <v>922</v>
      </c>
    </row>
    <row r="1183" ht="15.75" customHeight="1">
      <c r="A1183" s="2" t="s">
        <v>854</v>
      </c>
      <c r="B1183" s="2">
        <v>1.0</v>
      </c>
      <c r="D1183" s="2" t="s">
        <v>923</v>
      </c>
    </row>
    <row r="1184" ht="15.75" customHeight="1">
      <c r="A1184" s="2" t="s">
        <v>859</v>
      </c>
      <c r="B1184" s="2">
        <v>1.0</v>
      </c>
      <c r="D1184" s="2" t="s">
        <v>924</v>
      </c>
    </row>
    <row r="1185" ht="15.75" customHeight="1">
      <c r="A1185" s="2" t="s">
        <v>860</v>
      </c>
      <c r="B1185" s="2">
        <v>1.0</v>
      </c>
      <c r="D1185" s="2" t="s">
        <v>925</v>
      </c>
    </row>
    <row r="1186" ht="15.75" customHeight="1">
      <c r="A1186" s="2" t="s">
        <v>7</v>
      </c>
      <c r="B1186" s="2">
        <v>1.0</v>
      </c>
      <c r="D1186" s="2" t="s">
        <v>926</v>
      </c>
    </row>
    <row r="1187" ht="15.75" customHeight="1">
      <c r="A1187" s="2" t="s">
        <v>975</v>
      </c>
      <c r="B1187" s="2">
        <v>1.0</v>
      </c>
      <c r="D1187" s="2" t="s">
        <v>927</v>
      </c>
    </row>
    <row r="1188" ht="15.75" customHeight="1">
      <c r="A1188" s="2" t="s">
        <v>37</v>
      </c>
      <c r="B1188" s="2">
        <v>1.0</v>
      </c>
      <c r="D1188" s="2" t="s">
        <v>928</v>
      </c>
    </row>
    <row r="1189" ht="15.75" customHeight="1">
      <c r="A1189" s="2" t="s">
        <v>863</v>
      </c>
      <c r="B1189" s="2">
        <v>1.0</v>
      </c>
      <c r="D1189" s="2" t="s">
        <v>929</v>
      </c>
    </row>
    <row r="1190" ht="15.75" customHeight="1">
      <c r="A1190" s="1" t="s">
        <v>864</v>
      </c>
      <c r="B1190" s="1"/>
      <c r="C1190" s="5">
        <f>B1191+B1192+B1193+B1194+B1195+B1196+B1197+B1198</f>
        <v>8</v>
      </c>
      <c r="D1190" s="2" t="s">
        <v>921</v>
      </c>
      <c r="F1190" s="2" t="str">
        <f>A1190</f>
        <v>IAB-RP-A27</v>
      </c>
      <c r="G1190" s="2" t="str">
        <f>A1191</f>
        <v>AYOTEEK (Est-2016)</v>
      </c>
      <c r="H1190" s="2" t="str">
        <f>A1192</f>
        <v>Office Address: House-B 115, 4th Floor, Lane-7,DOHS, Mohakhali, Dhaka 1206</v>
      </c>
      <c r="I1190" s="2" t="str">
        <f>A1193</f>
        <v>Email ID: kasif@ayoteek.com, ayoteek@gmail.com Contact: +88-02-9882689, +8801712511535</v>
      </c>
      <c r="J1190" s="2" t="str">
        <f>A1194</f>
        <v>Website : www.ayoteek.com</v>
      </c>
      <c r="K1190" s="2" t="str">
        <f>A1195</f>
        <v>NAME OF PROPRIETOR/ PARTNER/ DIRECTOR(s) &amp; DESIGNATION</v>
      </c>
      <c r="L1190" s="2" t="str">
        <f>A1196</f>
        <v>Ar. Muhammed Kasif Hasnaen (H-172) Managing Partner</v>
      </c>
      <c r="M1190" s="2" t="str">
        <f>A1197</f>
        <v>FULL TIME ARCHITECTURAL PERSONNEL OF THE FIRM/COMPANY:</v>
      </c>
      <c r="N1190" s="2" t="str">
        <f>A1198</f>
        <v>IAB Member Architect 2 Architectural Graduate 3 Total 5</v>
      </c>
    </row>
    <row r="1191" ht="15.75" customHeight="1">
      <c r="A1191" s="2" t="s">
        <v>865</v>
      </c>
      <c r="B1191" s="2">
        <v>1.0</v>
      </c>
      <c r="D1191" s="2" t="s">
        <v>922</v>
      </c>
    </row>
    <row r="1192" ht="15.75" customHeight="1">
      <c r="A1192" s="2" t="s">
        <v>866</v>
      </c>
      <c r="B1192" s="2">
        <v>1.0</v>
      </c>
      <c r="D1192" s="2" t="s">
        <v>923</v>
      </c>
    </row>
    <row r="1193" ht="15.75" customHeight="1">
      <c r="A1193" s="2" t="s">
        <v>867</v>
      </c>
      <c r="B1193" s="2">
        <v>1.0</v>
      </c>
      <c r="D1193" s="2" t="s">
        <v>924</v>
      </c>
    </row>
    <row r="1194" ht="15.75" customHeight="1">
      <c r="A1194" s="2" t="s">
        <v>868</v>
      </c>
      <c r="B1194" s="2">
        <v>1.0</v>
      </c>
      <c r="D1194" s="2" t="s">
        <v>925</v>
      </c>
    </row>
    <row r="1195" ht="15.75" customHeight="1">
      <c r="A1195" s="2" t="s">
        <v>7</v>
      </c>
      <c r="B1195" s="2">
        <v>1.0</v>
      </c>
      <c r="D1195" s="2" t="s">
        <v>926</v>
      </c>
    </row>
    <row r="1196" ht="15.75" customHeight="1">
      <c r="A1196" s="2" t="s">
        <v>869</v>
      </c>
      <c r="B1196" s="2">
        <v>1.0</v>
      </c>
      <c r="D1196" s="2" t="s">
        <v>927</v>
      </c>
    </row>
    <row r="1197" ht="15.75" customHeight="1">
      <c r="A1197" s="2" t="s">
        <v>37</v>
      </c>
      <c r="B1197" s="2">
        <v>1.0</v>
      </c>
      <c r="D1197" s="2" t="s">
        <v>928</v>
      </c>
    </row>
    <row r="1198" ht="15.75" customHeight="1">
      <c r="A1198" s="2" t="s">
        <v>31</v>
      </c>
      <c r="B1198" s="2">
        <v>1.0</v>
      </c>
      <c r="D1198" s="2" t="s">
        <v>929</v>
      </c>
    </row>
    <row r="1199" ht="15.75" customHeight="1">
      <c r="A1199" s="1" t="s">
        <v>870</v>
      </c>
      <c r="B1199" s="1"/>
      <c r="C1199" s="5">
        <f>B1200+B1201+B1202+B1203+B1204+B1205+B1206+B1207</f>
        <v>8</v>
      </c>
      <c r="D1199" s="2" t="s">
        <v>921</v>
      </c>
      <c r="F1199" s="2" t="str">
        <f>A1199</f>
        <v>IAB-RP-A28</v>
      </c>
      <c r="G1199" s="2" t="str">
        <f>A1200</f>
        <v>ARCHITECTURE TOMORROW (Est-2013)</v>
      </c>
      <c r="H1199" s="2" t="str">
        <f>A1201</f>
        <v>Office Address: House-730 (Ground Floor), Road-10, Avenue-3/4, DOHS, Mirpur, Dhaka</v>
      </c>
      <c r="I1199" s="2" t="str">
        <f>A1202</f>
        <v>Email ID: zaman_arch1122@yahoo.com Contact: +88-02-8080884, +8801716526915</v>
      </c>
      <c r="J1199" s="2" t="str">
        <f>A1203</f>
        <v>Website : www.architecturetomorrow.com</v>
      </c>
      <c r="K1199" s="2" t="str">
        <f>A1204</f>
        <v>NAME OF PROPRIETOR/ PARTNER/ DIRECTOR(s) &amp; DESIGNATION</v>
      </c>
      <c r="L1199" s="2" t="str">
        <f>A1205</f>
        <v>Ar. Mohammad Saifuzzaman (S-111) Principal Architect &amp; Managing Director</v>
      </c>
      <c r="M1199" s="2" t="str">
        <f>A1206</f>
        <v>FULL TIME ARCHITECTURAL PERSONNEL OF THE FIRM/COMPANY:</v>
      </c>
      <c r="N1199" s="2" t="str">
        <f>A1207</f>
        <v>IAB Member Architect 2 Architectural Graduate 2 Total 4</v>
      </c>
    </row>
    <row r="1200" ht="15.75" customHeight="1">
      <c r="A1200" s="2" t="s">
        <v>871</v>
      </c>
      <c r="B1200" s="2">
        <v>1.0</v>
      </c>
      <c r="D1200" s="2" t="s">
        <v>922</v>
      </c>
    </row>
    <row r="1201" ht="15.75" customHeight="1">
      <c r="A1201" s="2" t="s">
        <v>872</v>
      </c>
      <c r="B1201" s="2">
        <v>1.0</v>
      </c>
      <c r="D1201" s="2" t="s">
        <v>923</v>
      </c>
    </row>
    <row r="1202" ht="15.75" customHeight="1">
      <c r="A1202" s="2" t="s">
        <v>873</v>
      </c>
      <c r="B1202" s="2">
        <v>1.0</v>
      </c>
      <c r="D1202" s="2" t="s">
        <v>924</v>
      </c>
    </row>
    <row r="1203" ht="15.75" customHeight="1">
      <c r="A1203" s="2" t="s">
        <v>874</v>
      </c>
      <c r="B1203" s="2">
        <v>1.0</v>
      </c>
      <c r="D1203" s="2" t="s">
        <v>925</v>
      </c>
    </row>
    <row r="1204" ht="15.75" customHeight="1">
      <c r="A1204" s="2" t="s">
        <v>7</v>
      </c>
      <c r="B1204" s="2">
        <v>1.0</v>
      </c>
      <c r="D1204" s="2" t="s">
        <v>926</v>
      </c>
    </row>
    <row r="1205" ht="15.75" customHeight="1">
      <c r="A1205" s="2" t="s">
        <v>875</v>
      </c>
      <c r="B1205" s="2">
        <v>1.0</v>
      </c>
      <c r="D1205" s="2" t="s">
        <v>927</v>
      </c>
    </row>
    <row r="1206" ht="15.75" customHeight="1">
      <c r="A1206" s="2" t="s">
        <v>37</v>
      </c>
      <c r="B1206" s="2">
        <v>1.0</v>
      </c>
      <c r="D1206" s="2" t="s">
        <v>928</v>
      </c>
    </row>
    <row r="1207" ht="15.75" customHeight="1">
      <c r="A1207" s="2" t="s">
        <v>38</v>
      </c>
      <c r="B1207" s="2">
        <v>1.0</v>
      </c>
      <c r="D1207" s="2" t="s">
        <v>929</v>
      </c>
    </row>
    <row r="1208" ht="15.75" customHeight="1">
      <c r="A1208" s="1" t="s">
        <v>876</v>
      </c>
      <c r="B1208" s="1"/>
      <c r="C1208" s="5">
        <f>B1209+B1210+B1211+B1213+B1214+B1215+B1216+B1217+B1212</f>
        <v>8</v>
      </c>
      <c r="D1208" s="2" t="s">
        <v>921</v>
      </c>
      <c r="F1208" s="2" t="str">
        <f>A1208</f>
        <v>IAB-RP-A29</v>
      </c>
      <c r="G1208" s="2" t="str">
        <f>A1209</f>
        <v>ARESCON CONSULTANT (Est-2004)</v>
      </c>
      <c r="H1208" s="2" t="str">
        <f>A1210</f>
        <v>Office Address: 137, Jahanara Garden, Green Road, 5th Floor, Dhaka-1205</v>
      </c>
      <c r="I1208" s="2" t="str">
        <f>A1211</f>
        <v>Email ID: helal201@hotmail.com, arescon1984@gmail.com Contact: +88-02-8151121, +8801713037260</v>
      </c>
      <c r="J1208" s="2" t="str">
        <f>A1212</f>
        <v>website:</v>
      </c>
      <c r="K1208" s="2" t="str">
        <f>A1213</f>
        <v>NAME OF PROPRIETOR/ PARTNER/ DIRECTOR(s) &amp; DESIGNATION</v>
      </c>
      <c r="L1208" s="2" t="str">
        <f>A1214</f>
        <v>Ar. Md. Helal Uddin (U-006) Principal Architect</v>
      </c>
      <c r="M1208" s="2" t="str">
        <f>A1215</f>
        <v>FULL TIME ARCHITECTURAL PERSONNEL OF THE FIRM/COMPANY:</v>
      </c>
      <c r="N1208" s="2" t="str">
        <f>A1216</f>
        <v>IAB Member Architect 2 Architectural Graduate 1 Total 3</v>
      </c>
    </row>
    <row r="1209" ht="15.75" customHeight="1">
      <c r="A1209" s="2" t="s">
        <v>784</v>
      </c>
      <c r="B1209" s="2">
        <v>1.0</v>
      </c>
      <c r="D1209" s="2" t="s">
        <v>922</v>
      </c>
    </row>
    <row r="1210" ht="15.75" customHeight="1">
      <c r="A1210" s="2" t="s">
        <v>877</v>
      </c>
      <c r="B1210" s="2">
        <v>1.0</v>
      </c>
      <c r="D1210" s="2" t="s">
        <v>923</v>
      </c>
    </row>
    <row r="1211" ht="15.75" customHeight="1">
      <c r="A1211" s="2" t="s">
        <v>878</v>
      </c>
      <c r="B1211" s="2">
        <v>1.0</v>
      </c>
      <c r="D1211" s="2" t="s">
        <v>924</v>
      </c>
    </row>
    <row r="1212" ht="15.75" customHeight="1">
      <c r="A1212" s="2" t="s">
        <v>936</v>
      </c>
      <c r="B1212" s="2">
        <v>1.0</v>
      </c>
      <c r="D1212" s="2" t="s">
        <v>925</v>
      </c>
    </row>
    <row r="1213" ht="15.75" customHeight="1">
      <c r="A1213" s="2" t="s">
        <v>7</v>
      </c>
      <c r="B1213" s="2">
        <v>1.0</v>
      </c>
      <c r="D1213" s="2" t="s">
        <v>926</v>
      </c>
    </row>
    <row r="1214" ht="15.75" customHeight="1">
      <c r="A1214" s="2" t="s">
        <v>879</v>
      </c>
      <c r="B1214" s="2">
        <v>1.0</v>
      </c>
      <c r="D1214" s="2" t="s">
        <v>927</v>
      </c>
    </row>
    <row r="1215" ht="15.75" customHeight="1">
      <c r="A1215" s="2" t="s">
        <v>37</v>
      </c>
      <c r="B1215" s="2">
        <v>1.0</v>
      </c>
      <c r="D1215" s="2" t="s">
        <v>928</v>
      </c>
    </row>
    <row r="1216" ht="15.75" customHeight="1">
      <c r="A1216" s="2" t="s">
        <v>52</v>
      </c>
      <c r="B1216" s="2">
        <v>1.0</v>
      </c>
      <c r="D1216" s="2" t="s">
        <v>929</v>
      </c>
    </row>
    <row r="1217" ht="15.75" customHeight="1">
      <c r="A1217" s="1" t="s">
        <v>880</v>
      </c>
      <c r="B1217" s="1"/>
      <c r="C1217" s="5">
        <f>B1218+B1219+B1220+B1221+B1222+B1223+B1224+B1225</f>
        <v>8</v>
      </c>
      <c r="D1217" s="2" t="s">
        <v>921</v>
      </c>
      <c r="F1217" s="2" t="str">
        <f>A1217</f>
        <v>IAB-RP-A30</v>
      </c>
      <c r="G1217" s="2" t="str">
        <f>A1218</f>
        <v>ARCHITECTS’ HORIZON (Est-2017)</v>
      </c>
      <c r="H1217" s="2" t="str">
        <f>A1219</f>
        <v>Office Address: House-05, Road-14, Nikunja2, Khilkhat, Dhaka-1229</v>
      </c>
      <c r="I1217" s="2" t="str">
        <f>A1220</f>
        <v>Email ID: biplob.azone@gmail.com Contact: +88-02-55098138, +8801755599208</v>
      </c>
      <c r="J1217" s="2" t="str">
        <f>A1221</f>
        <v>Website : www.architectshorizon.com</v>
      </c>
      <c r="K1217" s="2" t="str">
        <f>A1222</f>
        <v>NAME OF PROPRIETOR/ PARTNER/ DIRECTOR(s) &amp; DESIGNATION</v>
      </c>
      <c r="L1217" s="2" t="str">
        <f>A1223</f>
        <v>Ar. Biplob Kumar Mondal (M-116) Founder &amp; Lead Architect</v>
      </c>
      <c r="M1217" s="2" t="str">
        <f>A1224</f>
        <v>FULL TIME ARCHITECTURAL PERSONNEL OF THE FIRM/COMPANY:</v>
      </c>
      <c r="N1217" s="2" t="str">
        <f>A1225</f>
        <v>IAB Member Architect 3 Architectural Graduate Total 3</v>
      </c>
    </row>
    <row r="1218" ht="15.75" customHeight="1">
      <c r="A1218" s="2" t="s">
        <v>881</v>
      </c>
      <c r="B1218" s="2">
        <v>1.0</v>
      </c>
      <c r="D1218" s="2" t="s">
        <v>922</v>
      </c>
    </row>
    <row r="1219" ht="15.75" customHeight="1">
      <c r="A1219" s="2" t="s">
        <v>882</v>
      </c>
      <c r="B1219" s="2">
        <v>1.0</v>
      </c>
      <c r="D1219" s="2" t="s">
        <v>923</v>
      </c>
    </row>
    <row r="1220" ht="15.75" customHeight="1">
      <c r="A1220" s="2" t="s">
        <v>883</v>
      </c>
      <c r="B1220" s="2">
        <v>1.0</v>
      </c>
      <c r="D1220" s="2" t="s">
        <v>924</v>
      </c>
    </row>
    <row r="1221" ht="15.75" customHeight="1">
      <c r="A1221" s="2" t="s">
        <v>884</v>
      </c>
      <c r="B1221" s="2">
        <v>1.0</v>
      </c>
      <c r="D1221" s="2" t="s">
        <v>925</v>
      </c>
    </row>
    <row r="1222" ht="15.75" customHeight="1">
      <c r="A1222" s="2" t="s">
        <v>7</v>
      </c>
      <c r="B1222" s="2">
        <v>1.0</v>
      </c>
      <c r="D1222" s="2" t="s">
        <v>926</v>
      </c>
    </row>
    <row r="1223" ht="15.75" customHeight="1">
      <c r="A1223" s="2" t="s">
        <v>885</v>
      </c>
      <c r="B1223" s="2">
        <v>1.0</v>
      </c>
      <c r="D1223" s="2" t="s">
        <v>927</v>
      </c>
    </row>
    <row r="1224" ht="15.75" customHeight="1">
      <c r="A1224" s="2" t="s">
        <v>37</v>
      </c>
      <c r="B1224" s="2">
        <v>1.0</v>
      </c>
      <c r="D1224" s="2" t="s">
        <v>928</v>
      </c>
    </row>
    <row r="1225" ht="15.75" customHeight="1">
      <c r="A1225" s="2" t="s">
        <v>886</v>
      </c>
      <c r="B1225" s="2">
        <v>1.0</v>
      </c>
      <c r="D1225" s="2" t="s">
        <v>929</v>
      </c>
    </row>
    <row r="1226" ht="15.75" customHeight="1">
      <c r="A1226" s="1" t="s">
        <v>887</v>
      </c>
      <c r="B1226" s="1"/>
      <c r="C1226" s="5">
        <f>B1227+B1228+B1229+B1230+B1231+B1232+B1233+B1234</f>
        <v>8</v>
      </c>
      <c r="D1226" s="2" t="s">
        <v>921</v>
      </c>
      <c r="F1226" s="2" t="str">
        <f>A1226</f>
        <v>IAB-RP-A31</v>
      </c>
      <c r="G1226" s="2" t="str">
        <f>A1227</f>
        <v>ASSOCONSULT LTD. (Est-1985)</v>
      </c>
      <c r="H1226" s="2" t="str">
        <f>A1228</f>
        <v>Office Address: 849/3, Begum Rokeya Sharani, 2nd Floor, Shewrapara, Mirpur, Dhaka-1216</v>
      </c>
      <c r="I1226" s="2" t="str">
        <f>A1229</f>
        <v>Email ID: assoconbangla@yahoo.com Contact: +88-02-9004662, +88-02-9004663</v>
      </c>
      <c r="J1226" s="2" t="str">
        <f>A1230</f>
        <v>Website :</v>
      </c>
      <c r="K1226" s="2" t="str">
        <f>A1231</f>
        <v>NAME OF PROPRIETOR/ PARTNER/ DIRECTOR(s) &amp; DESIGNATION</v>
      </c>
      <c r="L1226" s="2" t="str">
        <f>A1232</f>
        <v>Ar. Mubasshar Hussain (H-013) Managing Director</v>
      </c>
      <c r="M1226" s="2" t="str">
        <f>A1233</f>
        <v>FULL TIME ARCHITECTURAL PERSONNEL OF THE FIRM/COMPANY:</v>
      </c>
      <c r="N1226" s="2" t="str">
        <f>A1234</f>
        <v>IAB Member Architect 2 Architectural Graduate Total 2</v>
      </c>
    </row>
    <row r="1227" ht="15.75" customHeight="1">
      <c r="A1227" s="2" t="s">
        <v>888</v>
      </c>
      <c r="B1227" s="2">
        <v>1.0</v>
      </c>
      <c r="D1227" s="2" t="s">
        <v>922</v>
      </c>
    </row>
    <row r="1228" ht="15.75" customHeight="1">
      <c r="A1228" s="2" t="s">
        <v>889</v>
      </c>
      <c r="B1228" s="2">
        <v>1.0</v>
      </c>
      <c r="D1228" s="2" t="s">
        <v>923</v>
      </c>
    </row>
    <row r="1229" ht="15.75" customHeight="1">
      <c r="A1229" s="2" t="s">
        <v>890</v>
      </c>
      <c r="B1229" s="2">
        <v>1.0</v>
      </c>
      <c r="D1229" s="2" t="s">
        <v>924</v>
      </c>
    </row>
    <row r="1230" ht="15.75" customHeight="1">
      <c r="A1230" s="2" t="s">
        <v>50</v>
      </c>
      <c r="B1230" s="2">
        <v>1.0</v>
      </c>
      <c r="D1230" s="2" t="s">
        <v>925</v>
      </c>
    </row>
    <row r="1231" ht="15.75" customHeight="1">
      <c r="A1231" s="2" t="s">
        <v>7</v>
      </c>
      <c r="B1231" s="2">
        <v>1.0</v>
      </c>
      <c r="D1231" s="2" t="s">
        <v>926</v>
      </c>
    </row>
    <row r="1232" ht="15.75" customHeight="1">
      <c r="A1232" s="2" t="s">
        <v>891</v>
      </c>
      <c r="B1232" s="2">
        <v>1.0</v>
      </c>
      <c r="D1232" s="2" t="s">
        <v>927</v>
      </c>
    </row>
    <row r="1233" ht="15.75" customHeight="1">
      <c r="A1233" s="2" t="s">
        <v>37</v>
      </c>
      <c r="B1233" s="2">
        <v>1.0</v>
      </c>
      <c r="D1233" s="2" t="s">
        <v>928</v>
      </c>
    </row>
    <row r="1234" ht="15.75" customHeight="1">
      <c r="A1234" s="2" t="s">
        <v>892</v>
      </c>
      <c r="B1234" s="2">
        <v>1.0</v>
      </c>
      <c r="D1234" s="2" t="s">
        <v>929</v>
      </c>
    </row>
    <row r="1235" ht="15.75" customHeight="1">
      <c r="A1235" s="1" t="s">
        <v>893</v>
      </c>
      <c r="B1235" s="1"/>
      <c r="C1235" s="5">
        <f>B1236+B1237+B1238+B1240+B1241+B1239+B1242+B1243</f>
        <v>8</v>
      </c>
      <c r="D1235" s="2" t="s">
        <v>921</v>
      </c>
      <c r="F1235" s="2" t="str">
        <f>A1235</f>
        <v>IAB-RP-A32</v>
      </c>
      <c r="G1235" s="2" t="str">
        <f>A1236</f>
        <v>AURITRO ARCHITECTS (Est-2014)</v>
      </c>
      <c r="H1235" s="2" t="str">
        <f>A1237</f>
        <v>Office Address: House-60/A, Road-7/A, Dhanmondi R/A, Dhaka-1209</v>
      </c>
      <c r="I1235" s="2" t="str">
        <f>A1238</f>
        <v>Email ID: aupee0061@gmail.com Contact: +88 01815258257</v>
      </c>
      <c r="J1235" s="2" t="str">
        <f>A1239</f>
        <v>website:</v>
      </c>
      <c r="K1235" s="2" t="str">
        <f>A1240</f>
        <v>NAME OF PROPRIETOR/ PARTNER/ DIRECTOR(s) &amp; DESIGNATION</v>
      </c>
      <c r="L1235" s="2" t="str">
        <f>A1241</f>
        <v>Ar. Mohammad Mahbub Hossain (H-149) Managing Partner &amp; Ar. Nusrat Sumaiya (S-118) Managing Partner</v>
      </c>
      <c r="M1235" s="2" t="str">
        <f>A1242</f>
        <v>FULL TIME ARCHITECTURAL PERSONNEL OF THE FIRM/COMPANY:</v>
      </c>
      <c r="N1235" s="2" t="str">
        <f>A1243</f>
        <v>IAB Member Architect 4 Architectural Graduate 0 Total 4</v>
      </c>
    </row>
    <row r="1236" ht="15.75" customHeight="1">
      <c r="A1236" s="2" t="s">
        <v>894</v>
      </c>
      <c r="B1236" s="2">
        <v>1.0</v>
      </c>
      <c r="D1236" s="2" t="s">
        <v>922</v>
      </c>
    </row>
    <row r="1237" ht="15.75" customHeight="1">
      <c r="A1237" s="2" t="s">
        <v>895</v>
      </c>
      <c r="B1237" s="2">
        <v>1.0</v>
      </c>
      <c r="D1237" s="2" t="s">
        <v>923</v>
      </c>
    </row>
    <row r="1238" ht="15.75" customHeight="1">
      <c r="A1238" s="2" t="s">
        <v>896</v>
      </c>
      <c r="B1238" s="2">
        <v>1.0</v>
      </c>
      <c r="D1238" s="2" t="s">
        <v>924</v>
      </c>
    </row>
    <row r="1239" ht="15.75" customHeight="1">
      <c r="A1239" s="2" t="s">
        <v>936</v>
      </c>
      <c r="B1239" s="2">
        <v>1.0</v>
      </c>
      <c r="D1239" s="2" t="s">
        <v>925</v>
      </c>
    </row>
    <row r="1240" ht="15.75" customHeight="1">
      <c r="A1240" s="2" t="s">
        <v>7</v>
      </c>
      <c r="B1240" s="2">
        <v>1.0</v>
      </c>
      <c r="D1240" s="2" t="s">
        <v>926</v>
      </c>
    </row>
    <row r="1241" ht="15.75" customHeight="1">
      <c r="A1241" s="2" t="s">
        <v>976</v>
      </c>
      <c r="B1241" s="2">
        <v>1.0</v>
      </c>
      <c r="D1241" s="2" t="s">
        <v>927</v>
      </c>
    </row>
    <row r="1242" ht="15.75" customHeight="1">
      <c r="A1242" s="2" t="s">
        <v>37</v>
      </c>
      <c r="B1242" s="2">
        <v>1.0</v>
      </c>
      <c r="D1242" s="2" t="s">
        <v>928</v>
      </c>
    </row>
    <row r="1243" ht="15.75" customHeight="1">
      <c r="A1243" s="2" t="s">
        <v>899</v>
      </c>
      <c r="B1243" s="2">
        <v>1.0</v>
      </c>
      <c r="D1243" s="2" t="s">
        <v>929</v>
      </c>
    </row>
    <row r="1244" ht="15.75" customHeight="1">
      <c r="A1244" s="1" t="s">
        <v>900</v>
      </c>
      <c r="B1244" s="1"/>
      <c r="C1244" s="5">
        <f>B1245+B1246+B1247+B1248+B1249+B1250+B1251+B1252</f>
        <v>8</v>
      </c>
      <c r="D1244" s="2" t="s">
        <v>921</v>
      </c>
      <c r="F1244" s="2" t="str">
        <f>A1244</f>
        <v>IAB-RP-A33</v>
      </c>
      <c r="G1244" s="2" t="str">
        <f>A1245</f>
        <v>ARCHITECTS &amp; ASSOCIATES LTD (Est-)</v>
      </c>
      <c r="H1244" s="2" t="str">
        <f>A1246</f>
        <v>Office Address: Plot no-NEO/16, Block-C, Holding no-730, Khilgaon, Dhaka</v>
      </c>
      <c r="I1244" s="2" t="str">
        <f>A1247</f>
        <v>Email ID: arch@aaaltd.com.bd Contact: +88 01758742536, +88 02-47215613</v>
      </c>
      <c r="J1244" s="2" t="str">
        <f>A1248</f>
        <v>Website:</v>
      </c>
      <c r="K1244" s="2" t="str">
        <f>A1249</f>
        <v>NAME OF PROPRIETOR/ PARTNER/ DIRECTOR(s) &amp; DESIGNATION</v>
      </c>
      <c r="L1244" s="2" t="str">
        <f>A1250</f>
        <v>Ar. Mahbubul Hasan (H-209) Principal Architect</v>
      </c>
      <c r="M1244" s="2" t="str">
        <f>A1251</f>
        <v>FULL TIME ARCHITECTURAL PERSONNEL OF THE FIRM/COMPANY:</v>
      </c>
      <c r="N1244" s="2" t="str">
        <f>A1252</f>
        <v>IAB Member Architect Architectural Graduate Total</v>
      </c>
    </row>
    <row r="1245" ht="15.75" customHeight="1">
      <c r="A1245" s="2" t="s">
        <v>901</v>
      </c>
      <c r="B1245" s="2">
        <v>1.0</v>
      </c>
      <c r="D1245" s="2" t="s">
        <v>922</v>
      </c>
    </row>
    <row r="1246" ht="15.75" customHeight="1">
      <c r="A1246" s="2" t="s">
        <v>902</v>
      </c>
      <c r="B1246" s="2">
        <v>1.0</v>
      </c>
      <c r="D1246" s="2" t="s">
        <v>923</v>
      </c>
    </row>
    <row r="1247" ht="15.75" customHeight="1">
      <c r="A1247" s="2" t="s">
        <v>903</v>
      </c>
      <c r="B1247" s="2">
        <v>1.0</v>
      </c>
      <c r="D1247" s="2" t="s">
        <v>924</v>
      </c>
    </row>
    <row r="1248" ht="15.75" customHeight="1">
      <c r="A1248" s="2" t="s">
        <v>289</v>
      </c>
      <c r="B1248" s="2">
        <v>1.0</v>
      </c>
      <c r="D1248" s="2" t="s">
        <v>925</v>
      </c>
    </row>
    <row r="1249" ht="15.75" customHeight="1">
      <c r="A1249" s="2" t="s">
        <v>7</v>
      </c>
      <c r="B1249" s="2">
        <v>1.0</v>
      </c>
      <c r="D1249" s="2" t="s">
        <v>926</v>
      </c>
    </row>
    <row r="1250" ht="15.75" customHeight="1">
      <c r="A1250" s="2" t="s">
        <v>904</v>
      </c>
      <c r="B1250" s="2">
        <v>1.0</v>
      </c>
      <c r="D1250" s="2" t="s">
        <v>927</v>
      </c>
    </row>
    <row r="1251" ht="15.75" customHeight="1">
      <c r="A1251" s="2" t="s">
        <v>37</v>
      </c>
      <c r="B1251" s="2">
        <v>1.0</v>
      </c>
      <c r="D1251" s="2" t="s">
        <v>928</v>
      </c>
    </row>
    <row r="1252" ht="15.75" customHeight="1">
      <c r="A1252" s="2" t="s">
        <v>161</v>
      </c>
      <c r="B1252" s="2">
        <v>1.0</v>
      </c>
      <c r="D1252" s="2" t="s">
        <v>929</v>
      </c>
    </row>
    <row r="1253" ht="15.75" customHeight="1">
      <c r="A1253" s="1" t="s">
        <v>905</v>
      </c>
      <c r="B1253" s="1"/>
      <c r="C1253" s="5">
        <f>B1254+B1255+B1256+B1257+B1258+B1259+B1260+B1261</f>
        <v>8</v>
      </c>
      <c r="D1253" s="2" t="s">
        <v>921</v>
      </c>
      <c r="F1253" s="2" t="str">
        <f>A1253</f>
        <v>IAB-RP-A34</v>
      </c>
      <c r="G1253" s="2" t="str">
        <f>A1254</f>
        <v>ARCHIWORKS CONSULTANTS (Est-2009)</v>
      </c>
      <c r="H1253" s="2" t="str">
        <f>A1255</f>
        <v>Office Address: House-48, Road-02, Block-B, 1st Floor, Niketan R/A, Gulshan-1, Dhaka-1212</v>
      </c>
      <c r="I1253" s="2" t="str">
        <f>A1256</f>
        <v>Email ID: archiworks.bd@hotmail.com Contact: +88 01715035772</v>
      </c>
      <c r="J1253" s="2" t="str">
        <f>A1257</f>
        <v>Website: archiworksbd.wixsite.com/home</v>
      </c>
      <c r="K1253" s="2" t="str">
        <f>A1258</f>
        <v>NAME OF PROPRIETOR/ PARTNER/ DIRECTOR(s) &amp; DESIGNATION</v>
      </c>
      <c r="L1253" s="2" t="str">
        <f>A1259</f>
        <v>Ar. M. Arefeen Ibrahim (I-047) Principal Architect</v>
      </c>
      <c r="M1253" s="2" t="str">
        <f>A1260</f>
        <v>FULL TIME ARCHITECTURAL PERSONNEL OF THE FIRM/COMPANY:</v>
      </c>
      <c r="N1253" s="2" t="str">
        <f>A1261</f>
        <v>IAB Member Architect Architectural Graduate Total</v>
      </c>
    </row>
    <row r="1254" ht="15.75" customHeight="1">
      <c r="A1254" s="2" t="s">
        <v>771</v>
      </c>
      <c r="B1254" s="2">
        <v>1.0</v>
      </c>
      <c r="D1254" s="2" t="s">
        <v>922</v>
      </c>
    </row>
    <row r="1255" ht="15.75" customHeight="1">
      <c r="A1255" s="2" t="s">
        <v>906</v>
      </c>
      <c r="B1255" s="2">
        <v>1.0</v>
      </c>
      <c r="D1255" s="2" t="s">
        <v>923</v>
      </c>
    </row>
    <row r="1256" ht="15.75" customHeight="1">
      <c r="A1256" s="2" t="s">
        <v>907</v>
      </c>
      <c r="B1256" s="2">
        <v>1.0</v>
      </c>
      <c r="D1256" s="2" t="s">
        <v>924</v>
      </c>
    </row>
    <row r="1257" ht="15.75" customHeight="1">
      <c r="A1257" s="2" t="s">
        <v>908</v>
      </c>
      <c r="B1257" s="2">
        <v>1.0</v>
      </c>
      <c r="D1257" s="2" t="s">
        <v>925</v>
      </c>
    </row>
    <row r="1258" ht="15.75" customHeight="1">
      <c r="A1258" s="2" t="s">
        <v>7</v>
      </c>
      <c r="B1258" s="2">
        <v>1.0</v>
      </c>
      <c r="D1258" s="2" t="s">
        <v>926</v>
      </c>
    </row>
    <row r="1259" ht="15.75" customHeight="1">
      <c r="A1259" s="2" t="s">
        <v>909</v>
      </c>
      <c r="B1259" s="2">
        <v>1.0</v>
      </c>
      <c r="D1259" s="2" t="s">
        <v>927</v>
      </c>
    </row>
    <row r="1260" ht="15.75" customHeight="1">
      <c r="A1260" s="2" t="s">
        <v>37</v>
      </c>
      <c r="B1260" s="2">
        <v>1.0</v>
      </c>
      <c r="D1260" s="2" t="s">
        <v>928</v>
      </c>
    </row>
    <row r="1261" ht="15.75" customHeight="1">
      <c r="A1261" s="2" t="s">
        <v>161</v>
      </c>
      <c r="B1261" s="2">
        <v>1.0</v>
      </c>
      <c r="D1261" s="2" t="s">
        <v>929</v>
      </c>
    </row>
    <row r="1262" ht="15.75" customHeight="1">
      <c r="A1262" s="1" t="s">
        <v>910</v>
      </c>
      <c r="B1262" s="1"/>
      <c r="C1262" s="5">
        <f>B1263+B1264+B1265+B1266+B1267+B1268+B1269+B1270</f>
        <v>8</v>
      </c>
      <c r="D1262" s="2" t="s">
        <v>921</v>
      </c>
      <c r="F1262" s="2" t="str">
        <f>A1262</f>
        <v>IAB-RP-A35</v>
      </c>
      <c r="G1262" s="2" t="str">
        <f>A1263</f>
        <v>ANGON ARCHITECTS (Est-2017)</v>
      </c>
      <c r="H1262" s="2" t="str">
        <f>A1264</f>
        <v>Office Address: House-60/A, Road-7/A, Dhanmondi, Dhaka-1216</v>
      </c>
      <c r="I1262" s="2" t="str">
        <f>A1265</f>
        <v>Email ID: emun97@gmail.com Contact: +88 01711829295</v>
      </c>
      <c r="J1262" s="2" t="str">
        <f>A1266</f>
        <v>Website:</v>
      </c>
      <c r="K1262" s="2" t="str">
        <f>A1267</f>
        <v>NAME OF PROPRIETOR/ PARTNER/ DIRECTOR(s) &amp; DESIGNATION</v>
      </c>
      <c r="L1262" s="2" t="str">
        <f>A1268</f>
        <v>Ar. Md. Momanul Islam Emun (E-008) Principal Architect</v>
      </c>
      <c r="M1262" s="2" t="str">
        <f>A1269</f>
        <v>FULL TIME ARCHITECTURAL PERSONNEL OF THE FIRM/COMPANY:</v>
      </c>
      <c r="N1262" s="2" t="str">
        <f>A1270</f>
        <v>IAB Member Architect 03 Architectural Graduate Total 03</v>
      </c>
    </row>
    <row r="1263" ht="15.75" customHeight="1">
      <c r="A1263" s="2" t="s">
        <v>911</v>
      </c>
      <c r="B1263" s="2">
        <v>1.0</v>
      </c>
      <c r="D1263" s="2" t="s">
        <v>922</v>
      </c>
    </row>
    <row r="1264" ht="15.75" customHeight="1">
      <c r="A1264" s="2" t="s">
        <v>912</v>
      </c>
      <c r="B1264" s="2">
        <v>1.0</v>
      </c>
      <c r="D1264" s="2" t="s">
        <v>923</v>
      </c>
    </row>
    <row r="1265" ht="15.75" customHeight="1">
      <c r="A1265" s="2" t="s">
        <v>913</v>
      </c>
      <c r="B1265" s="2">
        <v>1.0</v>
      </c>
      <c r="D1265" s="2" t="s">
        <v>924</v>
      </c>
    </row>
    <row r="1266" ht="15.75" customHeight="1">
      <c r="A1266" s="2" t="s">
        <v>289</v>
      </c>
      <c r="B1266" s="2">
        <v>1.0</v>
      </c>
      <c r="D1266" s="2" t="s">
        <v>925</v>
      </c>
    </row>
    <row r="1267" ht="15.75" customHeight="1">
      <c r="A1267" s="2" t="s">
        <v>7</v>
      </c>
      <c r="B1267" s="2">
        <v>1.0</v>
      </c>
      <c r="D1267" s="2" t="s">
        <v>926</v>
      </c>
    </row>
    <row r="1268" ht="15.75" customHeight="1">
      <c r="A1268" s="2" t="s">
        <v>914</v>
      </c>
      <c r="B1268" s="2">
        <v>1.0</v>
      </c>
      <c r="D1268" s="2" t="s">
        <v>927</v>
      </c>
    </row>
    <row r="1269" ht="15.75" customHeight="1">
      <c r="A1269" s="2" t="s">
        <v>37</v>
      </c>
      <c r="B1269" s="2">
        <v>1.0</v>
      </c>
      <c r="D1269" s="2" t="s">
        <v>928</v>
      </c>
    </row>
    <row r="1270" ht="15.75" customHeight="1">
      <c r="A1270" s="2" t="s">
        <v>291</v>
      </c>
      <c r="B1270" s="2">
        <v>1.0</v>
      </c>
      <c r="D1270" s="2" t="s">
        <v>929</v>
      </c>
    </row>
    <row r="1271" ht="15.75" customHeight="1">
      <c r="A1271" s="1" t="s">
        <v>915</v>
      </c>
      <c r="B1271" s="1"/>
      <c r="C1271" s="5">
        <f>B1272+B1273+B1274+B1275+B1276+B1277+B1279+B1278</f>
        <v>8</v>
      </c>
      <c r="D1271" s="2" t="s">
        <v>921</v>
      </c>
      <c r="F1271" s="2" t="str">
        <f>A1271</f>
        <v>IAB-RP-A36</v>
      </c>
      <c r="G1271" s="2" t="str">
        <f>A1272</f>
        <v>ARC ANGON CONSORTIUM (Est-2017)</v>
      </c>
      <c r="H1271" s="2" t="str">
        <f>A1273</f>
        <v>Office Address: House-60/A, Road-7/A, Dhanmondi, Dhaka-1216</v>
      </c>
      <c r="I1271" s="2" t="str">
        <f>A1274</f>
        <v>Email ID: emun97@gmail.com Contact: +88 01711829295</v>
      </c>
      <c r="J1271" s="2" t="str">
        <f>A1275</f>
        <v>Website:</v>
      </c>
      <c r="K1271" s="2" t="str">
        <f>A1276</f>
        <v>NAME OF PROPRIETOR/ PARTNER/ DIRECTOR(s) &amp; DESIGNATION</v>
      </c>
      <c r="L1271" s="2" t="str">
        <f>A1277</f>
        <v>Ar. Nahas Ahmed Khalil (K-022) Partner &amp; Ar. Md. Momanul Islam Emun (E-008) Partner</v>
      </c>
      <c r="M1271" s="2" t="str">
        <f>A1278</f>
        <v>FULL TIME ARCHITECTURAL PERSONNEL OF THE FIRM/COMPANY:</v>
      </c>
      <c r="N1271" s="2" t="str">
        <f>A1279</f>
        <v>IAB Member Architect 04 Architectural Graduate Total 04</v>
      </c>
    </row>
    <row r="1272" ht="15.75" customHeight="1">
      <c r="A1272" s="2" t="s">
        <v>916</v>
      </c>
      <c r="B1272" s="2">
        <v>1.0</v>
      </c>
      <c r="D1272" s="2" t="s">
        <v>922</v>
      </c>
    </row>
    <row r="1273" ht="15.75" customHeight="1">
      <c r="A1273" s="2" t="s">
        <v>912</v>
      </c>
      <c r="B1273" s="2">
        <v>1.0</v>
      </c>
      <c r="D1273" s="2" t="s">
        <v>923</v>
      </c>
    </row>
    <row r="1274" ht="15.75" customHeight="1">
      <c r="A1274" s="2" t="s">
        <v>913</v>
      </c>
      <c r="B1274" s="2">
        <v>1.0</v>
      </c>
      <c r="D1274" s="2" t="s">
        <v>924</v>
      </c>
    </row>
    <row r="1275" ht="15.75" customHeight="1">
      <c r="A1275" s="2" t="s">
        <v>289</v>
      </c>
      <c r="B1275" s="2">
        <v>1.0</v>
      </c>
      <c r="D1275" s="2" t="s">
        <v>925</v>
      </c>
    </row>
    <row r="1276" ht="15.75" customHeight="1">
      <c r="A1276" s="2" t="s">
        <v>7</v>
      </c>
      <c r="B1276" s="2">
        <v>1.0</v>
      </c>
      <c r="D1276" s="2" t="s">
        <v>926</v>
      </c>
    </row>
    <row r="1277" ht="15.75" customHeight="1">
      <c r="A1277" s="2" t="s">
        <v>977</v>
      </c>
      <c r="B1277" s="2">
        <v>1.0</v>
      </c>
      <c r="D1277" s="2" t="s">
        <v>927</v>
      </c>
    </row>
    <row r="1278" ht="15.75" customHeight="1">
      <c r="A1278" s="2" t="s">
        <v>37</v>
      </c>
      <c r="B1278" s="2">
        <v>1.0</v>
      </c>
      <c r="D1278" s="2" t="s">
        <v>928</v>
      </c>
    </row>
    <row r="1279" ht="15.75" customHeight="1">
      <c r="A1279" s="2" t="s">
        <v>919</v>
      </c>
      <c r="B1279" s="2">
        <v>1.0</v>
      </c>
      <c r="D1279" s="2" t="s">
        <v>929</v>
      </c>
    </row>
  </sheetData>
  <autoFilter ref="$F$1:$N$1279"/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41.38"/>
    <col customWidth="1" min="2" max="2" width="4.13"/>
    <col customWidth="1" min="3" max="3" width="12.63"/>
    <col customWidth="1" min="4" max="4" width="14.63"/>
    <col customWidth="1" min="5" max="6" width="12.63"/>
    <col customWidth="1" min="7" max="7" width="63.0"/>
    <col customWidth="1" min="8" max="8" width="43.63"/>
    <col customWidth="1" min="9" max="9" width="23.75"/>
    <col customWidth="1" min="10" max="10" width="43.75"/>
    <col customWidth="1" min="11" max="11" width="53.75"/>
    <col customWidth="1" min="12" max="12" width="141.38"/>
    <col customWidth="1" min="13" max="13" width="50.38"/>
    <col customWidth="1" min="14" max="14" width="45.25"/>
  </cols>
  <sheetData>
    <row r="1" ht="15.75" customHeight="1">
      <c r="A1" s="6"/>
      <c r="B1" s="7"/>
      <c r="C1" s="7"/>
      <c r="D1" s="7"/>
      <c r="F1" s="4" t="s">
        <v>921</v>
      </c>
      <c r="G1" s="4" t="s">
        <v>922</v>
      </c>
      <c r="H1" s="4" t="s">
        <v>923</v>
      </c>
      <c r="I1" s="4" t="s">
        <v>924</v>
      </c>
      <c r="J1" s="4" t="s">
        <v>925</v>
      </c>
      <c r="K1" s="4" t="s">
        <v>926</v>
      </c>
      <c r="L1" s="4" t="s">
        <v>927</v>
      </c>
      <c r="M1" s="4" t="s">
        <v>928</v>
      </c>
      <c r="N1" s="4" t="s">
        <v>929</v>
      </c>
    </row>
    <row r="2" ht="15.75" customHeight="1">
      <c r="A2" s="7"/>
      <c r="B2" s="7"/>
      <c r="C2" s="5"/>
      <c r="D2" s="7"/>
      <c r="F2" s="2" t="s">
        <v>2</v>
      </c>
      <c r="G2" s="2" t="s">
        <v>3</v>
      </c>
      <c r="H2" s="2" t="s">
        <v>4</v>
      </c>
      <c r="I2" s="2" t="s">
        <v>5</v>
      </c>
      <c r="J2" s="2" t="s">
        <v>6</v>
      </c>
      <c r="K2" s="2" t="s">
        <v>7</v>
      </c>
      <c r="L2" s="2" t="s">
        <v>8</v>
      </c>
      <c r="M2" s="2" t="s">
        <v>9</v>
      </c>
      <c r="N2" s="2" t="s">
        <v>10</v>
      </c>
    </row>
    <row r="3" ht="15.75" customHeight="1">
      <c r="A3" s="7"/>
      <c r="B3" s="7"/>
      <c r="C3" s="7"/>
      <c r="D3" s="7"/>
    </row>
    <row r="4" ht="15.75" customHeight="1">
      <c r="A4" s="7"/>
      <c r="B4" s="7"/>
      <c r="C4" s="7"/>
      <c r="D4" s="7"/>
    </row>
    <row r="5" ht="15.75" customHeight="1">
      <c r="A5" s="7"/>
      <c r="B5" s="7"/>
      <c r="C5" s="7"/>
      <c r="D5" s="7"/>
    </row>
    <row r="6" ht="15.75" customHeight="1">
      <c r="A6" s="7"/>
      <c r="B6" s="7"/>
      <c r="C6" s="7"/>
      <c r="D6" s="7"/>
    </row>
    <row r="7" ht="15.75" customHeight="1">
      <c r="A7" s="7"/>
      <c r="B7" s="7"/>
      <c r="C7" s="7"/>
      <c r="D7" s="7"/>
    </row>
    <row r="8" ht="15.75" customHeight="1">
      <c r="A8" s="7"/>
      <c r="B8" s="7"/>
      <c r="C8" s="7"/>
      <c r="D8" s="7"/>
    </row>
    <row r="9" ht="15.75" customHeight="1">
      <c r="A9" s="7"/>
      <c r="B9" s="7"/>
      <c r="C9" s="7"/>
      <c r="D9" s="7"/>
    </row>
    <row r="10" ht="15.75" customHeight="1">
      <c r="A10" s="7"/>
      <c r="B10" s="7"/>
      <c r="C10" s="7"/>
      <c r="D10" s="7"/>
    </row>
    <row r="11" ht="15.75" customHeight="1">
      <c r="A11" s="7"/>
      <c r="B11" s="7"/>
      <c r="C11" s="5"/>
      <c r="D11" s="7"/>
      <c r="F11" s="2" t="s">
        <v>11</v>
      </c>
      <c r="G11" s="2" t="s">
        <v>12</v>
      </c>
      <c r="H11" s="2" t="s">
        <v>13</v>
      </c>
      <c r="I11" s="2" t="s">
        <v>14</v>
      </c>
      <c r="J11" s="2" t="s">
        <v>289</v>
      </c>
      <c r="K11" s="2" t="s">
        <v>7</v>
      </c>
      <c r="L11" s="2" t="s">
        <v>15</v>
      </c>
      <c r="M11" s="2" t="s">
        <v>9</v>
      </c>
      <c r="N11" s="2" t="s">
        <v>16</v>
      </c>
    </row>
    <row r="12" ht="15.75" customHeight="1">
      <c r="A12" s="7"/>
      <c r="B12" s="7"/>
      <c r="C12" s="7"/>
      <c r="D12" s="7"/>
    </row>
    <row r="13" ht="15.75" customHeight="1">
      <c r="A13" s="7"/>
      <c r="B13" s="7"/>
      <c r="C13" s="7"/>
      <c r="D13" s="7"/>
    </row>
    <row r="14" ht="15.75" customHeight="1">
      <c r="A14" s="7"/>
      <c r="B14" s="7"/>
      <c r="C14" s="7"/>
      <c r="D14" s="7"/>
    </row>
    <row r="15" ht="15.75" customHeight="1">
      <c r="A15" s="7"/>
      <c r="B15" s="7"/>
      <c r="C15" s="7"/>
      <c r="D15" s="7"/>
    </row>
    <row r="16" ht="15.75" customHeight="1">
      <c r="A16" s="7"/>
      <c r="B16" s="7"/>
      <c r="C16" s="7"/>
      <c r="D16" s="7"/>
    </row>
    <row r="17" ht="15.75" customHeight="1">
      <c r="A17" s="7"/>
      <c r="B17" s="7"/>
      <c r="C17" s="7"/>
      <c r="D17" s="7"/>
    </row>
    <row r="18" ht="15.75" customHeight="1">
      <c r="A18" s="7"/>
      <c r="B18" s="7"/>
      <c r="C18" s="7"/>
      <c r="D18" s="7"/>
    </row>
    <row r="19" ht="15.75" customHeight="1">
      <c r="A19" s="7"/>
      <c r="B19" s="7"/>
      <c r="C19" s="7"/>
      <c r="D19" s="7"/>
    </row>
    <row r="20" ht="15.75" customHeight="1">
      <c r="A20" s="7"/>
      <c r="B20" s="7"/>
      <c r="C20" s="5"/>
      <c r="D20" s="7"/>
      <c r="F20" s="2" t="s">
        <v>17</v>
      </c>
      <c r="G20" s="2" t="s">
        <v>18</v>
      </c>
      <c r="H20" s="2" t="s">
        <v>19</v>
      </c>
      <c r="I20" s="2" t="s">
        <v>20</v>
      </c>
      <c r="J20" s="2" t="s">
        <v>21</v>
      </c>
      <c r="K20" s="2" t="s">
        <v>7</v>
      </c>
      <c r="L20" s="2" t="s">
        <v>930</v>
      </c>
      <c r="M20" s="2" t="s">
        <v>9</v>
      </c>
      <c r="N20" s="2" t="s">
        <v>24</v>
      </c>
    </row>
    <row r="21" ht="15.75" customHeight="1">
      <c r="A21" s="7"/>
      <c r="B21" s="7"/>
      <c r="C21" s="7"/>
      <c r="D21" s="7"/>
    </row>
    <row r="22" ht="15.75" customHeight="1">
      <c r="A22" s="7"/>
      <c r="B22" s="7"/>
      <c r="C22" s="7"/>
      <c r="D22" s="7"/>
    </row>
    <row r="23" ht="15.75" customHeight="1">
      <c r="A23" s="7"/>
      <c r="B23" s="7"/>
      <c r="C23" s="7"/>
      <c r="D23" s="7"/>
    </row>
    <row r="24" ht="15.75" customHeight="1">
      <c r="A24" s="7"/>
      <c r="B24" s="7"/>
      <c r="C24" s="7"/>
      <c r="D24" s="7"/>
    </row>
    <row r="25" ht="15.75" customHeight="1">
      <c r="A25" s="7"/>
      <c r="B25" s="7"/>
      <c r="C25" s="7"/>
      <c r="D25" s="7"/>
    </row>
    <row r="26" ht="15.75" customHeight="1">
      <c r="A26" s="7"/>
      <c r="B26" s="7"/>
      <c r="C26" s="7"/>
      <c r="D26" s="7"/>
    </row>
    <row r="27" ht="15.75" customHeight="1">
      <c r="A27" s="7"/>
      <c r="B27" s="7"/>
      <c r="C27" s="7"/>
      <c r="D27" s="7"/>
    </row>
    <row r="28" ht="15.75" customHeight="1">
      <c r="A28" s="7"/>
      <c r="B28" s="7"/>
      <c r="C28" s="7"/>
      <c r="D28" s="7"/>
    </row>
    <row r="29" ht="15.75" customHeight="1">
      <c r="A29" s="7"/>
      <c r="B29" s="7"/>
      <c r="C29" s="5"/>
      <c r="D29" s="7"/>
      <c r="F29" s="2" t="s">
        <v>25</v>
      </c>
      <c r="G29" s="2" t="s">
        <v>26</v>
      </c>
      <c r="H29" s="2" t="s">
        <v>27</v>
      </c>
      <c r="I29" s="2" t="s">
        <v>28</v>
      </c>
      <c r="J29" s="2" t="s">
        <v>29</v>
      </c>
      <c r="K29" s="2" t="s">
        <v>7</v>
      </c>
      <c r="L29" s="2" t="s">
        <v>30</v>
      </c>
      <c r="M29" s="2" t="s">
        <v>9</v>
      </c>
      <c r="N29" s="2" t="s">
        <v>31</v>
      </c>
    </row>
    <row r="30" ht="15.75" customHeight="1">
      <c r="A30" s="7"/>
      <c r="B30" s="7"/>
      <c r="C30" s="7"/>
      <c r="D30" s="7"/>
    </row>
    <row r="31" ht="15.75" customHeight="1">
      <c r="A31" s="7"/>
      <c r="B31" s="7"/>
      <c r="C31" s="7"/>
      <c r="D31" s="7"/>
    </row>
    <row r="32" ht="15.75" customHeight="1">
      <c r="A32" s="7"/>
      <c r="B32" s="7"/>
      <c r="C32" s="7"/>
      <c r="D32" s="7"/>
    </row>
    <row r="33" ht="15.75" customHeight="1">
      <c r="A33" s="7"/>
      <c r="B33" s="7"/>
      <c r="C33" s="7"/>
      <c r="D33" s="7"/>
    </row>
    <row r="34" ht="15.75" customHeight="1">
      <c r="A34" s="7"/>
      <c r="B34" s="7"/>
      <c r="C34" s="7"/>
      <c r="D34" s="7"/>
    </row>
    <row r="35" ht="15.75" customHeight="1">
      <c r="A35" s="7"/>
      <c r="B35" s="7"/>
      <c r="C35" s="7"/>
      <c r="D35" s="7"/>
    </row>
    <row r="36" ht="15.75" customHeight="1">
      <c r="A36" s="7"/>
      <c r="B36" s="7"/>
      <c r="C36" s="7"/>
      <c r="D36" s="7"/>
    </row>
    <row r="37" ht="15.75" customHeight="1">
      <c r="A37" s="7"/>
      <c r="B37" s="7"/>
      <c r="C37" s="7"/>
      <c r="D37" s="7"/>
    </row>
    <row r="38" ht="15.75" customHeight="1">
      <c r="A38" s="7"/>
      <c r="B38" s="7"/>
      <c r="C38" s="5"/>
      <c r="D38" s="7"/>
      <c r="F38" s="2" t="s">
        <v>32</v>
      </c>
      <c r="G38" s="2" t="s">
        <v>33</v>
      </c>
      <c r="H38" s="2" t="s">
        <v>34</v>
      </c>
      <c r="I38" s="2" t="s">
        <v>931</v>
      </c>
      <c r="J38" s="2" t="s">
        <v>289</v>
      </c>
      <c r="K38" s="2" t="s">
        <v>7</v>
      </c>
      <c r="L38" s="2" t="s">
        <v>36</v>
      </c>
      <c r="M38" s="2" t="s">
        <v>37</v>
      </c>
      <c r="N38" s="2" t="s">
        <v>38</v>
      </c>
    </row>
    <row r="39" ht="15.75" customHeight="1">
      <c r="A39" s="7"/>
      <c r="B39" s="7"/>
      <c r="C39" s="7"/>
      <c r="D39" s="7"/>
    </row>
    <row r="40" ht="15.75" customHeight="1">
      <c r="A40" s="7"/>
      <c r="B40" s="7"/>
      <c r="C40" s="7"/>
      <c r="D40" s="7"/>
    </row>
    <row r="41" ht="15.75" customHeight="1">
      <c r="A41" s="7"/>
      <c r="B41" s="7"/>
      <c r="C41" s="7"/>
      <c r="D41" s="7"/>
    </row>
    <row r="42" ht="15.75" customHeight="1">
      <c r="A42" s="7"/>
      <c r="B42" s="7"/>
      <c r="C42" s="7"/>
      <c r="D42" s="7"/>
    </row>
    <row r="43" ht="15.75" customHeight="1">
      <c r="A43" s="7"/>
      <c r="B43" s="7"/>
      <c r="C43" s="7"/>
      <c r="D43" s="7"/>
    </row>
    <row r="44" ht="15.75" customHeight="1">
      <c r="A44" s="7"/>
      <c r="B44" s="7"/>
      <c r="C44" s="7"/>
      <c r="D44" s="7"/>
    </row>
    <row r="45" ht="15.75" customHeight="1">
      <c r="A45" s="7"/>
      <c r="B45" s="7"/>
      <c r="C45" s="7"/>
      <c r="D45" s="7"/>
    </row>
    <row r="46" ht="15.75" customHeight="1">
      <c r="A46" s="7"/>
      <c r="B46" s="7"/>
      <c r="C46" s="7"/>
      <c r="D46" s="7"/>
    </row>
    <row r="47" ht="15.75" customHeight="1">
      <c r="A47" s="7"/>
      <c r="B47" s="7"/>
      <c r="C47" s="5"/>
      <c r="D47" s="7"/>
      <c r="F47" s="2" t="s">
        <v>39</v>
      </c>
      <c r="G47" s="2" t="s">
        <v>40</v>
      </c>
      <c r="H47" s="2" t="s">
        <v>41</v>
      </c>
      <c r="I47" s="2" t="s">
        <v>42</v>
      </c>
      <c r="J47" s="2" t="s">
        <v>43</v>
      </c>
      <c r="K47" s="2" t="s">
        <v>44</v>
      </c>
      <c r="L47" s="2" t="s">
        <v>45</v>
      </c>
      <c r="M47" s="2" t="s">
        <v>9</v>
      </c>
      <c r="N47" s="2" t="s">
        <v>38</v>
      </c>
    </row>
    <row r="48" ht="15.75" customHeight="1">
      <c r="A48" s="7"/>
      <c r="B48" s="7"/>
      <c r="C48" s="7"/>
      <c r="D48" s="7"/>
    </row>
    <row r="49" ht="15.75" customHeight="1">
      <c r="A49" s="7"/>
      <c r="B49" s="7"/>
      <c r="C49" s="7"/>
      <c r="D49" s="7"/>
    </row>
    <row r="50" ht="15.75" customHeight="1">
      <c r="A50" s="7"/>
      <c r="B50" s="7"/>
      <c r="C50" s="7"/>
      <c r="D50" s="7"/>
    </row>
    <row r="51" ht="15.75" customHeight="1">
      <c r="A51" s="7"/>
      <c r="B51" s="7"/>
      <c r="C51" s="7"/>
      <c r="D51" s="7"/>
    </row>
    <row r="52" ht="15.75" customHeight="1">
      <c r="A52" s="7"/>
      <c r="B52" s="7"/>
      <c r="C52" s="7"/>
      <c r="D52" s="7"/>
    </row>
    <row r="53" ht="15.75" customHeight="1">
      <c r="A53" s="7"/>
      <c r="B53" s="7"/>
      <c r="C53" s="7"/>
      <c r="D53" s="7"/>
    </row>
    <row r="54" ht="15.75" customHeight="1">
      <c r="A54" s="7"/>
      <c r="B54" s="7"/>
      <c r="C54" s="7"/>
      <c r="D54" s="7"/>
    </row>
    <row r="55" ht="15.75" customHeight="1">
      <c r="A55" s="7"/>
      <c r="B55" s="7"/>
      <c r="C55" s="7"/>
      <c r="D55" s="7"/>
    </row>
    <row r="56" ht="15.75" customHeight="1">
      <c r="A56" s="7"/>
      <c r="B56" s="7"/>
      <c r="C56" s="5"/>
      <c r="D56" s="7"/>
      <c r="F56" s="2" t="s">
        <v>46</v>
      </c>
      <c r="G56" s="2" t="s">
        <v>47</v>
      </c>
      <c r="H56" s="2" t="s">
        <v>48</v>
      </c>
      <c r="I56" s="2" t="s">
        <v>49</v>
      </c>
      <c r="J56" s="2" t="s">
        <v>50</v>
      </c>
      <c r="K56" s="2" t="s">
        <v>7</v>
      </c>
      <c r="L56" s="2" t="s">
        <v>51</v>
      </c>
      <c r="M56" s="2" t="s">
        <v>37</v>
      </c>
      <c r="N56" s="2" t="s">
        <v>52</v>
      </c>
    </row>
    <row r="57" ht="15.75" customHeight="1">
      <c r="A57" s="7"/>
      <c r="B57" s="7"/>
      <c r="C57" s="7"/>
      <c r="D57" s="7"/>
    </row>
    <row r="58" ht="15.75" customHeight="1">
      <c r="A58" s="7"/>
      <c r="B58" s="7"/>
      <c r="C58" s="7"/>
      <c r="D58" s="7"/>
    </row>
    <row r="59" ht="15.75" customHeight="1">
      <c r="A59" s="7"/>
      <c r="B59" s="7"/>
      <c r="C59" s="7"/>
      <c r="D59" s="7"/>
    </row>
    <row r="60" ht="15.75" customHeight="1">
      <c r="A60" s="7"/>
      <c r="B60" s="7"/>
      <c r="C60" s="7"/>
      <c r="D60" s="7"/>
    </row>
    <row r="61" ht="15.75" customHeight="1">
      <c r="A61" s="7"/>
      <c r="B61" s="7"/>
      <c r="C61" s="7"/>
      <c r="D61" s="7"/>
    </row>
    <row r="62" ht="15.75" customHeight="1">
      <c r="A62" s="7"/>
      <c r="B62" s="7"/>
      <c r="C62" s="7"/>
      <c r="D62" s="7"/>
    </row>
    <row r="63" ht="15.75" customHeight="1">
      <c r="A63" s="7"/>
      <c r="B63" s="7"/>
      <c r="C63" s="7"/>
      <c r="D63" s="7"/>
    </row>
    <row r="64" ht="15.75" customHeight="1">
      <c r="A64" s="7"/>
      <c r="B64" s="7"/>
      <c r="C64" s="7"/>
      <c r="D64" s="7"/>
    </row>
    <row r="65" ht="15.75" customHeight="1">
      <c r="A65" s="7"/>
      <c r="B65" s="7"/>
      <c r="C65" s="5"/>
      <c r="D65" s="7"/>
      <c r="F65" s="2" t="s">
        <v>54</v>
      </c>
      <c r="G65" s="2" t="s">
        <v>55</v>
      </c>
      <c r="H65" s="2" t="s">
        <v>56</v>
      </c>
      <c r="I65" s="2" t="s">
        <v>57</v>
      </c>
      <c r="J65" s="2" t="s">
        <v>289</v>
      </c>
      <c r="K65" s="2" t="s">
        <v>7</v>
      </c>
      <c r="L65" s="2" t="s">
        <v>932</v>
      </c>
      <c r="M65" s="2" t="s">
        <v>37</v>
      </c>
      <c r="N65" s="2" t="s">
        <v>60</v>
      </c>
    </row>
    <row r="66" ht="15.75" customHeight="1">
      <c r="A66" s="7"/>
      <c r="B66" s="7"/>
      <c r="C66" s="7"/>
      <c r="D66" s="7"/>
    </row>
    <row r="67" ht="15.75" customHeight="1">
      <c r="A67" s="7"/>
      <c r="B67" s="7"/>
      <c r="C67" s="7"/>
      <c r="D67" s="7"/>
    </row>
    <row r="68" ht="15.75" customHeight="1">
      <c r="A68" s="7"/>
      <c r="B68" s="7"/>
      <c r="C68" s="7"/>
      <c r="D68" s="7"/>
    </row>
    <row r="69" ht="15.75" customHeight="1">
      <c r="A69" s="7"/>
      <c r="B69" s="7"/>
      <c r="C69" s="7"/>
      <c r="D69" s="7"/>
    </row>
    <row r="70" ht="15.75" customHeight="1">
      <c r="A70" s="7"/>
      <c r="B70" s="7"/>
      <c r="C70" s="7"/>
      <c r="D70" s="7"/>
    </row>
    <row r="71" ht="15.75" customHeight="1">
      <c r="A71" s="7"/>
      <c r="B71" s="7"/>
      <c r="C71" s="7"/>
      <c r="D71" s="7"/>
    </row>
    <row r="72" ht="15.75" customHeight="1">
      <c r="A72" s="7"/>
      <c r="B72" s="7"/>
      <c r="C72" s="7"/>
      <c r="D72" s="7"/>
    </row>
    <row r="73" ht="15.75" customHeight="1">
      <c r="A73" s="7"/>
      <c r="B73" s="7"/>
      <c r="C73" s="7"/>
      <c r="D73" s="7"/>
    </row>
    <row r="74" ht="15.75" customHeight="1">
      <c r="A74" s="7"/>
      <c r="B74" s="7"/>
      <c r="C74" s="5"/>
      <c r="D74" s="7"/>
      <c r="F74" s="2" t="s">
        <v>61</v>
      </c>
      <c r="G74" s="2" t="s">
        <v>62</v>
      </c>
      <c r="H74" s="2" t="s">
        <v>63</v>
      </c>
      <c r="I74" s="2" t="s">
        <v>64</v>
      </c>
      <c r="J74" s="2" t="s">
        <v>289</v>
      </c>
      <c r="K74" s="2" t="s">
        <v>7</v>
      </c>
      <c r="L74" s="2" t="s">
        <v>65</v>
      </c>
      <c r="M74" s="2" t="s">
        <v>37</v>
      </c>
      <c r="N74" s="2" t="s">
        <v>66</v>
      </c>
    </row>
    <row r="75" ht="15.75" customHeight="1">
      <c r="A75" s="7"/>
      <c r="B75" s="7"/>
      <c r="C75" s="7"/>
      <c r="D75" s="7"/>
    </row>
    <row r="76" ht="15.75" customHeight="1">
      <c r="A76" s="7"/>
      <c r="B76" s="7"/>
      <c r="C76" s="7"/>
      <c r="D76" s="7"/>
    </row>
    <row r="77" ht="15.75" customHeight="1">
      <c r="A77" s="7"/>
      <c r="B77" s="7"/>
      <c r="C77" s="7"/>
      <c r="D77" s="7"/>
    </row>
    <row r="78" ht="15.75" customHeight="1">
      <c r="A78" s="7"/>
      <c r="B78" s="7"/>
      <c r="C78" s="7"/>
      <c r="D78" s="7"/>
    </row>
    <row r="79" ht="15.75" customHeight="1">
      <c r="A79" s="7"/>
      <c r="B79" s="7"/>
      <c r="C79" s="7"/>
      <c r="D79" s="7"/>
    </row>
    <row r="80" ht="15.75" customHeight="1">
      <c r="A80" s="7"/>
      <c r="B80" s="7"/>
      <c r="C80" s="7"/>
      <c r="D80" s="7"/>
    </row>
    <row r="81" ht="15.75" customHeight="1">
      <c r="A81" s="7"/>
      <c r="B81" s="7"/>
      <c r="C81" s="7"/>
      <c r="D81" s="7"/>
    </row>
    <row r="82" ht="15.75" customHeight="1">
      <c r="A82" s="7"/>
      <c r="B82" s="7"/>
      <c r="C82" s="7"/>
      <c r="D82" s="7"/>
    </row>
    <row r="83" ht="15.75" customHeight="1">
      <c r="A83" s="7"/>
      <c r="B83" s="7"/>
      <c r="C83" s="5"/>
      <c r="D83" s="7"/>
      <c r="F83" s="2" t="s">
        <v>67</v>
      </c>
      <c r="G83" s="2" t="s">
        <v>68</v>
      </c>
      <c r="H83" s="2" t="s">
        <v>69</v>
      </c>
      <c r="I83" s="2" t="s">
        <v>70</v>
      </c>
      <c r="J83" s="2" t="s">
        <v>71</v>
      </c>
      <c r="K83" s="2" t="s">
        <v>7</v>
      </c>
      <c r="L83" s="2" t="s">
        <v>933</v>
      </c>
      <c r="M83" s="2" t="s">
        <v>37</v>
      </c>
      <c r="N83" s="2" t="s">
        <v>75</v>
      </c>
    </row>
    <row r="84" ht="15.75" customHeight="1">
      <c r="A84" s="7"/>
      <c r="B84" s="7"/>
      <c r="C84" s="7"/>
      <c r="D84" s="7"/>
    </row>
    <row r="85" ht="15.75" customHeight="1">
      <c r="A85" s="7"/>
      <c r="B85" s="7"/>
      <c r="C85" s="7"/>
      <c r="D85" s="7"/>
    </row>
    <row r="86" ht="15.75" customHeight="1">
      <c r="A86" s="7"/>
      <c r="B86" s="7"/>
      <c r="C86" s="7"/>
      <c r="D86" s="7"/>
    </row>
    <row r="87" ht="15.75" customHeight="1">
      <c r="A87" s="7"/>
      <c r="B87" s="7"/>
      <c r="C87" s="7"/>
      <c r="D87" s="7"/>
    </row>
    <row r="88" ht="15.75" customHeight="1">
      <c r="A88" s="7"/>
      <c r="B88" s="7"/>
      <c r="C88" s="7"/>
      <c r="D88" s="7"/>
    </row>
    <row r="89" ht="15.75" customHeight="1">
      <c r="A89" s="7"/>
      <c r="B89" s="7"/>
      <c r="C89" s="7"/>
      <c r="D89" s="7"/>
    </row>
    <row r="90" ht="15.75" customHeight="1">
      <c r="A90" s="7"/>
      <c r="B90" s="7"/>
      <c r="C90" s="7"/>
      <c r="D90" s="7"/>
    </row>
    <row r="91" ht="15.75" customHeight="1">
      <c r="A91" s="7"/>
      <c r="B91" s="7"/>
      <c r="C91" s="7"/>
      <c r="D91" s="7"/>
    </row>
    <row r="92" ht="15.75" customHeight="1">
      <c r="A92" s="7"/>
      <c r="B92" s="7"/>
      <c r="C92" s="5"/>
      <c r="D92" s="7"/>
      <c r="F92" s="2" t="s">
        <v>76</v>
      </c>
      <c r="G92" s="2" t="s">
        <v>77</v>
      </c>
      <c r="H92" s="2" t="s">
        <v>78</v>
      </c>
      <c r="I92" s="2" t="s">
        <v>79</v>
      </c>
      <c r="J92" s="2" t="s">
        <v>80</v>
      </c>
      <c r="K92" s="2" t="s">
        <v>7</v>
      </c>
      <c r="L92" s="2" t="s">
        <v>934</v>
      </c>
      <c r="M92" s="2" t="s">
        <v>9</v>
      </c>
      <c r="N92" s="2" t="s">
        <v>83</v>
      </c>
    </row>
    <row r="93" ht="15.75" customHeight="1">
      <c r="A93" s="7"/>
      <c r="B93" s="7"/>
      <c r="C93" s="7"/>
      <c r="D93" s="7"/>
    </row>
    <row r="94" ht="15.75" customHeight="1">
      <c r="A94" s="7"/>
      <c r="B94" s="7"/>
      <c r="C94" s="7"/>
      <c r="D94" s="7"/>
    </row>
    <row r="95" ht="15.75" customHeight="1">
      <c r="A95" s="7"/>
      <c r="B95" s="7"/>
      <c r="C95" s="7"/>
      <c r="D95" s="7"/>
    </row>
    <row r="96" ht="15.75" customHeight="1">
      <c r="A96" s="7"/>
      <c r="B96" s="7"/>
      <c r="C96" s="7"/>
      <c r="D96" s="7"/>
    </row>
    <row r="97" ht="15.75" customHeight="1">
      <c r="A97" s="7"/>
      <c r="B97" s="7"/>
      <c r="C97" s="7"/>
      <c r="D97" s="7"/>
    </row>
    <row r="98" ht="15.75" customHeight="1">
      <c r="A98" s="7"/>
      <c r="B98" s="7"/>
      <c r="C98" s="7"/>
      <c r="D98" s="7"/>
    </row>
    <row r="99" ht="15.75" customHeight="1">
      <c r="A99" s="7"/>
      <c r="B99" s="7"/>
      <c r="C99" s="7"/>
      <c r="D99" s="7"/>
    </row>
    <row r="100" ht="15.75" customHeight="1">
      <c r="A100" s="7"/>
      <c r="B100" s="7"/>
      <c r="C100" s="7"/>
      <c r="D100" s="7"/>
    </row>
    <row r="101" ht="15.75" customHeight="1">
      <c r="A101" s="7"/>
      <c r="B101" s="7"/>
      <c r="C101" s="5"/>
      <c r="D101" s="7"/>
      <c r="F101" s="2" t="s">
        <v>84</v>
      </c>
      <c r="G101" s="2" t="s">
        <v>85</v>
      </c>
      <c r="H101" s="2" t="s">
        <v>86</v>
      </c>
      <c r="I101" s="2" t="s">
        <v>87</v>
      </c>
      <c r="J101" s="2" t="s">
        <v>289</v>
      </c>
      <c r="K101" s="2" t="s">
        <v>7</v>
      </c>
      <c r="L101" s="2" t="s">
        <v>88</v>
      </c>
      <c r="M101" s="2" t="s">
        <v>9</v>
      </c>
      <c r="N101" s="2" t="s">
        <v>89</v>
      </c>
    </row>
    <row r="102" ht="15.75" customHeight="1">
      <c r="A102" s="7"/>
      <c r="B102" s="7"/>
      <c r="C102" s="7"/>
      <c r="D102" s="7"/>
    </row>
    <row r="103" ht="15.75" customHeight="1">
      <c r="A103" s="7"/>
      <c r="B103" s="7"/>
      <c r="C103" s="7"/>
      <c r="D103" s="7"/>
    </row>
    <row r="104" ht="15.75" customHeight="1">
      <c r="A104" s="7"/>
      <c r="B104" s="7"/>
      <c r="C104" s="7"/>
      <c r="D104" s="7"/>
    </row>
    <row r="105" ht="15.75" customHeight="1">
      <c r="A105" s="7"/>
      <c r="B105" s="7"/>
      <c r="C105" s="7"/>
      <c r="D105" s="7"/>
    </row>
    <row r="106" ht="15.75" customHeight="1">
      <c r="A106" s="7"/>
      <c r="B106" s="7"/>
      <c r="C106" s="7"/>
      <c r="D106" s="7"/>
    </row>
    <row r="107" ht="15.75" customHeight="1">
      <c r="A107" s="7"/>
      <c r="B107" s="7"/>
      <c r="C107" s="7"/>
      <c r="D107" s="7"/>
    </row>
    <row r="108" ht="15.75" customHeight="1">
      <c r="A108" s="7"/>
      <c r="B108" s="7"/>
      <c r="C108" s="7"/>
      <c r="D108" s="7"/>
    </row>
    <row r="109" ht="15.75" customHeight="1">
      <c r="A109" s="7"/>
      <c r="B109" s="7"/>
      <c r="C109" s="7"/>
      <c r="D109" s="7"/>
    </row>
    <row r="110" ht="15.75" customHeight="1">
      <c r="A110" s="7"/>
      <c r="B110" s="7"/>
      <c r="C110" s="5"/>
      <c r="D110" s="7"/>
      <c r="F110" s="2" t="s">
        <v>90</v>
      </c>
      <c r="G110" s="2" t="s">
        <v>91</v>
      </c>
      <c r="H110" s="2" t="s">
        <v>92</v>
      </c>
      <c r="I110" s="2" t="s">
        <v>93</v>
      </c>
      <c r="J110" s="2" t="s">
        <v>289</v>
      </c>
      <c r="K110" s="2" t="s">
        <v>7</v>
      </c>
      <c r="L110" s="2" t="s">
        <v>94</v>
      </c>
      <c r="M110" s="2" t="s">
        <v>9</v>
      </c>
      <c r="N110" s="2" t="s">
        <v>95</v>
      </c>
    </row>
    <row r="111" ht="15.75" customHeight="1">
      <c r="A111" s="7"/>
      <c r="B111" s="7"/>
      <c r="C111" s="7"/>
      <c r="D111" s="7"/>
    </row>
    <row r="112" ht="15.75" customHeight="1">
      <c r="A112" s="7"/>
      <c r="B112" s="7"/>
      <c r="C112" s="7"/>
      <c r="D112" s="7"/>
    </row>
    <row r="113" ht="15.75" customHeight="1">
      <c r="A113" s="7"/>
      <c r="B113" s="7"/>
      <c r="C113" s="7"/>
      <c r="D113" s="7"/>
    </row>
    <row r="114" ht="15.75" customHeight="1">
      <c r="A114" s="7"/>
      <c r="B114" s="7"/>
      <c r="C114" s="7"/>
      <c r="D114" s="7"/>
    </row>
    <row r="115" ht="15.75" customHeight="1">
      <c r="A115" s="7"/>
      <c r="B115" s="7"/>
      <c r="C115" s="7"/>
      <c r="D115" s="7"/>
    </row>
    <row r="116" ht="15.75" customHeight="1">
      <c r="A116" s="7"/>
      <c r="B116" s="7"/>
      <c r="C116" s="7"/>
      <c r="D116" s="7"/>
    </row>
    <row r="117" ht="15.75" customHeight="1">
      <c r="A117" s="7"/>
      <c r="B117" s="7"/>
      <c r="C117" s="7"/>
      <c r="D117" s="7"/>
    </row>
    <row r="118" ht="15.75" customHeight="1">
      <c r="A118" s="7"/>
      <c r="B118" s="7"/>
      <c r="C118" s="7"/>
      <c r="D118" s="7"/>
    </row>
    <row r="119" ht="15.75" customHeight="1">
      <c r="A119" s="7"/>
      <c r="B119" s="7"/>
      <c r="C119" s="5"/>
      <c r="D119" s="7"/>
      <c r="F119" s="2" t="s">
        <v>96</v>
      </c>
      <c r="G119" s="2" t="s">
        <v>97</v>
      </c>
      <c r="H119" s="2" t="s">
        <v>98</v>
      </c>
      <c r="I119" s="2" t="s">
        <v>99</v>
      </c>
      <c r="J119" s="2" t="s">
        <v>100</v>
      </c>
      <c r="K119" s="2" t="s">
        <v>7</v>
      </c>
      <c r="L119" s="2" t="s">
        <v>935</v>
      </c>
      <c r="M119" s="2" t="s">
        <v>9</v>
      </c>
      <c r="N119" s="2" t="s">
        <v>103</v>
      </c>
    </row>
    <row r="120" ht="15.75" customHeight="1">
      <c r="A120" s="7"/>
      <c r="B120" s="7"/>
      <c r="C120" s="7"/>
      <c r="D120" s="7"/>
    </row>
    <row r="121" ht="15.75" customHeight="1">
      <c r="A121" s="7"/>
      <c r="B121" s="7"/>
      <c r="C121" s="7"/>
      <c r="D121" s="7"/>
    </row>
    <row r="122" ht="15.75" customHeight="1">
      <c r="A122" s="7"/>
      <c r="B122" s="7"/>
      <c r="C122" s="7"/>
      <c r="D122" s="7"/>
    </row>
    <row r="123" ht="15.75" customHeight="1">
      <c r="A123" s="7"/>
      <c r="B123" s="7"/>
      <c r="C123" s="7"/>
      <c r="D123" s="7"/>
    </row>
    <row r="124" ht="15.75" customHeight="1">
      <c r="A124" s="7"/>
      <c r="B124" s="7"/>
      <c r="C124" s="7"/>
      <c r="D124" s="7"/>
    </row>
    <row r="125" ht="15.75" customHeight="1">
      <c r="A125" s="7"/>
      <c r="B125" s="7"/>
      <c r="C125" s="7"/>
      <c r="D125" s="7"/>
    </row>
    <row r="126" ht="15.75" customHeight="1">
      <c r="A126" s="7"/>
      <c r="B126" s="7"/>
      <c r="C126" s="7"/>
      <c r="D126" s="7"/>
    </row>
    <row r="127" ht="15.75" customHeight="1">
      <c r="A127" s="7"/>
      <c r="B127" s="7"/>
      <c r="C127" s="7"/>
      <c r="D127" s="7"/>
    </row>
    <row r="128" ht="15.75" customHeight="1">
      <c r="A128" s="7"/>
      <c r="B128" s="7"/>
      <c r="C128" s="5"/>
      <c r="D128" s="7"/>
      <c r="F128" s="2" t="s">
        <v>104</v>
      </c>
      <c r="G128" s="2" t="s">
        <v>105</v>
      </c>
      <c r="H128" s="2" t="s">
        <v>106</v>
      </c>
      <c r="I128" s="2" t="s">
        <v>107</v>
      </c>
      <c r="J128" s="2" t="s">
        <v>108</v>
      </c>
      <c r="K128" s="2" t="s">
        <v>7</v>
      </c>
      <c r="L128" s="2" t="s">
        <v>109</v>
      </c>
      <c r="M128" s="2" t="s">
        <v>9</v>
      </c>
      <c r="N128" s="2" t="s">
        <v>110</v>
      </c>
    </row>
    <row r="129" ht="15.75" customHeight="1">
      <c r="A129" s="7"/>
      <c r="B129" s="7"/>
      <c r="C129" s="7"/>
      <c r="D129" s="7"/>
    </row>
    <row r="130" ht="15.75" customHeight="1">
      <c r="A130" s="7"/>
      <c r="B130" s="7"/>
      <c r="C130" s="7"/>
      <c r="D130" s="7"/>
    </row>
    <row r="131" ht="15.75" customHeight="1">
      <c r="A131" s="7"/>
      <c r="B131" s="7"/>
      <c r="C131" s="7"/>
      <c r="D131" s="7"/>
    </row>
    <row r="132" ht="15.75" customHeight="1">
      <c r="A132" s="7"/>
      <c r="B132" s="7"/>
      <c r="C132" s="7"/>
      <c r="D132" s="7"/>
    </row>
    <row r="133" ht="15.75" customHeight="1">
      <c r="A133" s="7"/>
      <c r="B133" s="7"/>
      <c r="C133" s="7"/>
      <c r="D133" s="7"/>
    </row>
    <row r="134" ht="15.75" customHeight="1">
      <c r="A134" s="7"/>
      <c r="B134" s="7"/>
      <c r="C134" s="7"/>
      <c r="D134" s="7"/>
    </row>
    <row r="135" ht="15.75" customHeight="1">
      <c r="A135" s="7"/>
      <c r="B135" s="7"/>
      <c r="C135" s="7"/>
      <c r="D135" s="7"/>
    </row>
    <row r="136" ht="15.75" customHeight="1">
      <c r="A136" s="7"/>
      <c r="B136" s="7"/>
      <c r="C136" s="7"/>
      <c r="D136" s="7"/>
    </row>
    <row r="137" ht="15.75" customHeight="1">
      <c r="A137" s="7"/>
      <c r="B137" s="7"/>
      <c r="C137" s="5"/>
      <c r="D137" s="7"/>
      <c r="F137" s="2" t="s">
        <v>111</v>
      </c>
      <c r="G137" s="2" t="s">
        <v>112</v>
      </c>
      <c r="H137" s="2" t="s">
        <v>113</v>
      </c>
      <c r="I137" s="2" t="s">
        <v>114</v>
      </c>
      <c r="J137" s="2" t="s">
        <v>936</v>
      </c>
      <c r="K137" s="2" t="s">
        <v>7</v>
      </c>
      <c r="L137" s="2" t="s">
        <v>115</v>
      </c>
      <c r="M137" s="2" t="s">
        <v>37</v>
      </c>
      <c r="N137" s="2" t="s">
        <v>116</v>
      </c>
    </row>
    <row r="138" ht="15.75" customHeight="1">
      <c r="A138" s="7"/>
      <c r="B138" s="7"/>
      <c r="C138" s="7"/>
      <c r="D138" s="7"/>
    </row>
    <row r="139" ht="15.75" customHeight="1">
      <c r="A139" s="7"/>
      <c r="B139" s="7"/>
      <c r="C139" s="7"/>
      <c r="D139" s="7"/>
    </row>
    <row r="140" ht="15.75" customHeight="1">
      <c r="A140" s="7"/>
      <c r="B140" s="7"/>
      <c r="C140" s="7"/>
      <c r="D140" s="7"/>
    </row>
    <row r="141" ht="15.75" customHeight="1">
      <c r="A141" s="7"/>
      <c r="B141" s="7"/>
      <c r="C141" s="7"/>
      <c r="D141" s="7"/>
    </row>
    <row r="142" ht="15.75" customHeight="1">
      <c r="A142" s="7"/>
      <c r="B142" s="7"/>
      <c r="C142" s="7"/>
      <c r="D142" s="7"/>
    </row>
    <row r="143" ht="15.75" customHeight="1">
      <c r="A143" s="7"/>
      <c r="B143" s="7"/>
      <c r="C143" s="7"/>
      <c r="D143" s="7"/>
    </row>
    <row r="144" ht="15.75" customHeight="1">
      <c r="A144" s="7"/>
      <c r="B144" s="7"/>
      <c r="C144" s="7"/>
      <c r="D144" s="7"/>
    </row>
    <row r="145" ht="15.75" customHeight="1">
      <c r="A145" s="7"/>
      <c r="B145" s="7"/>
      <c r="C145" s="7"/>
      <c r="D145" s="7"/>
    </row>
    <row r="146" ht="15.75" customHeight="1">
      <c r="A146" s="7"/>
      <c r="B146" s="7"/>
      <c r="C146" s="5"/>
      <c r="D146" s="7"/>
      <c r="F146" s="2" t="s">
        <v>117</v>
      </c>
      <c r="G146" s="2" t="s">
        <v>118</v>
      </c>
      <c r="H146" s="2" t="s">
        <v>119</v>
      </c>
      <c r="I146" s="2" t="s">
        <v>120</v>
      </c>
      <c r="J146" s="2" t="s">
        <v>121</v>
      </c>
      <c r="K146" s="2" t="s">
        <v>7</v>
      </c>
      <c r="L146" s="2" t="s">
        <v>122</v>
      </c>
      <c r="M146" s="2" t="s">
        <v>37</v>
      </c>
      <c r="N146" s="2" t="s">
        <v>123</v>
      </c>
    </row>
    <row r="147" ht="15.75" customHeight="1">
      <c r="A147" s="7"/>
      <c r="B147" s="7"/>
      <c r="C147" s="7"/>
      <c r="D147" s="7"/>
    </row>
    <row r="148" ht="15.75" customHeight="1">
      <c r="A148" s="7"/>
      <c r="B148" s="7"/>
      <c r="C148" s="7"/>
      <c r="D148" s="7"/>
    </row>
    <row r="149" ht="15.75" customHeight="1">
      <c r="A149" s="7"/>
      <c r="B149" s="7"/>
      <c r="C149" s="7"/>
      <c r="D149" s="7"/>
    </row>
    <row r="150" ht="15.75" customHeight="1">
      <c r="A150" s="7"/>
      <c r="B150" s="7"/>
      <c r="C150" s="7"/>
      <c r="D150" s="7"/>
    </row>
    <row r="151" ht="15.75" customHeight="1">
      <c r="A151" s="7"/>
      <c r="B151" s="7"/>
      <c r="C151" s="7"/>
      <c r="D151" s="7"/>
    </row>
    <row r="152" ht="15.75" customHeight="1">
      <c r="A152" s="7"/>
      <c r="B152" s="7"/>
      <c r="C152" s="7"/>
      <c r="D152" s="7"/>
    </row>
    <row r="153" ht="15.75" customHeight="1">
      <c r="A153" s="7"/>
      <c r="B153" s="7"/>
      <c r="C153" s="7"/>
      <c r="D153" s="7"/>
    </row>
    <row r="154" ht="15.75" customHeight="1">
      <c r="A154" s="7"/>
      <c r="B154" s="7"/>
      <c r="C154" s="7"/>
      <c r="D154" s="7"/>
    </row>
    <row r="155" ht="15.75" customHeight="1">
      <c r="A155" s="7"/>
      <c r="B155" s="7"/>
      <c r="C155" s="5"/>
      <c r="D155" s="7"/>
      <c r="F155" s="2" t="s">
        <v>124</v>
      </c>
      <c r="G155" s="2" t="s">
        <v>125</v>
      </c>
      <c r="H155" s="2" t="s">
        <v>126</v>
      </c>
      <c r="I155" s="2" t="s">
        <v>937</v>
      </c>
      <c r="J155" s="2" t="s">
        <v>128</v>
      </c>
      <c r="K155" s="2" t="s">
        <v>7</v>
      </c>
      <c r="L155" s="2" t="s">
        <v>129</v>
      </c>
      <c r="M155" s="2" t="s">
        <v>37</v>
      </c>
      <c r="N155" s="2" t="s">
        <v>130</v>
      </c>
    </row>
    <row r="156" ht="15.75" customHeight="1">
      <c r="A156" s="7"/>
      <c r="B156" s="7"/>
      <c r="C156" s="7"/>
      <c r="D156" s="7"/>
    </row>
    <row r="157" ht="15.75" customHeight="1">
      <c r="A157" s="7"/>
      <c r="B157" s="7"/>
      <c r="C157" s="7"/>
      <c r="D157" s="7"/>
    </row>
    <row r="158" ht="15.75" customHeight="1">
      <c r="A158" s="7"/>
      <c r="B158" s="7"/>
      <c r="C158" s="7"/>
      <c r="D158" s="7"/>
    </row>
    <row r="159" ht="15.75" customHeight="1">
      <c r="A159" s="7"/>
      <c r="B159" s="7"/>
      <c r="C159" s="7"/>
      <c r="D159" s="7"/>
    </row>
    <row r="160" ht="15.75" customHeight="1">
      <c r="A160" s="7"/>
      <c r="B160" s="7"/>
      <c r="C160" s="7"/>
      <c r="D160" s="7"/>
    </row>
    <row r="161" ht="15.75" customHeight="1">
      <c r="A161" s="7"/>
      <c r="B161" s="7"/>
      <c r="C161" s="7"/>
      <c r="D161" s="7"/>
    </row>
    <row r="162" ht="15.75" customHeight="1">
      <c r="A162" s="7"/>
      <c r="B162" s="7"/>
      <c r="C162" s="7"/>
      <c r="D162" s="7"/>
    </row>
    <row r="163" ht="15.75" customHeight="1">
      <c r="A163" s="7"/>
      <c r="B163" s="7"/>
      <c r="C163" s="7"/>
      <c r="D163" s="7"/>
    </row>
    <row r="164" ht="15.75" customHeight="1">
      <c r="A164" s="7"/>
      <c r="B164" s="7"/>
      <c r="C164" s="5"/>
      <c r="D164" s="7"/>
      <c r="F164" s="2" t="s">
        <v>131</v>
      </c>
      <c r="G164" s="2" t="s">
        <v>132</v>
      </c>
      <c r="H164" s="2" t="s">
        <v>133</v>
      </c>
      <c r="I164" s="2" t="s">
        <v>134</v>
      </c>
      <c r="J164" s="2" t="s">
        <v>7</v>
      </c>
      <c r="K164" s="2" t="s">
        <v>135</v>
      </c>
      <c r="L164" s="2" t="s">
        <v>938</v>
      </c>
      <c r="M164" s="2" t="s">
        <v>37</v>
      </c>
      <c r="N164" s="2" t="s">
        <v>138</v>
      </c>
    </row>
    <row r="165" ht="15.75" customHeight="1">
      <c r="A165" s="7"/>
      <c r="B165" s="7"/>
      <c r="C165" s="7"/>
      <c r="D165" s="7"/>
    </row>
    <row r="166" ht="15.75" customHeight="1">
      <c r="A166" s="7"/>
      <c r="B166" s="7"/>
      <c r="C166" s="7"/>
      <c r="D166" s="7"/>
    </row>
    <row r="167" ht="15.75" customHeight="1">
      <c r="A167" s="7"/>
      <c r="B167" s="7"/>
      <c r="C167" s="7"/>
      <c r="D167" s="7"/>
    </row>
    <row r="168" ht="15.75" customHeight="1">
      <c r="A168" s="7"/>
      <c r="B168" s="7"/>
      <c r="C168" s="7"/>
      <c r="D168" s="7"/>
    </row>
    <row r="169" ht="15.75" customHeight="1">
      <c r="A169" s="7"/>
      <c r="B169" s="7"/>
      <c r="C169" s="7"/>
      <c r="D169" s="7"/>
    </row>
    <row r="170" ht="15.75" customHeight="1">
      <c r="A170" s="7"/>
      <c r="B170" s="7"/>
      <c r="C170" s="7"/>
      <c r="D170" s="7"/>
    </row>
    <row r="171" ht="15.75" customHeight="1">
      <c r="A171" s="7"/>
      <c r="B171" s="7"/>
      <c r="C171" s="7"/>
      <c r="D171" s="7"/>
    </row>
    <row r="172" ht="15.75" customHeight="1">
      <c r="A172" s="7"/>
      <c r="B172" s="7"/>
      <c r="C172" s="7"/>
      <c r="D172" s="7"/>
    </row>
    <row r="173" ht="15.75" customHeight="1">
      <c r="A173" s="7"/>
      <c r="B173" s="7"/>
      <c r="C173" s="5"/>
      <c r="D173" s="7"/>
      <c r="F173" s="2" t="s">
        <v>139</v>
      </c>
      <c r="G173" s="2" t="s">
        <v>140</v>
      </c>
      <c r="H173" s="2" t="s">
        <v>141</v>
      </c>
      <c r="I173" s="2" t="s">
        <v>142</v>
      </c>
      <c r="J173" s="2" t="s">
        <v>939</v>
      </c>
      <c r="K173" s="2" t="s">
        <v>7</v>
      </c>
      <c r="L173" s="2" t="s">
        <v>940</v>
      </c>
      <c r="M173" s="2" t="s">
        <v>37</v>
      </c>
      <c r="N173" s="2" t="s">
        <v>146</v>
      </c>
    </row>
    <row r="174" ht="15.75" customHeight="1">
      <c r="A174" s="7"/>
      <c r="B174" s="7"/>
      <c r="C174" s="7"/>
      <c r="D174" s="7"/>
    </row>
    <row r="175" ht="15.75" customHeight="1">
      <c r="A175" s="7"/>
      <c r="B175" s="7"/>
      <c r="C175" s="7"/>
      <c r="D175" s="7"/>
    </row>
    <row r="176" ht="15.75" customHeight="1">
      <c r="A176" s="7"/>
      <c r="B176" s="7"/>
      <c r="C176" s="7"/>
      <c r="D176" s="7"/>
    </row>
    <row r="177" ht="15.75" customHeight="1">
      <c r="A177" s="7"/>
      <c r="B177" s="7"/>
      <c r="C177" s="7"/>
      <c r="D177" s="7"/>
    </row>
    <row r="178" ht="15.75" customHeight="1">
      <c r="A178" s="7"/>
      <c r="B178" s="7"/>
      <c r="C178" s="7"/>
      <c r="D178" s="7"/>
    </row>
    <row r="179" ht="15.75" customHeight="1">
      <c r="A179" s="7"/>
      <c r="B179" s="7"/>
      <c r="C179" s="7"/>
      <c r="D179" s="7"/>
    </row>
    <row r="180" ht="15.75" customHeight="1">
      <c r="A180" s="7"/>
      <c r="B180" s="7"/>
      <c r="C180" s="7"/>
      <c r="D180" s="7"/>
    </row>
    <row r="181" ht="15.75" customHeight="1">
      <c r="A181" s="7"/>
      <c r="B181" s="7"/>
      <c r="C181" s="7"/>
      <c r="D181" s="7"/>
    </row>
    <row r="182" ht="15.75" customHeight="1">
      <c r="A182" s="7"/>
      <c r="B182" s="7"/>
      <c r="C182" s="5"/>
      <c r="D182" s="7"/>
      <c r="F182" s="2" t="s">
        <v>147</v>
      </c>
      <c r="G182" s="2" t="s">
        <v>148</v>
      </c>
      <c r="H182" s="2" t="s">
        <v>149</v>
      </c>
      <c r="I182" s="2" t="s">
        <v>150</v>
      </c>
      <c r="J182" s="2" t="s">
        <v>151</v>
      </c>
      <c r="K182" s="2" t="s">
        <v>7</v>
      </c>
      <c r="L182" s="2" t="s">
        <v>941</v>
      </c>
      <c r="M182" s="2" t="s">
        <v>37</v>
      </c>
      <c r="N182" s="2" t="s">
        <v>130</v>
      </c>
    </row>
    <row r="183" ht="15.75" customHeight="1">
      <c r="A183" s="7"/>
      <c r="B183" s="7"/>
      <c r="C183" s="7"/>
      <c r="D183" s="7"/>
    </row>
    <row r="184" ht="15.75" customHeight="1">
      <c r="A184" s="7"/>
      <c r="B184" s="7"/>
      <c r="C184" s="7"/>
      <c r="D184" s="7"/>
    </row>
    <row r="185" ht="15.75" customHeight="1">
      <c r="A185" s="7"/>
      <c r="B185" s="7"/>
      <c r="C185" s="7"/>
      <c r="D185" s="7"/>
    </row>
    <row r="186" ht="15.75" customHeight="1">
      <c r="A186" s="7"/>
      <c r="B186" s="7"/>
      <c r="C186" s="7"/>
      <c r="D186" s="7"/>
    </row>
    <row r="187" ht="15.75" customHeight="1">
      <c r="A187" s="7"/>
      <c r="B187" s="7"/>
      <c r="C187" s="7"/>
      <c r="D187" s="7"/>
    </row>
    <row r="188" ht="15.75" customHeight="1">
      <c r="A188" s="7"/>
      <c r="B188" s="7"/>
      <c r="C188" s="7"/>
      <c r="D188" s="7"/>
    </row>
    <row r="189" ht="15.75" customHeight="1">
      <c r="A189" s="7"/>
      <c r="B189" s="7"/>
      <c r="C189" s="7"/>
      <c r="D189" s="7"/>
    </row>
    <row r="190" ht="15.75" customHeight="1">
      <c r="A190" s="7"/>
      <c r="B190" s="7"/>
      <c r="C190" s="7"/>
      <c r="D190" s="7"/>
    </row>
    <row r="191" ht="15.75" customHeight="1">
      <c r="A191" s="7"/>
      <c r="B191" s="7"/>
      <c r="C191" s="5"/>
      <c r="D191" s="7"/>
      <c r="F191" s="2" t="s">
        <v>154</v>
      </c>
      <c r="G191" s="2" t="s">
        <v>155</v>
      </c>
      <c r="H191" s="2" t="s">
        <v>156</v>
      </c>
      <c r="I191" s="2" t="s">
        <v>157</v>
      </c>
      <c r="J191" s="2" t="s">
        <v>158</v>
      </c>
      <c r="K191" s="2" t="s">
        <v>7</v>
      </c>
      <c r="L191" s="2" t="s">
        <v>942</v>
      </c>
      <c r="M191" s="2" t="s">
        <v>37</v>
      </c>
      <c r="N191" s="2" t="s">
        <v>161</v>
      </c>
    </row>
    <row r="192" ht="15.75" customHeight="1">
      <c r="A192" s="7"/>
      <c r="B192" s="7"/>
      <c r="C192" s="7"/>
      <c r="D192" s="7"/>
    </row>
    <row r="193" ht="15.75" customHeight="1">
      <c r="A193" s="7"/>
      <c r="B193" s="7"/>
      <c r="C193" s="7"/>
      <c r="D193" s="7"/>
    </row>
    <row r="194" ht="15.75" customHeight="1">
      <c r="A194" s="7"/>
      <c r="B194" s="7"/>
      <c r="C194" s="7"/>
      <c r="D194" s="7"/>
    </row>
    <row r="195" ht="15.75" customHeight="1">
      <c r="A195" s="7"/>
      <c r="B195" s="7"/>
      <c r="C195" s="7"/>
      <c r="D195" s="7"/>
    </row>
    <row r="196" ht="15.75" customHeight="1">
      <c r="A196" s="7"/>
      <c r="B196" s="7"/>
      <c r="C196" s="7"/>
      <c r="D196" s="7"/>
    </row>
    <row r="197" ht="15.75" customHeight="1">
      <c r="A197" s="7"/>
      <c r="B197" s="7"/>
      <c r="C197" s="7"/>
      <c r="D197" s="7"/>
    </row>
    <row r="198" ht="15.75" customHeight="1">
      <c r="A198" s="7"/>
      <c r="B198" s="7"/>
      <c r="C198" s="7"/>
      <c r="D198" s="7"/>
    </row>
    <row r="199" ht="15.75" customHeight="1">
      <c r="A199" s="7"/>
      <c r="B199" s="7"/>
      <c r="C199" s="7"/>
      <c r="D199" s="7"/>
    </row>
    <row r="200" ht="15.75" customHeight="1">
      <c r="A200" s="7"/>
      <c r="B200" s="7"/>
      <c r="C200" s="5"/>
      <c r="D200" s="7"/>
      <c r="F200" s="2" t="s">
        <v>162</v>
      </c>
      <c r="G200" s="2" t="s">
        <v>163</v>
      </c>
      <c r="H200" s="2" t="s">
        <v>164</v>
      </c>
      <c r="I200" s="2" t="s">
        <v>165</v>
      </c>
      <c r="J200" s="2" t="s">
        <v>166</v>
      </c>
      <c r="K200" s="2" t="s">
        <v>7</v>
      </c>
      <c r="L200" s="2" t="s">
        <v>943</v>
      </c>
      <c r="M200" s="2" t="s">
        <v>37</v>
      </c>
      <c r="N200" s="2" t="s">
        <v>161</v>
      </c>
    </row>
    <row r="201" ht="15.75" customHeight="1">
      <c r="A201" s="7"/>
      <c r="B201" s="7"/>
      <c r="C201" s="7"/>
      <c r="D201" s="7"/>
    </row>
    <row r="202" ht="15.75" customHeight="1">
      <c r="A202" s="7"/>
      <c r="B202" s="7"/>
      <c r="C202" s="7"/>
      <c r="D202" s="7"/>
    </row>
    <row r="203" ht="15.75" customHeight="1">
      <c r="A203" s="7"/>
      <c r="B203" s="7"/>
      <c r="C203" s="7"/>
      <c r="D203" s="7"/>
    </row>
    <row r="204" ht="15.75" customHeight="1">
      <c r="A204" s="7"/>
      <c r="B204" s="7"/>
      <c r="C204" s="7"/>
      <c r="D204" s="7"/>
    </row>
    <row r="205" ht="15.75" customHeight="1">
      <c r="A205" s="7"/>
      <c r="B205" s="7"/>
      <c r="C205" s="7"/>
      <c r="D205" s="7"/>
    </row>
    <row r="206" ht="15.75" customHeight="1">
      <c r="A206" s="7"/>
      <c r="B206" s="7"/>
      <c r="C206" s="7"/>
      <c r="D206" s="7"/>
    </row>
    <row r="207" ht="15.75" customHeight="1">
      <c r="A207" s="7"/>
      <c r="B207" s="7"/>
      <c r="C207" s="7"/>
      <c r="D207" s="7"/>
    </row>
    <row r="208" ht="15.75" customHeight="1">
      <c r="A208" s="7"/>
      <c r="B208" s="7"/>
      <c r="C208" s="7"/>
      <c r="D208" s="7"/>
    </row>
    <row r="209" ht="15.75" customHeight="1">
      <c r="A209" s="7"/>
      <c r="B209" s="7"/>
      <c r="C209" s="5"/>
      <c r="D209" s="7"/>
      <c r="F209" s="2" t="s">
        <v>169</v>
      </c>
      <c r="G209" s="2" t="s">
        <v>170</v>
      </c>
      <c r="H209" s="2" t="s">
        <v>171</v>
      </c>
      <c r="I209" s="2" t="s">
        <v>172</v>
      </c>
      <c r="J209" s="2" t="s">
        <v>936</v>
      </c>
      <c r="K209" s="2" t="s">
        <v>7</v>
      </c>
      <c r="L209" s="2" t="s">
        <v>173</v>
      </c>
      <c r="M209" s="2" t="s">
        <v>9</v>
      </c>
      <c r="N209" s="2" t="s">
        <v>174</v>
      </c>
    </row>
    <row r="210" ht="15.75" customHeight="1">
      <c r="A210" s="7"/>
      <c r="B210" s="7"/>
      <c r="C210" s="7"/>
      <c r="D210" s="7"/>
    </row>
    <row r="211" ht="15.75" customHeight="1">
      <c r="A211" s="7"/>
      <c r="B211" s="7"/>
      <c r="C211" s="7"/>
      <c r="D211" s="7"/>
    </row>
    <row r="212" ht="15.75" customHeight="1">
      <c r="A212" s="7"/>
      <c r="B212" s="7"/>
      <c r="C212" s="7"/>
      <c r="D212" s="7"/>
    </row>
    <row r="213" ht="15.75" customHeight="1">
      <c r="A213" s="7"/>
      <c r="B213" s="7"/>
      <c r="C213" s="7"/>
      <c r="D213" s="7"/>
    </row>
    <row r="214" ht="15.75" customHeight="1">
      <c r="A214" s="7"/>
      <c r="B214" s="7"/>
      <c r="C214" s="7"/>
      <c r="D214" s="7"/>
    </row>
    <row r="215" ht="15.75" customHeight="1">
      <c r="A215" s="7"/>
      <c r="B215" s="7"/>
      <c r="C215" s="7"/>
      <c r="D215" s="7"/>
    </row>
    <row r="216" ht="15.75" customHeight="1">
      <c r="A216" s="7"/>
      <c r="B216" s="7"/>
      <c r="C216" s="7"/>
      <c r="D216" s="7"/>
    </row>
    <row r="217" ht="15.75" customHeight="1">
      <c r="A217" s="7"/>
      <c r="B217" s="7"/>
      <c r="C217" s="7"/>
      <c r="D217" s="7"/>
    </row>
    <row r="218" ht="15.75" customHeight="1">
      <c r="A218" s="7"/>
      <c r="B218" s="7"/>
      <c r="C218" s="5"/>
      <c r="D218" s="7"/>
      <c r="F218" s="2" t="s">
        <v>175</v>
      </c>
      <c r="G218" s="2" t="s">
        <v>176</v>
      </c>
      <c r="H218" s="2" t="s">
        <v>177</v>
      </c>
      <c r="I218" s="2" t="s">
        <v>178</v>
      </c>
      <c r="J218" s="2" t="s">
        <v>936</v>
      </c>
      <c r="K218" s="2" t="s">
        <v>7</v>
      </c>
      <c r="L218" s="2" t="s">
        <v>179</v>
      </c>
      <c r="M218" s="2" t="s">
        <v>37</v>
      </c>
      <c r="N218" s="2" t="s">
        <v>146</v>
      </c>
    </row>
    <row r="219" ht="15.75" customHeight="1">
      <c r="A219" s="7"/>
      <c r="B219" s="7"/>
      <c r="C219" s="7"/>
      <c r="D219" s="7"/>
    </row>
    <row r="220" ht="15.75" customHeight="1">
      <c r="A220" s="7"/>
      <c r="B220" s="7"/>
      <c r="C220" s="7"/>
      <c r="D220" s="7"/>
    </row>
    <row r="221" ht="15.75" customHeight="1">
      <c r="A221" s="7"/>
      <c r="B221" s="7"/>
      <c r="C221" s="7"/>
      <c r="D221" s="7"/>
    </row>
    <row r="222" ht="15.75" customHeight="1">
      <c r="A222" s="7"/>
      <c r="B222" s="7"/>
      <c r="C222" s="7"/>
      <c r="D222" s="7"/>
    </row>
    <row r="223" ht="15.75" customHeight="1">
      <c r="A223" s="7"/>
      <c r="B223" s="7"/>
      <c r="C223" s="7"/>
      <c r="D223" s="7"/>
    </row>
    <row r="224" ht="15.75" customHeight="1">
      <c r="A224" s="7"/>
      <c r="B224" s="7"/>
      <c r="C224" s="7"/>
      <c r="D224" s="7"/>
    </row>
    <row r="225" ht="15.75" customHeight="1">
      <c r="A225" s="7"/>
      <c r="B225" s="7"/>
      <c r="C225" s="7"/>
      <c r="D225" s="7"/>
    </row>
    <row r="226" ht="15.75" customHeight="1">
      <c r="A226" s="7"/>
      <c r="B226" s="7"/>
      <c r="C226" s="7"/>
      <c r="D226" s="7"/>
    </row>
    <row r="227" ht="15.75" customHeight="1">
      <c r="A227" s="7"/>
      <c r="B227" s="7"/>
      <c r="C227" s="5"/>
      <c r="D227" s="7"/>
      <c r="F227" s="2" t="s">
        <v>180</v>
      </c>
      <c r="G227" s="2" t="s">
        <v>181</v>
      </c>
      <c r="H227" s="2" t="s">
        <v>182</v>
      </c>
      <c r="I227" s="2" t="s">
        <v>183</v>
      </c>
      <c r="J227" s="2" t="s">
        <v>936</v>
      </c>
      <c r="K227" s="2" t="s">
        <v>44</v>
      </c>
      <c r="L227" s="2" t="s">
        <v>184</v>
      </c>
      <c r="M227" s="2" t="s">
        <v>37</v>
      </c>
      <c r="N227" s="2" t="s">
        <v>185</v>
      </c>
    </row>
    <row r="228" ht="15.75" customHeight="1">
      <c r="A228" s="7"/>
      <c r="B228" s="7"/>
      <c r="C228" s="7"/>
      <c r="D228" s="7"/>
    </row>
    <row r="229" ht="15.75" customHeight="1">
      <c r="A229" s="7"/>
      <c r="B229" s="7"/>
      <c r="C229" s="7"/>
      <c r="D229" s="7"/>
    </row>
    <row r="230" ht="15.75" customHeight="1">
      <c r="A230" s="7"/>
      <c r="B230" s="7"/>
      <c r="C230" s="7"/>
      <c r="D230" s="7"/>
    </row>
    <row r="231" ht="15.75" customHeight="1">
      <c r="A231" s="7"/>
      <c r="B231" s="7"/>
      <c r="C231" s="7"/>
      <c r="D231" s="7"/>
    </row>
    <row r="232" ht="15.75" customHeight="1">
      <c r="A232" s="7"/>
      <c r="B232" s="7"/>
      <c r="C232" s="7"/>
      <c r="D232" s="7"/>
    </row>
    <row r="233" ht="15.75" customHeight="1">
      <c r="A233" s="7"/>
      <c r="B233" s="7"/>
      <c r="C233" s="7"/>
      <c r="D233" s="7"/>
    </row>
    <row r="234" ht="15.75" customHeight="1">
      <c r="A234" s="7"/>
      <c r="B234" s="7"/>
      <c r="C234" s="7"/>
      <c r="D234" s="7"/>
    </row>
    <row r="235" ht="15.75" customHeight="1">
      <c r="A235" s="7"/>
      <c r="B235" s="7"/>
      <c r="C235" s="7"/>
      <c r="D235" s="7"/>
    </row>
    <row r="236" ht="15.75" customHeight="1">
      <c r="A236" s="7"/>
      <c r="B236" s="7"/>
      <c r="C236" s="5"/>
      <c r="D236" s="7"/>
      <c r="F236" s="2" t="s">
        <v>186</v>
      </c>
      <c r="G236" s="2" t="s">
        <v>187</v>
      </c>
      <c r="H236" s="2" t="s">
        <v>188</v>
      </c>
      <c r="I236" s="2" t="s">
        <v>189</v>
      </c>
      <c r="J236" s="2" t="s">
        <v>190</v>
      </c>
      <c r="K236" s="2" t="s">
        <v>7</v>
      </c>
      <c r="L236" s="2" t="s">
        <v>191</v>
      </c>
      <c r="M236" s="2" t="s">
        <v>37</v>
      </c>
      <c r="N236" s="2" t="s">
        <v>138</v>
      </c>
    </row>
    <row r="237" ht="15.75" customHeight="1">
      <c r="A237" s="7"/>
      <c r="B237" s="7"/>
      <c r="C237" s="7"/>
      <c r="D237" s="7"/>
    </row>
    <row r="238" ht="15.75" customHeight="1">
      <c r="A238" s="7"/>
      <c r="B238" s="7"/>
      <c r="C238" s="7"/>
      <c r="D238" s="7"/>
    </row>
    <row r="239" ht="15.75" customHeight="1">
      <c r="A239" s="7"/>
      <c r="B239" s="7"/>
      <c r="C239" s="7"/>
      <c r="D239" s="7"/>
    </row>
    <row r="240" ht="15.75" customHeight="1">
      <c r="A240" s="7"/>
      <c r="B240" s="7"/>
      <c r="C240" s="7"/>
      <c r="D240" s="7"/>
    </row>
    <row r="241" ht="15.75" customHeight="1">
      <c r="A241" s="7"/>
      <c r="B241" s="7"/>
      <c r="C241" s="7"/>
      <c r="D241" s="7"/>
    </row>
    <row r="242" ht="15.75" customHeight="1">
      <c r="A242" s="7"/>
      <c r="B242" s="7"/>
      <c r="C242" s="7"/>
      <c r="D242" s="7"/>
    </row>
    <row r="243" ht="15.75" customHeight="1">
      <c r="A243" s="7"/>
      <c r="B243" s="7"/>
      <c r="C243" s="7"/>
      <c r="D243" s="7"/>
    </row>
    <row r="244" ht="15.75" customHeight="1">
      <c r="A244" s="7"/>
      <c r="B244" s="7"/>
      <c r="C244" s="7"/>
      <c r="D244" s="7"/>
    </row>
    <row r="245" ht="15.75" customHeight="1">
      <c r="A245" s="7"/>
      <c r="B245" s="7"/>
      <c r="C245" s="5"/>
      <c r="D245" s="7"/>
      <c r="F245" s="2" t="s">
        <v>192</v>
      </c>
      <c r="G245" s="2" t="s">
        <v>193</v>
      </c>
      <c r="H245" s="2" t="s">
        <v>194</v>
      </c>
      <c r="I245" s="2" t="s">
        <v>195</v>
      </c>
      <c r="J245" s="2" t="s">
        <v>196</v>
      </c>
      <c r="K245" s="2" t="s">
        <v>7</v>
      </c>
      <c r="L245" s="2" t="s">
        <v>197</v>
      </c>
      <c r="M245" s="2" t="s">
        <v>9</v>
      </c>
      <c r="N245" s="2" t="s">
        <v>198</v>
      </c>
    </row>
    <row r="246" ht="15.75" customHeight="1">
      <c r="A246" s="7"/>
      <c r="B246" s="7"/>
      <c r="C246" s="7"/>
      <c r="D246" s="7"/>
    </row>
    <row r="247" ht="15.75" customHeight="1">
      <c r="A247" s="7"/>
      <c r="B247" s="7"/>
      <c r="C247" s="7"/>
      <c r="D247" s="7"/>
    </row>
    <row r="248" ht="15.75" customHeight="1">
      <c r="A248" s="7"/>
      <c r="B248" s="7"/>
      <c r="C248" s="7"/>
      <c r="D248" s="7"/>
    </row>
    <row r="249" ht="15.75" customHeight="1">
      <c r="A249" s="7"/>
      <c r="B249" s="7"/>
      <c r="C249" s="7"/>
      <c r="D249" s="7"/>
    </row>
    <row r="250" ht="15.75" customHeight="1">
      <c r="A250" s="7"/>
      <c r="B250" s="7"/>
      <c r="C250" s="7"/>
      <c r="D250" s="7"/>
    </row>
    <row r="251" ht="15.75" customHeight="1">
      <c r="A251" s="7"/>
      <c r="B251" s="7"/>
      <c r="C251" s="7"/>
      <c r="D251" s="7"/>
    </row>
    <row r="252" ht="15.75" customHeight="1">
      <c r="A252" s="7"/>
      <c r="B252" s="7"/>
      <c r="C252" s="7"/>
      <c r="D252" s="7"/>
    </row>
    <row r="253" ht="15.75" customHeight="1">
      <c r="A253" s="7"/>
      <c r="B253" s="7"/>
      <c r="C253" s="7"/>
      <c r="D253" s="7"/>
    </row>
    <row r="254" ht="15.75" customHeight="1">
      <c r="A254" s="7"/>
      <c r="B254" s="7"/>
      <c r="C254" s="5"/>
      <c r="D254" s="7"/>
      <c r="F254" s="2" t="s">
        <v>199</v>
      </c>
      <c r="G254" s="2" t="s">
        <v>200</v>
      </c>
      <c r="H254" s="2" t="s">
        <v>201</v>
      </c>
      <c r="I254" s="2" t="s">
        <v>202</v>
      </c>
      <c r="J254" s="2" t="s">
        <v>936</v>
      </c>
      <c r="K254" s="2" t="s">
        <v>7</v>
      </c>
      <c r="L254" s="2" t="s">
        <v>203</v>
      </c>
      <c r="M254" s="2" t="s">
        <v>37</v>
      </c>
      <c r="N254" s="2" t="s">
        <v>204</v>
      </c>
    </row>
    <row r="255" ht="15.75" customHeight="1">
      <c r="A255" s="7"/>
      <c r="B255" s="7"/>
      <c r="C255" s="7"/>
      <c r="D255" s="7"/>
    </row>
    <row r="256" ht="15.75" customHeight="1">
      <c r="A256" s="7"/>
      <c r="B256" s="7"/>
      <c r="C256" s="7"/>
      <c r="D256" s="7"/>
    </row>
    <row r="257" ht="15.75" customHeight="1">
      <c r="A257" s="7"/>
      <c r="B257" s="7"/>
      <c r="C257" s="7"/>
      <c r="D257" s="7"/>
    </row>
    <row r="258" ht="15.75" customHeight="1">
      <c r="A258" s="7"/>
      <c r="B258" s="7"/>
      <c r="C258" s="7"/>
      <c r="D258" s="7"/>
    </row>
    <row r="259" ht="15.75" customHeight="1">
      <c r="A259" s="7"/>
      <c r="B259" s="7"/>
      <c r="C259" s="7"/>
      <c r="D259" s="7"/>
    </row>
    <row r="260" ht="15.75" customHeight="1">
      <c r="A260" s="7"/>
      <c r="B260" s="7"/>
      <c r="C260" s="7"/>
      <c r="D260" s="7"/>
    </row>
    <row r="261" ht="15.75" customHeight="1">
      <c r="A261" s="7"/>
      <c r="B261" s="7"/>
      <c r="C261" s="7"/>
      <c r="D261" s="7"/>
    </row>
    <row r="262" ht="15.75" customHeight="1">
      <c r="A262" s="7"/>
      <c r="B262" s="7"/>
      <c r="C262" s="7"/>
      <c r="D262" s="7"/>
    </row>
    <row r="263" ht="15.75" customHeight="1">
      <c r="A263" s="7"/>
      <c r="B263" s="7"/>
      <c r="C263" s="5"/>
      <c r="D263" s="7"/>
      <c r="F263" s="2" t="s">
        <v>205</v>
      </c>
      <c r="G263" s="2" t="s">
        <v>206</v>
      </c>
      <c r="H263" s="2" t="s">
        <v>207</v>
      </c>
      <c r="I263" s="2" t="s">
        <v>944</v>
      </c>
      <c r="J263" s="2" t="s">
        <v>936</v>
      </c>
      <c r="K263" s="2" t="s">
        <v>7</v>
      </c>
      <c r="L263" s="2" t="s">
        <v>209</v>
      </c>
      <c r="M263" s="2" t="s">
        <v>37</v>
      </c>
      <c r="N263" s="2" t="s">
        <v>146</v>
      </c>
    </row>
    <row r="264" ht="15.75" customHeight="1">
      <c r="A264" s="7"/>
      <c r="B264" s="7"/>
      <c r="C264" s="7"/>
      <c r="D264" s="7"/>
    </row>
    <row r="265" ht="15.75" customHeight="1">
      <c r="A265" s="7"/>
      <c r="B265" s="7"/>
      <c r="C265" s="7"/>
      <c r="D265" s="7"/>
    </row>
    <row r="266" ht="15.75" customHeight="1">
      <c r="A266" s="7"/>
      <c r="B266" s="7"/>
      <c r="C266" s="7"/>
      <c r="D266" s="7"/>
    </row>
    <row r="267" ht="15.75" customHeight="1">
      <c r="A267" s="7"/>
      <c r="B267" s="7"/>
      <c r="C267" s="7"/>
      <c r="D267" s="7"/>
    </row>
    <row r="268" ht="15.75" customHeight="1">
      <c r="A268" s="7"/>
      <c r="B268" s="7"/>
      <c r="C268" s="7"/>
      <c r="D268" s="7"/>
    </row>
    <row r="269" ht="15.75" customHeight="1">
      <c r="A269" s="7"/>
      <c r="B269" s="7"/>
      <c r="C269" s="7"/>
      <c r="D269" s="7"/>
    </row>
    <row r="270" ht="15.75" customHeight="1">
      <c r="A270" s="7"/>
      <c r="B270" s="7"/>
      <c r="C270" s="7"/>
      <c r="D270" s="7"/>
    </row>
    <row r="271" ht="15.75" customHeight="1">
      <c r="A271" s="7"/>
      <c r="B271" s="7"/>
      <c r="C271" s="7"/>
      <c r="D271" s="7"/>
    </row>
    <row r="272" ht="15.75" customHeight="1">
      <c r="A272" s="7"/>
      <c r="B272" s="7"/>
      <c r="C272" s="5"/>
      <c r="D272" s="7"/>
      <c r="F272" s="2" t="s">
        <v>210</v>
      </c>
      <c r="G272" s="2" t="s">
        <v>211</v>
      </c>
      <c r="H272" s="2" t="s">
        <v>212</v>
      </c>
      <c r="I272" s="2" t="s">
        <v>213</v>
      </c>
      <c r="J272" s="2" t="s">
        <v>214</v>
      </c>
      <c r="K272" s="2" t="s">
        <v>7</v>
      </c>
      <c r="L272" s="2" t="s">
        <v>215</v>
      </c>
      <c r="M272" s="2" t="s">
        <v>9</v>
      </c>
      <c r="N272" s="2" t="s">
        <v>216</v>
      </c>
    </row>
    <row r="273" ht="15.75" customHeight="1">
      <c r="A273" s="7"/>
      <c r="B273" s="7"/>
      <c r="C273" s="7"/>
      <c r="D273" s="7"/>
    </row>
    <row r="274" ht="15.75" customHeight="1">
      <c r="A274" s="7"/>
      <c r="B274" s="7"/>
      <c r="C274" s="7"/>
      <c r="D274" s="7"/>
    </row>
    <row r="275" ht="15.75" customHeight="1">
      <c r="A275" s="7"/>
      <c r="B275" s="7"/>
      <c r="C275" s="7"/>
      <c r="D275" s="7"/>
    </row>
    <row r="276" ht="15.75" customHeight="1">
      <c r="A276" s="7"/>
      <c r="B276" s="7"/>
      <c r="C276" s="7"/>
      <c r="D276" s="7"/>
    </row>
    <row r="277" ht="15.75" customHeight="1">
      <c r="A277" s="7"/>
      <c r="B277" s="7"/>
      <c r="C277" s="7"/>
      <c r="D277" s="7"/>
    </row>
    <row r="278" ht="15.75" customHeight="1">
      <c r="A278" s="7"/>
      <c r="B278" s="7"/>
      <c r="C278" s="7"/>
      <c r="D278" s="7"/>
    </row>
    <row r="279" ht="15.75" customHeight="1">
      <c r="A279" s="7"/>
      <c r="B279" s="7"/>
      <c r="C279" s="7"/>
      <c r="D279" s="7"/>
    </row>
    <row r="280" ht="15.75" customHeight="1">
      <c r="A280" s="7"/>
      <c r="B280" s="7"/>
      <c r="C280" s="7"/>
      <c r="D280" s="7"/>
    </row>
    <row r="281" ht="15.75" customHeight="1">
      <c r="A281" s="7"/>
      <c r="B281" s="7"/>
      <c r="C281" s="5"/>
      <c r="D281" s="7"/>
      <c r="F281" s="2" t="s">
        <v>217</v>
      </c>
      <c r="G281" s="2" t="s">
        <v>218</v>
      </c>
      <c r="H281" s="2" t="s">
        <v>219</v>
      </c>
      <c r="I281" s="2" t="s">
        <v>220</v>
      </c>
      <c r="J281" s="2" t="s">
        <v>221</v>
      </c>
      <c r="K281" s="2" t="s">
        <v>7</v>
      </c>
      <c r="L281" s="2" t="s">
        <v>222</v>
      </c>
      <c r="M281" s="2" t="s">
        <v>37</v>
      </c>
      <c r="N281" s="2" t="s">
        <v>216</v>
      </c>
    </row>
    <row r="282" ht="15.75" customHeight="1">
      <c r="A282" s="7"/>
      <c r="B282" s="7"/>
      <c r="C282" s="7"/>
      <c r="D282" s="7"/>
    </row>
    <row r="283" ht="15.75" customHeight="1">
      <c r="A283" s="7"/>
      <c r="B283" s="7"/>
      <c r="C283" s="7"/>
      <c r="D283" s="7"/>
    </row>
    <row r="284" ht="15.75" customHeight="1">
      <c r="A284" s="7"/>
      <c r="B284" s="7"/>
      <c r="C284" s="7"/>
      <c r="D284" s="7"/>
    </row>
    <row r="285" ht="15.75" customHeight="1">
      <c r="A285" s="7"/>
      <c r="B285" s="7"/>
      <c r="C285" s="7"/>
      <c r="D285" s="7"/>
    </row>
    <row r="286" ht="15.75" customHeight="1">
      <c r="A286" s="7"/>
      <c r="B286" s="7"/>
      <c r="C286" s="7"/>
      <c r="D286" s="7"/>
    </row>
    <row r="287" ht="15.75" customHeight="1">
      <c r="A287" s="7"/>
      <c r="B287" s="7"/>
      <c r="C287" s="7"/>
      <c r="D287" s="7"/>
    </row>
    <row r="288" ht="15.75" customHeight="1">
      <c r="A288" s="7"/>
      <c r="B288" s="7"/>
      <c r="C288" s="7"/>
      <c r="D288" s="7"/>
    </row>
    <row r="289" ht="15.75" customHeight="1">
      <c r="A289" s="7"/>
      <c r="B289" s="7"/>
      <c r="C289" s="7"/>
      <c r="D289" s="7"/>
    </row>
    <row r="290" ht="15.75" customHeight="1">
      <c r="A290" s="7"/>
      <c r="B290" s="7"/>
      <c r="C290" s="5"/>
      <c r="D290" s="7"/>
      <c r="F290" s="2" t="s">
        <v>223</v>
      </c>
      <c r="G290" s="2" t="s">
        <v>224</v>
      </c>
      <c r="H290" s="2" t="s">
        <v>225</v>
      </c>
      <c r="I290" s="2" t="s">
        <v>226</v>
      </c>
      <c r="J290" s="2" t="s">
        <v>227</v>
      </c>
      <c r="K290" s="2" t="s">
        <v>7</v>
      </c>
      <c r="L290" s="2" t="s">
        <v>945</v>
      </c>
      <c r="M290" s="2" t="s">
        <v>37</v>
      </c>
      <c r="N290" s="2" t="s">
        <v>231</v>
      </c>
    </row>
    <row r="291" ht="15.75" customHeight="1">
      <c r="A291" s="7"/>
      <c r="B291" s="7"/>
      <c r="C291" s="7"/>
      <c r="D291" s="7"/>
    </row>
    <row r="292" ht="15.75" customHeight="1">
      <c r="A292" s="7"/>
      <c r="B292" s="7"/>
      <c r="C292" s="7"/>
      <c r="D292" s="7"/>
    </row>
    <row r="293" ht="15.75" customHeight="1">
      <c r="A293" s="7"/>
      <c r="B293" s="7"/>
      <c r="C293" s="7"/>
      <c r="D293" s="7"/>
    </row>
    <row r="294" ht="15.75" customHeight="1">
      <c r="A294" s="7"/>
      <c r="B294" s="7"/>
      <c r="C294" s="7"/>
      <c r="D294" s="7"/>
    </row>
    <row r="295" ht="15.75" customHeight="1">
      <c r="A295" s="7"/>
      <c r="B295" s="7"/>
      <c r="C295" s="7"/>
      <c r="D295" s="7"/>
    </row>
    <row r="296" ht="15.75" customHeight="1">
      <c r="A296" s="7"/>
      <c r="B296" s="7"/>
      <c r="C296" s="7"/>
      <c r="D296" s="7"/>
    </row>
    <row r="297" ht="15.75" customHeight="1">
      <c r="A297" s="7"/>
      <c r="B297" s="7"/>
      <c r="C297" s="7"/>
      <c r="D297" s="7"/>
    </row>
    <row r="298" ht="15.75" customHeight="1">
      <c r="A298" s="7"/>
      <c r="B298" s="7"/>
      <c r="C298" s="7"/>
      <c r="D298" s="7"/>
    </row>
    <row r="299" ht="15.75" customHeight="1">
      <c r="A299" s="7"/>
      <c r="B299" s="7"/>
      <c r="C299" s="5"/>
      <c r="D299" s="7"/>
      <c r="F299" s="2" t="s">
        <v>232</v>
      </c>
      <c r="G299" s="2" t="s">
        <v>233</v>
      </c>
      <c r="H299" s="2" t="s">
        <v>234</v>
      </c>
      <c r="I299" s="2" t="s">
        <v>235</v>
      </c>
      <c r="J299" s="2" t="s">
        <v>936</v>
      </c>
      <c r="K299" s="2" t="s">
        <v>7</v>
      </c>
      <c r="L299" s="2" t="s">
        <v>236</v>
      </c>
      <c r="M299" s="2" t="s">
        <v>37</v>
      </c>
      <c r="N299" s="2" t="s">
        <v>66</v>
      </c>
    </row>
    <row r="300" ht="15.75" customHeight="1">
      <c r="A300" s="7"/>
      <c r="B300" s="7"/>
      <c r="C300" s="7"/>
      <c r="D300" s="7"/>
    </row>
    <row r="301" ht="15.75" customHeight="1">
      <c r="A301" s="7"/>
      <c r="B301" s="7"/>
      <c r="C301" s="7"/>
      <c r="D301" s="7"/>
    </row>
    <row r="302" ht="15.75" customHeight="1">
      <c r="A302" s="7"/>
      <c r="B302" s="7"/>
      <c r="C302" s="7"/>
      <c r="D302" s="7"/>
    </row>
    <row r="303" ht="15.75" customHeight="1">
      <c r="A303" s="7"/>
      <c r="B303" s="7"/>
      <c r="C303" s="7"/>
      <c r="D303" s="7"/>
    </row>
    <row r="304" ht="15.75" customHeight="1">
      <c r="A304" s="7"/>
      <c r="B304" s="7"/>
      <c r="C304" s="7"/>
      <c r="D304" s="7"/>
    </row>
    <row r="305" ht="15.75" customHeight="1">
      <c r="A305" s="7"/>
      <c r="B305" s="7"/>
      <c r="C305" s="7"/>
      <c r="D305" s="7"/>
    </row>
    <row r="306" ht="15.75" customHeight="1">
      <c r="A306" s="7"/>
      <c r="B306" s="7"/>
      <c r="C306" s="7"/>
      <c r="D306" s="7"/>
    </row>
    <row r="307" ht="15.75" customHeight="1">
      <c r="A307" s="7"/>
      <c r="B307" s="7"/>
      <c r="C307" s="7"/>
      <c r="D307" s="7"/>
    </row>
    <row r="308" ht="15.75" customHeight="1">
      <c r="A308" s="7"/>
      <c r="B308" s="7"/>
      <c r="C308" s="5"/>
      <c r="D308" s="7"/>
      <c r="F308" s="2" t="s">
        <v>237</v>
      </c>
      <c r="G308" s="2" t="s">
        <v>238</v>
      </c>
      <c r="H308" s="2" t="s">
        <v>239</v>
      </c>
      <c r="I308" s="2" t="s">
        <v>240</v>
      </c>
      <c r="J308" s="2" t="s">
        <v>936</v>
      </c>
      <c r="K308" s="2" t="s">
        <v>7</v>
      </c>
      <c r="L308" s="2" t="s">
        <v>241</v>
      </c>
      <c r="M308" s="2" t="s">
        <v>9</v>
      </c>
      <c r="N308" s="2" t="s">
        <v>89</v>
      </c>
    </row>
    <row r="309" ht="15.75" customHeight="1">
      <c r="A309" s="7"/>
      <c r="B309" s="7"/>
      <c r="C309" s="7"/>
      <c r="D309" s="7"/>
    </row>
    <row r="310" ht="15.75" customHeight="1">
      <c r="A310" s="7"/>
      <c r="B310" s="7"/>
      <c r="C310" s="7"/>
      <c r="D310" s="7"/>
    </row>
    <row r="311" ht="15.75" customHeight="1">
      <c r="A311" s="7"/>
      <c r="B311" s="7"/>
      <c r="C311" s="7"/>
      <c r="D311" s="7"/>
    </row>
    <row r="312" ht="15.75" customHeight="1">
      <c r="A312" s="7"/>
      <c r="B312" s="7"/>
      <c r="C312" s="7"/>
      <c r="D312" s="7"/>
    </row>
    <row r="313" ht="15.75" customHeight="1">
      <c r="A313" s="7"/>
      <c r="B313" s="7"/>
      <c r="C313" s="7"/>
      <c r="D313" s="7"/>
    </row>
    <row r="314" ht="15.75" customHeight="1">
      <c r="A314" s="7"/>
      <c r="B314" s="7"/>
      <c r="C314" s="7"/>
      <c r="D314" s="7"/>
    </row>
    <row r="315" ht="15.75" customHeight="1">
      <c r="A315" s="7"/>
      <c r="B315" s="7"/>
      <c r="C315" s="7"/>
      <c r="D315" s="7"/>
    </row>
    <row r="316" ht="15.75" customHeight="1">
      <c r="A316" s="7"/>
      <c r="B316" s="7"/>
      <c r="C316" s="7"/>
      <c r="D316" s="7"/>
    </row>
    <row r="317" ht="15.75" customHeight="1">
      <c r="A317" s="7"/>
      <c r="B317" s="7"/>
      <c r="C317" s="5"/>
      <c r="D317" s="7"/>
      <c r="F317" s="2" t="s">
        <v>242</v>
      </c>
      <c r="G317" s="2" t="s">
        <v>243</v>
      </c>
      <c r="H317" s="2" t="s">
        <v>244</v>
      </c>
      <c r="I317" s="2" t="s">
        <v>245</v>
      </c>
      <c r="J317" s="2" t="s">
        <v>936</v>
      </c>
      <c r="K317" s="2" t="s">
        <v>7</v>
      </c>
      <c r="L317" s="2" t="s">
        <v>246</v>
      </c>
      <c r="M317" s="2" t="s">
        <v>9</v>
      </c>
      <c r="N317" s="2" t="s">
        <v>31</v>
      </c>
    </row>
    <row r="318" ht="15.75" customHeight="1">
      <c r="A318" s="7"/>
      <c r="B318" s="7"/>
      <c r="C318" s="7"/>
      <c r="D318" s="7"/>
    </row>
    <row r="319" ht="15.75" customHeight="1">
      <c r="A319" s="7"/>
      <c r="B319" s="7"/>
      <c r="C319" s="7"/>
      <c r="D319" s="7"/>
    </row>
    <row r="320" ht="15.75" customHeight="1">
      <c r="A320" s="7"/>
      <c r="B320" s="7"/>
      <c r="C320" s="7"/>
      <c r="D320" s="7"/>
    </row>
    <row r="321" ht="15.75" customHeight="1">
      <c r="A321" s="7"/>
      <c r="B321" s="7"/>
      <c r="C321" s="7"/>
      <c r="D321" s="7"/>
    </row>
    <row r="322" ht="15.75" customHeight="1">
      <c r="A322" s="7"/>
      <c r="B322" s="7"/>
      <c r="C322" s="7"/>
      <c r="D322" s="7"/>
    </row>
    <row r="323" ht="15.75" customHeight="1">
      <c r="A323" s="7"/>
      <c r="B323" s="7"/>
      <c r="C323" s="7"/>
      <c r="D323" s="7"/>
    </row>
    <row r="324" ht="15.75" customHeight="1">
      <c r="A324" s="7"/>
      <c r="B324" s="7"/>
      <c r="C324" s="7"/>
      <c r="D324" s="7"/>
    </row>
    <row r="325" ht="15.75" customHeight="1">
      <c r="A325" s="7"/>
      <c r="B325" s="7"/>
      <c r="C325" s="7"/>
      <c r="D325" s="7"/>
    </row>
    <row r="326" ht="15.75" customHeight="1">
      <c r="A326" s="7"/>
      <c r="B326" s="7"/>
      <c r="C326" s="5"/>
      <c r="D326" s="7"/>
      <c r="F326" s="2" t="s">
        <v>247</v>
      </c>
      <c r="G326" s="2" t="s">
        <v>248</v>
      </c>
      <c r="H326" s="2" t="s">
        <v>249</v>
      </c>
      <c r="I326" s="2" t="s">
        <v>250</v>
      </c>
      <c r="J326" s="2" t="s">
        <v>50</v>
      </c>
      <c r="K326" s="2" t="s">
        <v>7</v>
      </c>
      <c r="L326" s="2" t="s">
        <v>946</v>
      </c>
      <c r="M326" s="2" t="s">
        <v>9</v>
      </c>
      <c r="N326" s="2" t="s">
        <v>255</v>
      </c>
    </row>
    <row r="327" ht="15.75" customHeight="1">
      <c r="A327" s="7"/>
      <c r="B327" s="7"/>
      <c r="C327" s="7"/>
      <c r="D327" s="7"/>
    </row>
    <row r="328" ht="15.75" customHeight="1">
      <c r="A328" s="7"/>
      <c r="B328" s="7"/>
      <c r="C328" s="7"/>
      <c r="D328" s="7"/>
    </row>
    <row r="329" ht="15.75" customHeight="1">
      <c r="A329" s="7"/>
      <c r="B329" s="7"/>
      <c r="C329" s="7"/>
      <c r="D329" s="7"/>
    </row>
    <row r="330" ht="15.75" customHeight="1">
      <c r="A330" s="7"/>
      <c r="B330" s="7"/>
      <c r="C330" s="7"/>
      <c r="D330" s="7"/>
    </row>
    <row r="331" ht="15.75" customHeight="1">
      <c r="A331" s="7"/>
      <c r="B331" s="7"/>
      <c r="C331" s="7"/>
      <c r="D331" s="7"/>
    </row>
    <row r="332" ht="15.75" customHeight="1">
      <c r="A332" s="7"/>
      <c r="B332" s="7"/>
      <c r="C332" s="7"/>
      <c r="D332" s="7"/>
    </row>
    <row r="333" ht="15.75" customHeight="1">
      <c r="A333" s="7"/>
      <c r="B333" s="7"/>
      <c r="C333" s="7"/>
      <c r="D333" s="7"/>
    </row>
    <row r="334" ht="15.75" customHeight="1">
      <c r="A334" s="7"/>
      <c r="B334" s="7"/>
      <c r="C334" s="7"/>
      <c r="D334" s="7"/>
    </row>
    <row r="335" ht="15.75" customHeight="1">
      <c r="A335" s="7"/>
      <c r="B335" s="7"/>
      <c r="C335" s="5"/>
      <c r="D335" s="7"/>
      <c r="F335" s="2" t="s">
        <v>256</v>
      </c>
      <c r="G335" s="2" t="s">
        <v>257</v>
      </c>
      <c r="H335" s="2" t="s">
        <v>258</v>
      </c>
      <c r="I335" s="2" t="s">
        <v>259</v>
      </c>
      <c r="J335" s="2" t="s">
        <v>936</v>
      </c>
      <c r="K335" s="2" t="s">
        <v>44</v>
      </c>
      <c r="L335" s="2" t="s">
        <v>260</v>
      </c>
      <c r="M335" s="2" t="s">
        <v>37</v>
      </c>
      <c r="N335" s="2" t="s">
        <v>261</v>
      </c>
    </row>
    <row r="336" ht="15.75" customHeight="1">
      <c r="A336" s="7"/>
      <c r="B336" s="7"/>
      <c r="C336" s="7"/>
      <c r="D336" s="7"/>
    </row>
    <row r="337" ht="15.75" customHeight="1">
      <c r="A337" s="7"/>
      <c r="B337" s="7"/>
      <c r="C337" s="7"/>
      <c r="D337" s="7"/>
    </row>
    <row r="338" ht="15.75" customHeight="1">
      <c r="A338" s="7"/>
      <c r="B338" s="7"/>
      <c r="C338" s="7"/>
      <c r="D338" s="7"/>
    </row>
    <row r="339" ht="15.75" customHeight="1">
      <c r="A339" s="7"/>
      <c r="B339" s="7"/>
      <c r="C339" s="7"/>
      <c r="D339" s="7"/>
    </row>
    <row r="340" ht="15.75" customHeight="1">
      <c r="A340" s="7"/>
      <c r="B340" s="7"/>
      <c r="C340" s="7"/>
      <c r="D340" s="7"/>
    </row>
    <row r="341" ht="15.75" customHeight="1">
      <c r="A341" s="7"/>
      <c r="B341" s="7"/>
      <c r="C341" s="7"/>
      <c r="D341" s="7"/>
    </row>
    <row r="342" ht="15.75" customHeight="1">
      <c r="A342" s="7"/>
      <c r="B342" s="7"/>
      <c r="C342" s="7"/>
      <c r="D342" s="7"/>
    </row>
    <row r="343" ht="15.75" customHeight="1">
      <c r="A343" s="7"/>
      <c r="B343" s="7"/>
      <c r="C343" s="7"/>
      <c r="D343" s="7"/>
    </row>
    <row r="344" ht="15.75" customHeight="1">
      <c r="A344" s="7"/>
      <c r="B344" s="7"/>
      <c r="C344" s="5"/>
      <c r="D344" s="7"/>
      <c r="F344" s="2" t="s">
        <v>262</v>
      </c>
      <c r="G344" s="2" t="s">
        <v>263</v>
      </c>
      <c r="H344" s="2" t="s">
        <v>264</v>
      </c>
      <c r="I344" s="2" t="s">
        <v>265</v>
      </c>
      <c r="J344" s="2" t="s">
        <v>266</v>
      </c>
      <c r="K344" s="2" t="s">
        <v>7</v>
      </c>
      <c r="L344" s="2" t="s">
        <v>947</v>
      </c>
      <c r="M344" s="2" t="s">
        <v>37</v>
      </c>
      <c r="N344" s="2" t="s">
        <v>52</v>
      </c>
    </row>
    <row r="345" ht="15.75" customHeight="1">
      <c r="A345" s="7"/>
      <c r="B345" s="7"/>
      <c r="C345" s="7"/>
      <c r="D345" s="7"/>
    </row>
    <row r="346" ht="15.75" customHeight="1">
      <c r="A346" s="7"/>
      <c r="B346" s="7"/>
      <c r="C346" s="7"/>
      <c r="D346" s="7"/>
    </row>
    <row r="347" ht="15.75" customHeight="1">
      <c r="A347" s="7"/>
      <c r="B347" s="7"/>
      <c r="C347" s="7"/>
      <c r="D347" s="7"/>
    </row>
    <row r="348" ht="15.75" customHeight="1">
      <c r="A348" s="7"/>
      <c r="B348" s="7"/>
      <c r="C348" s="7"/>
      <c r="D348" s="7"/>
    </row>
    <row r="349" ht="15.75" customHeight="1">
      <c r="A349" s="7"/>
      <c r="B349" s="7"/>
      <c r="C349" s="7"/>
      <c r="D349" s="7"/>
    </row>
    <row r="350" ht="15.75" customHeight="1">
      <c r="A350" s="7"/>
      <c r="B350" s="7"/>
      <c r="C350" s="7"/>
      <c r="D350" s="7"/>
    </row>
    <row r="351" ht="15.75" customHeight="1">
      <c r="A351" s="7"/>
      <c r="B351" s="7"/>
      <c r="C351" s="7"/>
      <c r="D351" s="7"/>
    </row>
    <row r="352" ht="15.75" customHeight="1">
      <c r="A352" s="7"/>
      <c r="B352" s="7"/>
      <c r="C352" s="7"/>
      <c r="D352" s="7"/>
    </row>
    <row r="353" ht="15.75" customHeight="1">
      <c r="A353" s="7"/>
      <c r="B353" s="7"/>
      <c r="C353" s="5"/>
      <c r="D353" s="7"/>
      <c r="F353" s="2" t="s">
        <v>269</v>
      </c>
      <c r="G353" s="2" t="s">
        <v>270</v>
      </c>
      <c r="H353" s="2" t="s">
        <v>271</v>
      </c>
      <c r="I353" s="2" t="s">
        <v>272</v>
      </c>
      <c r="J353" s="2" t="s">
        <v>273</v>
      </c>
      <c r="K353" s="2" t="s">
        <v>7</v>
      </c>
      <c r="L353" s="2" t="s">
        <v>274</v>
      </c>
      <c r="M353" s="2" t="s">
        <v>37</v>
      </c>
      <c r="N353" s="2" t="s">
        <v>275</v>
      </c>
    </row>
    <row r="354" ht="15.75" customHeight="1">
      <c r="A354" s="7"/>
      <c r="B354" s="7"/>
      <c r="C354" s="7"/>
      <c r="D354" s="7"/>
    </row>
    <row r="355" ht="15.75" customHeight="1">
      <c r="A355" s="7"/>
      <c r="B355" s="7"/>
      <c r="C355" s="7"/>
      <c r="D355" s="7"/>
    </row>
    <row r="356" ht="15.75" customHeight="1">
      <c r="A356" s="7"/>
      <c r="B356" s="7"/>
      <c r="C356" s="7"/>
      <c r="D356" s="7"/>
    </row>
    <row r="357" ht="15.75" customHeight="1">
      <c r="A357" s="7"/>
      <c r="B357" s="7"/>
      <c r="C357" s="7"/>
      <c r="D357" s="7"/>
    </row>
    <row r="358" ht="15.75" customHeight="1">
      <c r="A358" s="7"/>
      <c r="B358" s="7"/>
      <c r="C358" s="7"/>
      <c r="D358" s="7"/>
    </row>
    <row r="359" ht="15.75" customHeight="1">
      <c r="A359" s="7"/>
      <c r="B359" s="7"/>
      <c r="C359" s="7"/>
      <c r="D359" s="7"/>
    </row>
    <row r="360" ht="15.75" customHeight="1">
      <c r="A360" s="7"/>
      <c r="B360" s="7"/>
      <c r="C360" s="7"/>
      <c r="D360" s="7"/>
    </row>
    <row r="361" ht="15.75" customHeight="1">
      <c r="A361" s="7"/>
      <c r="B361" s="7"/>
      <c r="C361" s="7"/>
      <c r="D361" s="7"/>
    </row>
    <row r="362" ht="15.75" customHeight="1">
      <c r="A362" s="7"/>
      <c r="B362" s="7"/>
      <c r="C362" s="5"/>
      <c r="D362" s="7"/>
      <c r="F362" s="2" t="s">
        <v>276</v>
      </c>
      <c r="G362" s="2" t="s">
        <v>277</v>
      </c>
      <c r="H362" s="2" t="s">
        <v>278</v>
      </c>
      <c r="I362" s="2" t="s">
        <v>279</v>
      </c>
      <c r="J362" s="2" t="s">
        <v>280</v>
      </c>
      <c r="K362" s="2" t="s">
        <v>7</v>
      </c>
      <c r="L362" s="2" t="s">
        <v>948</v>
      </c>
      <c r="M362" s="2" t="s">
        <v>37</v>
      </c>
      <c r="N362" s="2" t="s">
        <v>284</v>
      </c>
    </row>
    <row r="363" ht="15.75" customHeight="1">
      <c r="A363" s="7"/>
      <c r="B363" s="7"/>
      <c r="C363" s="7"/>
      <c r="D363" s="7"/>
    </row>
    <row r="364" ht="15.75" customHeight="1">
      <c r="A364" s="7"/>
      <c r="B364" s="7"/>
      <c r="C364" s="7"/>
      <c r="D364" s="7"/>
    </row>
    <row r="365" ht="15.75" customHeight="1">
      <c r="A365" s="7"/>
      <c r="B365" s="7"/>
      <c r="C365" s="7"/>
      <c r="D365" s="7"/>
    </row>
    <row r="366" ht="15.75" customHeight="1">
      <c r="A366" s="7"/>
      <c r="B366" s="7"/>
      <c r="C366" s="7"/>
      <c r="D366" s="7"/>
    </row>
    <row r="367" ht="15.75" customHeight="1">
      <c r="A367" s="7"/>
      <c r="B367" s="7"/>
      <c r="C367" s="7"/>
      <c r="D367" s="7"/>
    </row>
    <row r="368" ht="15.75" customHeight="1">
      <c r="A368" s="7"/>
      <c r="B368" s="7"/>
      <c r="C368" s="7"/>
      <c r="D368" s="7"/>
    </row>
    <row r="369" ht="15.75" customHeight="1">
      <c r="A369" s="7"/>
      <c r="B369" s="7"/>
      <c r="C369" s="7"/>
      <c r="D369" s="7"/>
    </row>
    <row r="370" ht="15.75" customHeight="1">
      <c r="A370" s="7"/>
      <c r="B370" s="7"/>
      <c r="C370" s="7"/>
      <c r="D370" s="7"/>
    </row>
    <row r="371" ht="15.75" customHeight="1">
      <c r="A371" s="7"/>
      <c r="B371" s="7"/>
      <c r="C371" s="5"/>
      <c r="D371" s="7"/>
      <c r="F371" s="2" t="s">
        <v>285</v>
      </c>
      <c r="G371" s="2" t="s">
        <v>286</v>
      </c>
      <c r="H371" s="2" t="s">
        <v>287</v>
      </c>
      <c r="I371" s="2" t="s">
        <v>288</v>
      </c>
      <c r="J371" s="2" t="s">
        <v>289</v>
      </c>
      <c r="K371" s="2" t="s">
        <v>7</v>
      </c>
      <c r="L371" s="2" t="s">
        <v>290</v>
      </c>
      <c r="M371" s="2" t="s">
        <v>37</v>
      </c>
      <c r="N371" s="2" t="s">
        <v>291</v>
      </c>
    </row>
    <row r="372" ht="15.75" customHeight="1">
      <c r="A372" s="7"/>
      <c r="B372" s="7"/>
      <c r="C372" s="7"/>
      <c r="D372" s="7"/>
    </row>
    <row r="373" ht="15.75" customHeight="1">
      <c r="A373" s="7"/>
      <c r="B373" s="7"/>
      <c r="C373" s="7"/>
      <c r="D373" s="7"/>
    </row>
    <row r="374" ht="15.75" customHeight="1">
      <c r="A374" s="7"/>
      <c r="B374" s="7"/>
      <c r="C374" s="7"/>
      <c r="D374" s="7"/>
    </row>
    <row r="375" ht="15.75" customHeight="1">
      <c r="A375" s="7"/>
      <c r="B375" s="7"/>
      <c r="C375" s="7"/>
      <c r="D375" s="7"/>
    </row>
    <row r="376" ht="15.75" customHeight="1">
      <c r="A376" s="7"/>
      <c r="B376" s="7"/>
      <c r="C376" s="7"/>
      <c r="D376" s="7"/>
    </row>
    <row r="377" ht="15.75" customHeight="1">
      <c r="A377" s="7"/>
      <c r="B377" s="7"/>
      <c r="C377" s="7"/>
      <c r="D377" s="7"/>
    </row>
    <row r="378" ht="15.75" customHeight="1">
      <c r="A378" s="7"/>
      <c r="B378" s="7"/>
      <c r="C378" s="7"/>
      <c r="D378" s="7"/>
    </row>
    <row r="379" ht="15.75" customHeight="1">
      <c r="A379" s="7"/>
      <c r="B379" s="7"/>
      <c r="C379" s="7"/>
      <c r="D379" s="7"/>
    </row>
    <row r="380" ht="15.75" customHeight="1">
      <c r="A380" s="7"/>
      <c r="B380" s="7"/>
      <c r="C380" s="5"/>
      <c r="D380" s="7"/>
      <c r="F380" s="2" t="s">
        <v>292</v>
      </c>
      <c r="G380" s="2" t="s">
        <v>293</v>
      </c>
      <c r="H380" s="2" t="s">
        <v>294</v>
      </c>
      <c r="I380" s="2" t="s">
        <v>295</v>
      </c>
      <c r="J380" s="2" t="s">
        <v>296</v>
      </c>
      <c r="K380" s="2" t="s">
        <v>7</v>
      </c>
      <c r="L380" s="2" t="s">
        <v>949</v>
      </c>
      <c r="M380" s="2" t="s">
        <v>37</v>
      </c>
      <c r="N380" s="2" t="s">
        <v>301</v>
      </c>
    </row>
    <row r="381" ht="15.75" customHeight="1">
      <c r="A381" s="7"/>
      <c r="B381" s="7"/>
      <c r="C381" s="7"/>
      <c r="D381" s="7"/>
    </row>
    <row r="382" ht="15.75" customHeight="1">
      <c r="A382" s="7"/>
      <c r="B382" s="7"/>
      <c r="C382" s="7"/>
      <c r="D382" s="7"/>
    </row>
    <row r="383" ht="15.75" customHeight="1">
      <c r="A383" s="7"/>
      <c r="B383" s="7"/>
      <c r="C383" s="7"/>
      <c r="D383" s="7"/>
    </row>
    <row r="384" ht="15.75" customHeight="1">
      <c r="A384" s="7"/>
      <c r="B384" s="7"/>
      <c r="C384" s="7"/>
      <c r="D384" s="7"/>
    </row>
    <row r="385" ht="15.75" customHeight="1">
      <c r="A385" s="7"/>
      <c r="B385" s="7"/>
      <c r="C385" s="7"/>
      <c r="D385" s="7"/>
    </row>
    <row r="386" ht="15.75" customHeight="1">
      <c r="A386" s="7"/>
      <c r="B386" s="7"/>
      <c r="C386" s="7"/>
      <c r="D386" s="7"/>
    </row>
    <row r="387" ht="15.75" customHeight="1">
      <c r="A387" s="7"/>
      <c r="B387" s="7"/>
      <c r="C387" s="7"/>
      <c r="D387" s="7"/>
    </row>
    <row r="388" ht="15.75" customHeight="1">
      <c r="A388" s="7"/>
      <c r="B388" s="7"/>
      <c r="C388" s="7"/>
      <c r="D388" s="7"/>
    </row>
    <row r="389" ht="15.75" customHeight="1">
      <c r="A389" s="7"/>
      <c r="B389" s="7"/>
      <c r="C389" s="5"/>
      <c r="D389" s="7"/>
      <c r="F389" s="2" t="s">
        <v>302</v>
      </c>
      <c r="G389" s="2" t="s">
        <v>303</v>
      </c>
      <c r="H389" s="2" t="s">
        <v>304</v>
      </c>
      <c r="I389" s="2" t="s">
        <v>305</v>
      </c>
      <c r="J389" s="2" t="s">
        <v>936</v>
      </c>
      <c r="K389" s="2" t="s">
        <v>7</v>
      </c>
      <c r="L389" s="2" t="s">
        <v>306</v>
      </c>
      <c r="M389" s="2" t="s">
        <v>37</v>
      </c>
      <c r="N389" s="2" t="s">
        <v>130</v>
      </c>
    </row>
    <row r="390" ht="15.75" customHeight="1">
      <c r="A390" s="7"/>
      <c r="B390" s="7"/>
      <c r="C390" s="7"/>
      <c r="D390" s="7"/>
    </row>
    <row r="391" ht="15.75" customHeight="1">
      <c r="A391" s="7"/>
      <c r="B391" s="7"/>
      <c r="C391" s="7"/>
      <c r="D391" s="7"/>
    </row>
    <row r="392" ht="15.75" customHeight="1">
      <c r="A392" s="7"/>
      <c r="B392" s="7"/>
      <c r="C392" s="7"/>
      <c r="D392" s="7"/>
    </row>
    <row r="393" ht="15.75" customHeight="1">
      <c r="A393" s="7"/>
      <c r="B393" s="7"/>
      <c r="C393" s="7"/>
      <c r="D393" s="7"/>
    </row>
    <row r="394" ht="15.75" customHeight="1">
      <c r="A394" s="7"/>
      <c r="B394" s="7"/>
      <c r="C394" s="7"/>
      <c r="D394" s="7"/>
    </row>
    <row r="395" ht="15.75" customHeight="1">
      <c r="A395" s="7"/>
      <c r="B395" s="7"/>
      <c r="C395" s="7"/>
      <c r="D395" s="7"/>
    </row>
    <row r="396" ht="15.75" customHeight="1">
      <c r="A396" s="7"/>
      <c r="B396" s="7"/>
      <c r="C396" s="7"/>
      <c r="D396" s="7"/>
    </row>
    <row r="397" ht="15.75" customHeight="1">
      <c r="A397" s="7"/>
      <c r="B397" s="7"/>
      <c r="C397" s="7"/>
      <c r="D397" s="7"/>
    </row>
    <row r="398" ht="15.75" customHeight="1">
      <c r="A398" s="7"/>
      <c r="B398" s="7"/>
      <c r="C398" s="5"/>
      <c r="D398" s="7"/>
      <c r="F398" s="2" t="s">
        <v>307</v>
      </c>
      <c r="G398" s="2" t="s">
        <v>308</v>
      </c>
      <c r="H398" s="2" t="s">
        <v>309</v>
      </c>
      <c r="I398" s="2" t="s">
        <v>310</v>
      </c>
      <c r="J398" s="2" t="s">
        <v>311</v>
      </c>
      <c r="K398" s="2" t="s">
        <v>7</v>
      </c>
      <c r="L398" s="2" t="s">
        <v>950</v>
      </c>
      <c r="M398" s="2" t="s">
        <v>9</v>
      </c>
      <c r="N398" s="2" t="s">
        <v>123</v>
      </c>
    </row>
    <row r="399" ht="15.75" customHeight="1">
      <c r="A399" s="7"/>
      <c r="B399" s="7"/>
      <c r="C399" s="7"/>
      <c r="D399" s="7"/>
    </row>
    <row r="400" ht="15.75" customHeight="1">
      <c r="A400" s="7"/>
      <c r="B400" s="7"/>
      <c r="C400" s="7"/>
      <c r="D400" s="7"/>
    </row>
    <row r="401" ht="15.75" customHeight="1">
      <c r="A401" s="7"/>
      <c r="B401" s="7"/>
      <c r="C401" s="7"/>
      <c r="D401" s="7"/>
    </row>
    <row r="402" ht="15.75" customHeight="1">
      <c r="A402" s="7"/>
      <c r="B402" s="7"/>
      <c r="C402" s="7"/>
      <c r="D402" s="7"/>
    </row>
    <row r="403" ht="15.75" customHeight="1">
      <c r="A403" s="7"/>
      <c r="B403" s="7"/>
      <c r="C403" s="7"/>
      <c r="D403" s="7"/>
    </row>
    <row r="404" ht="15.75" customHeight="1">
      <c r="A404" s="7"/>
      <c r="B404" s="7"/>
      <c r="C404" s="7"/>
      <c r="D404" s="7"/>
    </row>
    <row r="405" ht="15.75" customHeight="1">
      <c r="A405" s="7"/>
      <c r="B405" s="7"/>
      <c r="C405" s="7"/>
      <c r="D405" s="7"/>
    </row>
    <row r="406" ht="15.75" customHeight="1">
      <c r="A406" s="7"/>
      <c r="B406" s="7"/>
      <c r="C406" s="7"/>
      <c r="D406" s="7"/>
    </row>
    <row r="407" ht="15.75" customHeight="1">
      <c r="A407" s="7"/>
      <c r="B407" s="7"/>
      <c r="C407" s="5"/>
      <c r="D407" s="7"/>
      <c r="F407" s="2" t="s">
        <v>316</v>
      </c>
      <c r="G407" s="2" t="s">
        <v>317</v>
      </c>
      <c r="H407" s="2" t="s">
        <v>318</v>
      </c>
      <c r="I407" s="2" t="s">
        <v>319</v>
      </c>
      <c r="J407" s="2" t="s">
        <v>320</v>
      </c>
      <c r="K407" s="2" t="s">
        <v>7</v>
      </c>
      <c r="L407" s="2" t="s">
        <v>321</v>
      </c>
      <c r="M407" s="2" t="s">
        <v>9</v>
      </c>
      <c r="N407" s="2" t="s">
        <v>10</v>
      </c>
    </row>
    <row r="408" ht="15.75" customHeight="1">
      <c r="A408" s="7"/>
      <c r="B408" s="7"/>
      <c r="C408" s="7"/>
      <c r="D408" s="7"/>
    </row>
    <row r="409" ht="15.75" customHeight="1">
      <c r="A409" s="7"/>
      <c r="B409" s="7"/>
      <c r="C409" s="7"/>
      <c r="D409" s="7"/>
    </row>
    <row r="410" ht="15.75" customHeight="1">
      <c r="A410" s="7"/>
      <c r="B410" s="7"/>
      <c r="C410" s="7"/>
      <c r="D410" s="7"/>
    </row>
    <row r="411" ht="15.75" customHeight="1">
      <c r="A411" s="7"/>
      <c r="B411" s="7"/>
      <c r="C411" s="7"/>
      <c r="D411" s="7"/>
    </row>
    <row r="412" ht="15.75" customHeight="1">
      <c r="A412" s="7"/>
      <c r="B412" s="7"/>
      <c r="C412" s="7"/>
      <c r="D412" s="7"/>
    </row>
    <row r="413" ht="15.75" customHeight="1">
      <c r="A413" s="7"/>
      <c r="B413" s="7"/>
      <c r="C413" s="7"/>
      <c r="D413" s="7"/>
    </row>
    <row r="414" ht="15.75" customHeight="1">
      <c r="A414" s="7"/>
      <c r="B414" s="7"/>
      <c r="C414" s="7"/>
      <c r="D414" s="7"/>
    </row>
    <row r="415" ht="15.75" customHeight="1">
      <c r="A415" s="7"/>
      <c r="B415" s="7"/>
      <c r="C415" s="7"/>
      <c r="D415" s="7"/>
    </row>
    <row r="416" ht="15.75" customHeight="1">
      <c r="A416" s="7"/>
      <c r="B416" s="7"/>
      <c r="C416" s="5"/>
      <c r="D416" s="7"/>
      <c r="F416" s="2" t="s">
        <v>322</v>
      </c>
      <c r="G416" s="2" t="s">
        <v>323</v>
      </c>
      <c r="H416" s="2" t="s">
        <v>324</v>
      </c>
      <c r="I416" s="2" t="s">
        <v>325</v>
      </c>
      <c r="J416" s="2" t="s">
        <v>951</v>
      </c>
      <c r="K416" s="2" t="s">
        <v>7</v>
      </c>
      <c r="L416" s="2" t="s">
        <v>952</v>
      </c>
      <c r="M416" s="2" t="s">
        <v>37</v>
      </c>
      <c r="N416" s="2" t="s">
        <v>116</v>
      </c>
    </row>
    <row r="417" ht="15.75" customHeight="1">
      <c r="A417" s="7"/>
      <c r="B417" s="7"/>
      <c r="C417" s="7"/>
      <c r="D417" s="7"/>
    </row>
    <row r="418" ht="15.75" customHeight="1">
      <c r="A418" s="7"/>
      <c r="B418" s="7"/>
      <c r="C418" s="7"/>
      <c r="D418" s="7"/>
    </row>
    <row r="419" ht="15.75" customHeight="1">
      <c r="A419" s="7"/>
      <c r="B419" s="7"/>
      <c r="C419" s="7"/>
      <c r="D419" s="7"/>
    </row>
    <row r="420" ht="15.75" customHeight="1">
      <c r="A420" s="7"/>
      <c r="B420" s="7"/>
      <c r="C420" s="7"/>
      <c r="D420" s="7"/>
    </row>
    <row r="421" ht="15.75" customHeight="1">
      <c r="A421" s="7"/>
      <c r="B421" s="7"/>
      <c r="C421" s="7"/>
      <c r="D421" s="7"/>
    </row>
    <row r="422" ht="15.75" customHeight="1">
      <c r="A422" s="7"/>
      <c r="B422" s="7"/>
      <c r="C422" s="7"/>
      <c r="D422" s="7"/>
    </row>
    <row r="423" ht="15.75" customHeight="1">
      <c r="A423" s="7"/>
      <c r="B423" s="7"/>
      <c r="C423" s="7"/>
      <c r="D423" s="7"/>
    </row>
    <row r="424" ht="15.75" customHeight="1">
      <c r="A424" s="7"/>
      <c r="B424" s="7"/>
      <c r="C424" s="7"/>
      <c r="D424" s="7"/>
    </row>
    <row r="425" ht="15.75" customHeight="1">
      <c r="A425" s="7"/>
      <c r="B425" s="7"/>
      <c r="C425" s="5"/>
      <c r="D425" s="7"/>
      <c r="F425" s="2" t="s">
        <v>329</v>
      </c>
      <c r="G425" s="2" t="s">
        <v>330</v>
      </c>
      <c r="H425" s="2" t="s">
        <v>331</v>
      </c>
      <c r="I425" s="2" t="s">
        <v>332</v>
      </c>
      <c r="J425" s="2" t="s">
        <v>936</v>
      </c>
      <c r="K425" s="2" t="s">
        <v>7</v>
      </c>
      <c r="L425" s="2" t="s">
        <v>333</v>
      </c>
      <c r="M425" s="2" t="s">
        <v>37</v>
      </c>
      <c r="N425" s="2" t="s">
        <v>334</v>
      </c>
    </row>
    <row r="426" ht="15.75" customHeight="1">
      <c r="A426" s="7"/>
      <c r="B426" s="7"/>
      <c r="C426" s="7"/>
      <c r="D426" s="7"/>
    </row>
    <row r="427" ht="15.75" customHeight="1">
      <c r="A427" s="7"/>
      <c r="B427" s="7"/>
      <c r="C427" s="7"/>
      <c r="D427" s="7"/>
    </row>
    <row r="428" ht="15.75" customHeight="1">
      <c r="A428" s="7"/>
      <c r="B428" s="7"/>
      <c r="C428" s="7"/>
      <c r="D428" s="7"/>
    </row>
    <row r="429" ht="15.75" customHeight="1">
      <c r="A429" s="7"/>
      <c r="B429" s="7"/>
      <c r="C429" s="7"/>
      <c r="D429" s="7"/>
    </row>
    <row r="430" ht="15.75" customHeight="1">
      <c r="A430" s="7"/>
      <c r="B430" s="7"/>
      <c r="C430" s="7"/>
      <c r="D430" s="7"/>
    </row>
    <row r="431" ht="15.75" customHeight="1">
      <c r="A431" s="7"/>
      <c r="B431" s="7"/>
      <c r="C431" s="7"/>
      <c r="D431" s="7"/>
    </row>
    <row r="432" ht="15.75" customHeight="1">
      <c r="A432" s="7"/>
      <c r="B432" s="7"/>
      <c r="C432" s="7"/>
      <c r="D432" s="7"/>
    </row>
    <row r="433" ht="15.75" customHeight="1">
      <c r="A433" s="7"/>
      <c r="B433" s="7"/>
      <c r="C433" s="7"/>
      <c r="D433" s="7"/>
    </row>
    <row r="434" ht="15.75" customHeight="1">
      <c r="A434" s="7"/>
      <c r="B434" s="7"/>
      <c r="C434" s="5"/>
      <c r="D434" s="7"/>
      <c r="F434" s="2" t="s">
        <v>335</v>
      </c>
      <c r="G434" s="2" t="s">
        <v>336</v>
      </c>
      <c r="H434" s="2" t="s">
        <v>337</v>
      </c>
      <c r="I434" s="2" t="s">
        <v>338</v>
      </c>
      <c r="J434" s="2" t="s">
        <v>936</v>
      </c>
      <c r="K434" s="2" t="s">
        <v>7</v>
      </c>
      <c r="L434" s="2" t="s">
        <v>953</v>
      </c>
      <c r="M434" s="2" t="s">
        <v>37</v>
      </c>
      <c r="N434" s="2" t="s">
        <v>261</v>
      </c>
    </row>
    <row r="435" ht="15.75" customHeight="1">
      <c r="A435" s="7"/>
      <c r="B435" s="7"/>
      <c r="C435" s="7"/>
      <c r="D435" s="7"/>
    </row>
    <row r="436" ht="15.75" customHeight="1">
      <c r="A436" s="7"/>
      <c r="B436" s="7"/>
      <c r="C436" s="7"/>
      <c r="D436" s="7"/>
    </row>
    <row r="437" ht="15.75" customHeight="1">
      <c r="A437" s="7"/>
      <c r="B437" s="7"/>
      <c r="C437" s="7"/>
      <c r="D437" s="7"/>
    </row>
    <row r="438" ht="15.75" customHeight="1">
      <c r="A438" s="7"/>
      <c r="B438" s="7"/>
      <c r="C438" s="7"/>
      <c r="D438" s="7"/>
    </row>
    <row r="439" ht="15.75" customHeight="1">
      <c r="A439" s="7"/>
      <c r="B439" s="7"/>
      <c r="C439" s="7"/>
      <c r="D439" s="7"/>
    </row>
    <row r="440" ht="15.75" customHeight="1">
      <c r="A440" s="7"/>
      <c r="B440" s="7"/>
      <c r="C440" s="7"/>
      <c r="D440" s="7"/>
    </row>
    <row r="441" ht="15.75" customHeight="1">
      <c r="A441" s="7"/>
      <c r="B441" s="7"/>
      <c r="C441" s="7"/>
      <c r="D441" s="7"/>
    </row>
    <row r="442" ht="15.75" customHeight="1">
      <c r="A442" s="7"/>
      <c r="B442" s="7"/>
      <c r="C442" s="7"/>
      <c r="D442" s="7"/>
    </row>
    <row r="443" ht="15.75" customHeight="1">
      <c r="A443" s="7"/>
      <c r="B443" s="7"/>
      <c r="C443" s="5"/>
      <c r="D443" s="7"/>
      <c r="F443" s="2" t="s">
        <v>341</v>
      </c>
      <c r="G443" s="2" t="s">
        <v>342</v>
      </c>
      <c r="H443" s="2" t="s">
        <v>343</v>
      </c>
      <c r="I443" s="2" t="s">
        <v>344</v>
      </c>
      <c r="J443" s="2" t="s">
        <v>936</v>
      </c>
      <c r="K443" s="2" t="s">
        <v>7</v>
      </c>
      <c r="L443" s="2" t="s">
        <v>345</v>
      </c>
      <c r="M443" s="2" t="s">
        <v>9</v>
      </c>
      <c r="N443" s="2" t="s">
        <v>346</v>
      </c>
    </row>
    <row r="444" ht="15.75" customHeight="1">
      <c r="A444" s="7"/>
      <c r="B444" s="7"/>
      <c r="C444" s="7"/>
      <c r="D444" s="7"/>
    </row>
    <row r="445" ht="15.75" customHeight="1">
      <c r="A445" s="7"/>
      <c r="B445" s="7"/>
      <c r="C445" s="7"/>
      <c r="D445" s="7"/>
    </row>
    <row r="446" ht="15.75" customHeight="1">
      <c r="A446" s="7"/>
      <c r="B446" s="7"/>
      <c r="C446" s="7"/>
      <c r="D446" s="7"/>
    </row>
    <row r="447" ht="15.75" customHeight="1">
      <c r="A447" s="7"/>
      <c r="B447" s="7"/>
      <c r="C447" s="7"/>
      <c r="D447" s="7"/>
    </row>
    <row r="448" ht="15.75" customHeight="1">
      <c r="A448" s="7"/>
      <c r="B448" s="7"/>
      <c r="C448" s="7"/>
      <c r="D448" s="7"/>
    </row>
    <row r="449" ht="15.75" customHeight="1">
      <c r="A449" s="7"/>
      <c r="B449" s="7"/>
      <c r="C449" s="7"/>
      <c r="D449" s="7"/>
    </row>
    <row r="450" ht="15.75" customHeight="1">
      <c r="A450" s="7"/>
      <c r="B450" s="7"/>
      <c r="C450" s="7"/>
      <c r="D450" s="7"/>
    </row>
    <row r="451" ht="15.75" customHeight="1">
      <c r="A451" s="7"/>
      <c r="B451" s="7"/>
      <c r="C451" s="7"/>
      <c r="D451" s="7"/>
    </row>
    <row r="452" ht="15.75" customHeight="1">
      <c r="A452" s="7"/>
      <c r="B452" s="7"/>
      <c r="C452" s="5"/>
      <c r="D452" s="7"/>
      <c r="F452" s="2" t="s">
        <v>347</v>
      </c>
      <c r="G452" s="2" t="s">
        <v>348</v>
      </c>
      <c r="H452" s="2" t="s">
        <v>349</v>
      </c>
      <c r="I452" s="2" t="s">
        <v>350</v>
      </c>
      <c r="J452" s="2" t="s">
        <v>351</v>
      </c>
      <c r="K452" s="2" t="s">
        <v>7</v>
      </c>
      <c r="L452" s="2" t="s">
        <v>352</v>
      </c>
      <c r="M452" s="2" t="s">
        <v>37</v>
      </c>
      <c r="N452" s="2" t="s">
        <v>89</v>
      </c>
    </row>
    <row r="453" ht="15.75" customHeight="1">
      <c r="A453" s="7"/>
      <c r="B453" s="7"/>
      <c r="C453" s="7"/>
      <c r="D453" s="7"/>
    </row>
    <row r="454" ht="15.75" customHeight="1">
      <c r="A454" s="7"/>
      <c r="B454" s="7"/>
      <c r="C454" s="7"/>
      <c r="D454" s="7"/>
    </row>
    <row r="455" ht="15.75" customHeight="1">
      <c r="A455" s="7"/>
      <c r="B455" s="7"/>
      <c r="C455" s="7"/>
      <c r="D455" s="7"/>
    </row>
    <row r="456" ht="15.75" customHeight="1">
      <c r="A456" s="7"/>
      <c r="B456" s="7"/>
      <c r="C456" s="7"/>
      <c r="D456" s="7"/>
    </row>
    <row r="457" ht="15.75" customHeight="1">
      <c r="A457" s="7"/>
      <c r="B457" s="7"/>
      <c r="C457" s="7"/>
      <c r="D457" s="7"/>
    </row>
    <row r="458" ht="15.75" customHeight="1">
      <c r="A458" s="7"/>
      <c r="B458" s="7"/>
      <c r="C458" s="7"/>
      <c r="D458" s="7"/>
    </row>
    <row r="459" ht="15.75" customHeight="1">
      <c r="A459" s="7"/>
      <c r="B459" s="7"/>
      <c r="C459" s="7"/>
      <c r="D459" s="7"/>
    </row>
    <row r="460" ht="15.75" customHeight="1">
      <c r="A460" s="7"/>
      <c r="B460" s="7"/>
      <c r="C460" s="7"/>
      <c r="D460" s="7"/>
    </row>
    <row r="461" ht="15.75" customHeight="1">
      <c r="A461" s="7"/>
      <c r="B461" s="7"/>
      <c r="C461" s="5"/>
      <c r="D461" s="7"/>
      <c r="F461" s="2" t="s">
        <v>353</v>
      </c>
      <c r="G461" s="2" t="s">
        <v>354</v>
      </c>
      <c r="H461" s="2" t="s">
        <v>355</v>
      </c>
      <c r="I461" s="2" t="s">
        <v>356</v>
      </c>
      <c r="J461" s="2" t="s">
        <v>357</v>
      </c>
      <c r="K461" s="2" t="s">
        <v>7</v>
      </c>
      <c r="L461" s="2" t="s">
        <v>358</v>
      </c>
      <c r="M461" s="2" t="s">
        <v>37</v>
      </c>
      <c r="N461" s="2" t="s">
        <v>359</v>
      </c>
    </row>
    <row r="462" ht="15.75" customHeight="1">
      <c r="A462" s="7"/>
      <c r="B462" s="7"/>
      <c r="C462" s="7"/>
      <c r="D462" s="7"/>
    </row>
    <row r="463" ht="15.75" customHeight="1">
      <c r="A463" s="7"/>
      <c r="B463" s="7"/>
      <c r="C463" s="7"/>
      <c r="D463" s="7"/>
    </row>
    <row r="464" ht="15.75" customHeight="1">
      <c r="A464" s="7"/>
      <c r="B464" s="7"/>
      <c r="C464" s="7"/>
      <c r="D464" s="7"/>
    </row>
    <row r="465" ht="15.75" customHeight="1">
      <c r="A465" s="7"/>
      <c r="B465" s="7"/>
      <c r="C465" s="7"/>
      <c r="D465" s="7"/>
    </row>
    <row r="466" ht="15.75" customHeight="1">
      <c r="A466" s="7"/>
      <c r="B466" s="7"/>
      <c r="C466" s="7"/>
      <c r="D466" s="7"/>
    </row>
    <row r="467" ht="15.75" customHeight="1">
      <c r="A467" s="7"/>
      <c r="B467" s="7"/>
      <c r="C467" s="7"/>
      <c r="D467" s="7"/>
    </row>
    <row r="468" ht="15.75" customHeight="1">
      <c r="A468" s="7"/>
      <c r="B468" s="7"/>
      <c r="C468" s="7"/>
      <c r="D468" s="7"/>
    </row>
    <row r="469" ht="15.75" customHeight="1">
      <c r="A469" s="7"/>
      <c r="B469" s="7"/>
      <c r="C469" s="7"/>
      <c r="D469" s="7"/>
    </row>
    <row r="470" ht="15.75" customHeight="1">
      <c r="A470" s="7"/>
      <c r="B470" s="7"/>
      <c r="C470" s="5"/>
      <c r="D470" s="7"/>
      <c r="F470" s="2" t="s">
        <v>361</v>
      </c>
      <c r="G470" s="2" t="s">
        <v>362</v>
      </c>
      <c r="H470" s="2" t="s">
        <v>363</v>
      </c>
      <c r="I470" s="2" t="s">
        <v>364</v>
      </c>
      <c r="J470" s="2" t="s">
        <v>365</v>
      </c>
      <c r="K470" s="2" t="s">
        <v>7</v>
      </c>
      <c r="L470" s="2" t="s">
        <v>954</v>
      </c>
      <c r="M470" s="2" t="s">
        <v>9</v>
      </c>
      <c r="N470" s="2" t="s">
        <v>369</v>
      </c>
    </row>
    <row r="471" ht="15.75" customHeight="1">
      <c r="A471" s="7"/>
      <c r="B471" s="7"/>
      <c r="C471" s="7"/>
      <c r="D471" s="7"/>
    </row>
    <row r="472" ht="15.75" customHeight="1">
      <c r="A472" s="7"/>
      <c r="B472" s="7"/>
      <c r="C472" s="7"/>
      <c r="D472" s="7"/>
    </row>
    <row r="473" ht="15.75" customHeight="1">
      <c r="A473" s="7"/>
      <c r="B473" s="7"/>
      <c r="C473" s="7"/>
      <c r="D473" s="7"/>
    </row>
    <row r="474" ht="15.75" customHeight="1">
      <c r="A474" s="7"/>
      <c r="B474" s="7"/>
      <c r="C474" s="7"/>
      <c r="D474" s="7"/>
    </row>
    <row r="475" ht="15.75" customHeight="1">
      <c r="A475" s="7"/>
      <c r="B475" s="7"/>
      <c r="C475" s="7"/>
      <c r="D475" s="7"/>
    </row>
    <row r="476" ht="15.75" customHeight="1">
      <c r="A476" s="7"/>
      <c r="B476" s="7"/>
      <c r="C476" s="7"/>
      <c r="D476" s="7"/>
    </row>
    <row r="477" ht="15.75" customHeight="1">
      <c r="A477" s="7"/>
      <c r="B477" s="7"/>
      <c r="C477" s="7"/>
      <c r="D477" s="7"/>
    </row>
    <row r="478" ht="15.75" customHeight="1">
      <c r="A478" s="7"/>
      <c r="B478" s="7"/>
      <c r="C478" s="7"/>
      <c r="D478" s="7"/>
    </row>
    <row r="479" ht="15.75" customHeight="1">
      <c r="A479" s="7"/>
      <c r="B479" s="7"/>
      <c r="C479" s="5"/>
      <c r="D479" s="7"/>
      <c r="F479" s="2" t="s">
        <v>370</v>
      </c>
      <c r="G479" s="2" t="s">
        <v>371</v>
      </c>
      <c r="H479" s="2" t="s">
        <v>372</v>
      </c>
      <c r="I479" s="2" t="s">
        <v>373</v>
      </c>
      <c r="J479" s="2" t="s">
        <v>936</v>
      </c>
      <c r="K479" s="2" t="s">
        <v>7</v>
      </c>
      <c r="L479" s="2" t="s">
        <v>374</v>
      </c>
      <c r="M479" s="2" t="s">
        <v>37</v>
      </c>
      <c r="N479" s="2" t="s">
        <v>375</v>
      </c>
    </row>
    <row r="480" ht="15.75" customHeight="1">
      <c r="A480" s="7"/>
      <c r="B480" s="7"/>
      <c r="C480" s="7"/>
      <c r="D480" s="7"/>
    </row>
    <row r="481" ht="15.75" customHeight="1">
      <c r="A481" s="7"/>
      <c r="B481" s="7"/>
      <c r="C481" s="7"/>
      <c r="D481" s="7"/>
    </row>
    <row r="482" ht="15.75" customHeight="1">
      <c r="A482" s="7"/>
      <c r="B482" s="7"/>
      <c r="C482" s="7"/>
      <c r="D482" s="7"/>
    </row>
    <row r="483" ht="15.75" customHeight="1">
      <c r="A483" s="7"/>
      <c r="B483" s="7"/>
      <c r="C483" s="7"/>
      <c r="D483" s="7"/>
    </row>
    <row r="484" ht="15.75" customHeight="1">
      <c r="A484" s="7"/>
      <c r="B484" s="7"/>
      <c r="C484" s="7"/>
      <c r="D484" s="7"/>
    </row>
    <row r="485" ht="15.75" customHeight="1">
      <c r="A485" s="7"/>
      <c r="B485" s="7"/>
      <c r="C485" s="7"/>
      <c r="D485" s="7"/>
    </row>
    <row r="486" ht="15.75" customHeight="1">
      <c r="A486" s="7"/>
      <c r="B486" s="7"/>
      <c r="C486" s="7"/>
      <c r="D486" s="7"/>
    </row>
    <row r="487" ht="15.75" customHeight="1">
      <c r="A487" s="7"/>
      <c r="B487" s="7"/>
      <c r="C487" s="7"/>
      <c r="D487" s="7"/>
    </row>
    <row r="488" ht="15.75" customHeight="1">
      <c r="A488" s="7"/>
      <c r="B488" s="7"/>
      <c r="C488" s="5"/>
      <c r="D488" s="7"/>
      <c r="F488" s="2" t="s">
        <v>376</v>
      </c>
      <c r="G488" s="2" t="s">
        <v>377</v>
      </c>
      <c r="H488" s="2" t="s">
        <v>378</v>
      </c>
      <c r="I488" s="2" t="s">
        <v>379</v>
      </c>
      <c r="J488" s="2" t="s">
        <v>380</v>
      </c>
      <c r="K488" s="2" t="s">
        <v>7</v>
      </c>
      <c r="L488" s="2" t="s">
        <v>381</v>
      </c>
      <c r="M488" s="2" t="s">
        <v>37</v>
      </c>
      <c r="N488" s="2" t="s">
        <v>161</v>
      </c>
    </row>
    <row r="489" ht="15.75" customHeight="1">
      <c r="A489" s="7"/>
      <c r="B489" s="7"/>
      <c r="C489" s="7"/>
      <c r="D489" s="7"/>
    </row>
    <row r="490" ht="15.75" customHeight="1">
      <c r="A490" s="7"/>
      <c r="B490" s="7"/>
      <c r="C490" s="7"/>
      <c r="D490" s="7"/>
    </row>
    <row r="491" ht="15.75" customHeight="1">
      <c r="A491" s="7"/>
      <c r="B491" s="7"/>
      <c r="C491" s="7"/>
      <c r="D491" s="7"/>
    </row>
    <row r="492" ht="15.75" customHeight="1">
      <c r="A492" s="7"/>
      <c r="B492" s="7"/>
      <c r="C492" s="7"/>
      <c r="D492" s="7"/>
    </row>
    <row r="493" ht="15.75" customHeight="1">
      <c r="A493" s="7"/>
      <c r="B493" s="7"/>
      <c r="C493" s="7"/>
      <c r="D493" s="7"/>
    </row>
    <row r="494" ht="15.75" customHeight="1">
      <c r="A494" s="7"/>
      <c r="B494" s="7"/>
      <c r="C494" s="7"/>
      <c r="D494" s="7"/>
    </row>
    <row r="495" ht="15.75" customHeight="1">
      <c r="A495" s="7"/>
      <c r="B495" s="7"/>
      <c r="C495" s="7"/>
      <c r="D495" s="7"/>
    </row>
    <row r="496" ht="15.75" customHeight="1">
      <c r="A496" s="7"/>
      <c r="B496" s="7"/>
      <c r="C496" s="7"/>
      <c r="D496" s="7"/>
    </row>
    <row r="497" ht="15.75" customHeight="1">
      <c r="A497" s="7"/>
      <c r="B497" s="7"/>
      <c r="C497" s="5"/>
      <c r="D497" s="7"/>
      <c r="F497" s="2" t="s">
        <v>382</v>
      </c>
      <c r="G497" s="2" t="s">
        <v>383</v>
      </c>
      <c r="H497" s="2" t="s">
        <v>384</v>
      </c>
      <c r="I497" s="2" t="s">
        <v>385</v>
      </c>
      <c r="J497" s="2" t="s">
        <v>386</v>
      </c>
      <c r="K497" s="2" t="s">
        <v>7</v>
      </c>
      <c r="L497" s="2" t="s">
        <v>387</v>
      </c>
      <c r="M497" s="2" t="s">
        <v>9</v>
      </c>
      <c r="N497" s="2" t="s">
        <v>388</v>
      </c>
    </row>
    <row r="498" ht="15.75" customHeight="1">
      <c r="A498" s="7"/>
      <c r="B498" s="7"/>
      <c r="C498" s="7"/>
      <c r="D498" s="7"/>
    </row>
    <row r="499" ht="15.75" customHeight="1">
      <c r="A499" s="7"/>
      <c r="B499" s="7"/>
      <c r="C499" s="7"/>
      <c r="D499" s="7"/>
    </row>
    <row r="500" ht="15.75" customHeight="1">
      <c r="A500" s="7"/>
      <c r="B500" s="7"/>
      <c r="C500" s="7"/>
      <c r="D500" s="7"/>
    </row>
    <row r="501" ht="15.75" customHeight="1">
      <c r="A501" s="7"/>
      <c r="B501" s="7"/>
      <c r="C501" s="7"/>
      <c r="D501" s="7"/>
    </row>
    <row r="502" ht="15.75" customHeight="1">
      <c r="A502" s="7"/>
      <c r="B502" s="7"/>
      <c r="C502" s="7"/>
      <c r="D502" s="7"/>
    </row>
    <row r="503" ht="15.75" customHeight="1">
      <c r="A503" s="7"/>
      <c r="B503" s="7"/>
      <c r="C503" s="7"/>
      <c r="D503" s="7"/>
    </row>
    <row r="504" ht="15.75" customHeight="1">
      <c r="A504" s="7"/>
      <c r="B504" s="7"/>
      <c r="C504" s="7"/>
      <c r="D504" s="7"/>
    </row>
    <row r="505" ht="15.75" customHeight="1">
      <c r="A505" s="7"/>
      <c r="B505" s="7"/>
      <c r="C505" s="7"/>
      <c r="D505" s="7"/>
    </row>
    <row r="506" ht="15.75" customHeight="1">
      <c r="A506" s="7"/>
      <c r="B506" s="7"/>
      <c r="C506" s="5"/>
      <c r="D506" s="7"/>
      <c r="F506" s="2" t="s">
        <v>389</v>
      </c>
      <c r="G506" s="2" t="s">
        <v>390</v>
      </c>
      <c r="H506" s="2" t="s">
        <v>391</v>
      </c>
      <c r="I506" s="2" t="s">
        <v>392</v>
      </c>
      <c r="J506" s="2" t="s">
        <v>393</v>
      </c>
      <c r="K506" s="2" t="s">
        <v>7</v>
      </c>
      <c r="L506" s="2" t="s">
        <v>394</v>
      </c>
      <c r="M506" s="2" t="s">
        <v>9</v>
      </c>
      <c r="N506" s="2" t="s">
        <v>216</v>
      </c>
    </row>
    <row r="507" ht="15.75" customHeight="1">
      <c r="A507" s="7"/>
      <c r="B507" s="7"/>
      <c r="C507" s="7"/>
      <c r="D507" s="7"/>
    </row>
    <row r="508" ht="15.75" customHeight="1">
      <c r="A508" s="7"/>
      <c r="B508" s="7"/>
      <c r="C508" s="7"/>
      <c r="D508" s="7"/>
    </row>
    <row r="509" ht="15.75" customHeight="1">
      <c r="A509" s="7"/>
      <c r="B509" s="7"/>
      <c r="C509" s="7"/>
      <c r="D509" s="7"/>
    </row>
    <row r="510" ht="15.75" customHeight="1">
      <c r="A510" s="7"/>
      <c r="B510" s="7"/>
      <c r="C510" s="7"/>
      <c r="D510" s="7"/>
    </row>
    <row r="511" ht="15.75" customHeight="1">
      <c r="A511" s="7"/>
      <c r="B511" s="7"/>
      <c r="C511" s="7"/>
      <c r="D511" s="7"/>
    </row>
    <row r="512" ht="15.75" customHeight="1">
      <c r="A512" s="7"/>
      <c r="B512" s="7"/>
      <c r="C512" s="7"/>
      <c r="D512" s="7"/>
    </row>
    <row r="513" ht="15.75" customHeight="1">
      <c r="A513" s="7"/>
      <c r="B513" s="7"/>
      <c r="C513" s="7"/>
      <c r="D513" s="7"/>
    </row>
    <row r="514" ht="15.75" customHeight="1">
      <c r="A514" s="7"/>
      <c r="B514" s="7"/>
      <c r="C514" s="7"/>
      <c r="D514" s="7"/>
    </row>
    <row r="515" ht="15.75" customHeight="1">
      <c r="A515" s="7"/>
      <c r="B515" s="7"/>
      <c r="C515" s="5"/>
      <c r="D515" s="7"/>
      <c r="F515" s="2" t="s">
        <v>395</v>
      </c>
      <c r="G515" s="2" t="s">
        <v>396</v>
      </c>
      <c r="H515" s="2" t="s">
        <v>397</v>
      </c>
      <c r="I515" s="2" t="s">
        <v>398</v>
      </c>
      <c r="J515" s="2" t="s">
        <v>399</v>
      </c>
      <c r="K515" s="2" t="s">
        <v>7</v>
      </c>
      <c r="L515" s="2" t="s">
        <v>400</v>
      </c>
      <c r="M515" s="2" t="s">
        <v>9</v>
      </c>
      <c r="N515" s="2" t="s">
        <v>401</v>
      </c>
    </row>
    <row r="516" ht="15.75" customHeight="1">
      <c r="A516" s="7"/>
      <c r="B516" s="7"/>
      <c r="C516" s="7"/>
      <c r="D516" s="7"/>
    </row>
    <row r="517" ht="15.75" customHeight="1">
      <c r="A517" s="7"/>
      <c r="B517" s="7"/>
      <c r="C517" s="7"/>
      <c r="D517" s="7"/>
    </row>
    <row r="518" ht="15.75" customHeight="1">
      <c r="A518" s="7"/>
      <c r="B518" s="7"/>
      <c r="C518" s="7"/>
      <c r="D518" s="7"/>
    </row>
    <row r="519" ht="15.75" customHeight="1">
      <c r="A519" s="7"/>
      <c r="B519" s="7"/>
      <c r="C519" s="7"/>
      <c r="D519" s="7"/>
    </row>
    <row r="520" ht="15.75" customHeight="1">
      <c r="A520" s="7"/>
      <c r="B520" s="7"/>
      <c r="C520" s="7"/>
      <c r="D520" s="7"/>
    </row>
    <row r="521" ht="15.75" customHeight="1">
      <c r="A521" s="7"/>
      <c r="B521" s="7"/>
      <c r="C521" s="7"/>
      <c r="D521" s="7"/>
    </row>
    <row r="522" ht="15.75" customHeight="1">
      <c r="A522" s="7"/>
      <c r="B522" s="7"/>
      <c r="C522" s="7"/>
      <c r="D522" s="7"/>
    </row>
    <row r="523" ht="15.75" customHeight="1">
      <c r="A523" s="7"/>
      <c r="B523" s="7"/>
      <c r="C523" s="7"/>
      <c r="D523" s="7"/>
    </row>
    <row r="524" ht="15.75" customHeight="1">
      <c r="A524" s="7"/>
      <c r="B524" s="7"/>
      <c r="C524" s="5"/>
      <c r="D524" s="7"/>
      <c r="F524" s="2" t="s">
        <v>402</v>
      </c>
      <c r="G524" s="2" t="s">
        <v>403</v>
      </c>
      <c r="H524" s="2" t="s">
        <v>404</v>
      </c>
      <c r="I524" s="2" t="s">
        <v>405</v>
      </c>
      <c r="J524" s="2" t="s">
        <v>406</v>
      </c>
      <c r="K524" s="2" t="s">
        <v>7</v>
      </c>
      <c r="L524" s="2" t="s">
        <v>955</v>
      </c>
      <c r="M524" s="2" t="s">
        <v>9</v>
      </c>
      <c r="N524" s="2" t="s">
        <v>410</v>
      </c>
    </row>
    <row r="525" ht="15.75" customHeight="1">
      <c r="A525" s="7"/>
      <c r="B525" s="7"/>
      <c r="C525" s="7"/>
      <c r="D525" s="7"/>
    </row>
    <row r="526" ht="15.75" customHeight="1">
      <c r="A526" s="7"/>
      <c r="B526" s="7"/>
      <c r="C526" s="7"/>
      <c r="D526" s="7"/>
    </row>
    <row r="527" ht="15.75" customHeight="1">
      <c r="A527" s="7"/>
      <c r="B527" s="7"/>
      <c r="C527" s="7"/>
      <c r="D527" s="7"/>
    </row>
    <row r="528" ht="15.75" customHeight="1">
      <c r="A528" s="7"/>
      <c r="B528" s="7"/>
      <c r="C528" s="7"/>
      <c r="D528" s="7"/>
    </row>
    <row r="529" ht="15.75" customHeight="1">
      <c r="A529" s="7"/>
      <c r="B529" s="7"/>
      <c r="C529" s="7"/>
      <c r="D529" s="7"/>
    </row>
    <row r="530" ht="15.75" customHeight="1">
      <c r="A530" s="7"/>
      <c r="B530" s="7"/>
      <c r="C530" s="7"/>
      <c r="D530" s="7"/>
    </row>
    <row r="531" ht="15.75" customHeight="1">
      <c r="A531" s="7"/>
      <c r="B531" s="7"/>
      <c r="C531" s="7"/>
      <c r="D531" s="7"/>
    </row>
    <row r="532" ht="15.75" customHeight="1">
      <c r="A532" s="7"/>
      <c r="B532" s="7"/>
      <c r="C532" s="7"/>
      <c r="D532" s="7"/>
    </row>
    <row r="533" ht="15.75" customHeight="1">
      <c r="A533" s="7"/>
      <c r="B533" s="7"/>
      <c r="C533" s="5"/>
      <c r="D533" s="7"/>
      <c r="F533" s="2" t="s">
        <v>411</v>
      </c>
      <c r="G533" s="2" t="s">
        <v>412</v>
      </c>
      <c r="H533" s="2" t="s">
        <v>413</v>
      </c>
      <c r="I533" s="2" t="s">
        <v>414</v>
      </c>
      <c r="J533" s="2" t="s">
        <v>415</v>
      </c>
      <c r="K533" s="2" t="s">
        <v>44</v>
      </c>
      <c r="L533" s="2" t="s">
        <v>956</v>
      </c>
      <c r="M533" s="2" t="s">
        <v>9</v>
      </c>
      <c r="N533" s="2" t="s">
        <v>419</v>
      </c>
    </row>
    <row r="534" ht="15.75" customHeight="1">
      <c r="A534" s="7"/>
      <c r="B534" s="7"/>
      <c r="C534" s="7"/>
      <c r="D534" s="7"/>
    </row>
    <row r="535" ht="15.75" customHeight="1">
      <c r="A535" s="7"/>
      <c r="B535" s="7"/>
      <c r="C535" s="7"/>
      <c r="D535" s="7"/>
    </row>
    <row r="536" ht="15.75" customHeight="1">
      <c r="A536" s="7"/>
      <c r="B536" s="7"/>
      <c r="C536" s="7"/>
      <c r="D536" s="7"/>
    </row>
    <row r="537" ht="15.75" customHeight="1">
      <c r="A537" s="7"/>
      <c r="B537" s="7"/>
      <c r="C537" s="7"/>
      <c r="D537" s="7"/>
    </row>
    <row r="538" ht="15.75" customHeight="1">
      <c r="A538" s="7"/>
      <c r="B538" s="7"/>
      <c r="C538" s="7"/>
      <c r="D538" s="7"/>
    </row>
    <row r="539" ht="15.75" customHeight="1">
      <c r="A539" s="7"/>
      <c r="B539" s="7"/>
      <c r="C539" s="7"/>
      <c r="D539" s="7"/>
    </row>
    <row r="540" ht="15.75" customHeight="1">
      <c r="A540" s="7"/>
      <c r="B540" s="7"/>
      <c r="C540" s="7"/>
      <c r="D540" s="7"/>
    </row>
    <row r="541" ht="15.75" customHeight="1">
      <c r="A541" s="7"/>
      <c r="B541" s="7"/>
      <c r="C541" s="7"/>
      <c r="D541" s="7"/>
    </row>
    <row r="542" ht="15.75" customHeight="1">
      <c r="A542" s="7"/>
      <c r="B542" s="7"/>
      <c r="C542" s="5"/>
      <c r="D542" s="7"/>
      <c r="F542" s="2" t="s">
        <v>420</v>
      </c>
      <c r="G542" s="2" t="s">
        <v>421</v>
      </c>
      <c r="H542" s="2" t="s">
        <v>422</v>
      </c>
      <c r="I542" s="2" t="s">
        <v>423</v>
      </c>
      <c r="J542" s="2" t="s">
        <v>936</v>
      </c>
      <c r="K542" s="2" t="s">
        <v>7</v>
      </c>
      <c r="L542" s="2" t="s">
        <v>957</v>
      </c>
      <c r="M542" s="2" t="s">
        <v>9</v>
      </c>
      <c r="N542" s="2" t="s">
        <v>426</v>
      </c>
    </row>
    <row r="543" ht="15.75" customHeight="1">
      <c r="A543" s="7"/>
      <c r="B543" s="7"/>
      <c r="C543" s="7"/>
      <c r="D543" s="7"/>
    </row>
    <row r="544" ht="15.75" customHeight="1">
      <c r="A544" s="7"/>
      <c r="B544" s="7"/>
      <c r="C544" s="7"/>
      <c r="D544" s="7"/>
    </row>
    <row r="545" ht="15.75" customHeight="1">
      <c r="A545" s="7"/>
      <c r="B545" s="7"/>
      <c r="C545" s="7"/>
      <c r="D545" s="7"/>
    </row>
    <row r="546" ht="15.75" customHeight="1">
      <c r="A546" s="7"/>
      <c r="B546" s="7"/>
      <c r="C546" s="7"/>
      <c r="D546" s="7"/>
    </row>
    <row r="547" ht="15.75" customHeight="1">
      <c r="A547" s="7"/>
      <c r="B547" s="7"/>
      <c r="C547" s="7"/>
      <c r="D547" s="7"/>
    </row>
    <row r="548" ht="15.75" customHeight="1">
      <c r="A548" s="7"/>
      <c r="B548" s="7"/>
      <c r="C548" s="7"/>
      <c r="D548" s="7"/>
    </row>
    <row r="549" ht="15.75" customHeight="1">
      <c r="A549" s="7"/>
      <c r="B549" s="7"/>
      <c r="C549" s="7"/>
      <c r="D549" s="7"/>
    </row>
    <row r="550" ht="15.75" customHeight="1">
      <c r="A550" s="7"/>
      <c r="B550" s="7"/>
      <c r="C550" s="7"/>
      <c r="D550" s="7"/>
    </row>
    <row r="551" ht="15.75" customHeight="1">
      <c r="A551" s="7"/>
      <c r="B551" s="7"/>
      <c r="C551" s="5"/>
      <c r="D551" s="7"/>
      <c r="F551" s="2" t="s">
        <v>427</v>
      </c>
      <c r="G551" s="2" t="s">
        <v>428</v>
      </c>
      <c r="H551" s="2" t="s">
        <v>429</v>
      </c>
      <c r="I551" s="2" t="s">
        <v>430</v>
      </c>
      <c r="J551" s="2" t="s">
        <v>50</v>
      </c>
      <c r="K551" s="2" t="s">
        <v>7</v>
      </c>
      <c r="L551" s="2" t="s">
        <v>431</v>
      </c>
      <c r="M551" s="2" t="s">
        <v>9</v>
      </c>
      <c r="N551" s="2" t="s">
        <v>432</v>
      </c>
    </row>
    <row r="552" ht="15.75" customHeight="1">
      <c r="A552" s="7"/>
      <c r="B552" s="7"/>
      <c r="C552" s="7"/>
      <c r="D552" s="7"/>
    </row>
    <row r="553" ht="15.75" customHeight="1">
      <c r="A553" s="7"/>
      <c r="B553" s="7"/>
      <c r="C553" s="7"/>
      <c r="D553" s="7"/>
    </row>
    <row r="554" ht="15.75" customHeight="1">
      <c r="A554" s="7"/>
      <c r="B554" s="7"/>
      <c r="C554" s="7"/>
      <c r="D554" s="7"/>
    </row>
    <row r="555" ht="15.75" customHeight="1">
      <c r="A555" s="7"/>
      <c r="B555" s="7"/>
      <c r="C555" s="7"/>
      <c r="D555" s="7"/>
    </row>
    <row r="556" ht="15.75" customHeight="1">
      <c r="A556" s="7"/>
      <c r="B556" s="7"/>
      <c r="C556" s="7"/>
      <c r="D556" s="7"/>
    </row>
    <row r="557" ht="15.75" customHeight="1">
      <c r="A557" s="7"/>
      <c r="B557" s="7"/>
      <c r="C557" s="7"/>
      <c r="D557" s="7"/>
    </row>
    <row r="558" ht="15.75" customHeight="1">
      <c r="A558" s="7"/>
      <c r="B558" s="7"/>
      <c r="C558" s="7"/>
      <c r="D558" s="7"/>
    </row>
    <row r="559" ht="15.75" customHeight="1">
      <c r="A559" s="7"/>
      <c r="B559" s="7"/>
      <c r="C559" s="7"/>
      <c r="D559" s="7"/>
    </row>
    <row r="560" ht="15.75" customHeight="1">
      <c r="A560" s="7"/>
      <c r="B560" s="7"/>
      <c r="C560" s="5"/>
      <c r="D560" s="7"/>
      <c r="F560" s="2" t="s">
        <v>433</v>
      </c>
      <c r="G560" s="2" t="s">
        <v>434</v>
      </c>
      <c r="H560" s="2" t="s">
        <v>435</v>
      </c>
      <c r="I560" s="2" t="s">
        <v>436</v>
      </c>
      <c r="J560" s="2" t="s">
        <v>936</v>
      </c>
      <c r="K560" s="2" t="s">
        <v>7</v>
      </c>
      <c r="L560" s="2" t="s">
        <v>437</v>
      </c>
      <c r="M560" s="2" t="s">
        <v>9</v>
      </c>
      <c r="N560" s="2" t="s">
        <v>130</v>
      </c>
    </row>
    <row r="561" ht="15.75" customHeight="1">
      <c r="A561" s="7"/>
      <c r="B561" s="7"/>
      <c r="C561" s="7"/>
      <c r="D561" s="7"/>
    </row>
    <row r="562" ht="15.75" customHeight="1">
      <c r="A562" s="7"/>
      <c r="B562" s="7"/>
      <c r="C562" s="7"/>
      <c r="D562" s="7"/>
    </row>
    <row r="563" ht="15.75" customHeight="1">
      <c r="A563" s="7"/>
      <c r="B563" s="7"/>
      <c r="C563" s="7"/>
      <c r="D563" s="7"/>
    </row>
    <row r="564" ht="15.75" customHeight="1">
      <c r="A564" s="7"/>
      <c r="B564" s="7"/>
      <c r="C564" s="7"/>
      <c r="D564" s="7"/>
    </row>
    <row r="565" ht="15.75" customHeight="1">
      <c r="A565" s="7"/>
      <c r="B565" s="7"/>
      <c r="C565" s="7"/>
      <c r="D565" s="7"/>
    </row>
    <row r="566" ht="15.75" customHeight="1">
      <c r="A566" s="7"/>
      <c r="B566" s="7"/>
      <c r="C566" s="7"/>
      <c r="D566" s="7"/>
    </row>
    <row r="567" ht="15.75" customHeight="1">
      <c r="A567" s="7"/>
      <c r="B567" s="7"/>
      <c r="C567" s="7"/>
      <c r="D567" s="7"/>
    </row>
    <row r="568" ht="15.75" customHeight="1">
      <c r="A568" s="7"/>
      <c r="B568" s="7"/>
      <c r="C568" s="7"/>
      <c r="D568" s="7"/>
    </row>
    <row r="569" ht="15.75" customHeight="1">
      <c r="A569" s="7"/>
      <c r="B569" s="7"/>
      <c r="C569" s="5"/>
      <c r="D569" s="7"/>
      <c r="F569" s="2" t="s">
        <v>438</v>
      </c>
      <c r="G569" s="2" t="s">
        <v>439</v>
      </c>
      <c r="H569" s="2" t="s">
        <v>440</v>
      </c>
      <c r="I569" s="2" t="s">
        <v>441</v>
      </c>
      <c r="J569" s="2" t="s">
        <v>936</v>
      </c>
      <c r="K569" s="2" t="s">
        <v>44</v>
      </c>
      <c r="L569" s="2" t="s">
        <v>442</v>
      </c>
      <c r="M569" s="2" t="s">
        <v>37</v>
      </c>
      <c r="N569" s="2" t="s">
        <v>146</v>
      </c>
    </row>
    <row r="570" ht="15.75" customHeight="1">
      <c r="A570" s="7"/>
      <c r="B570" s="7"/>
      <c r="C570" s="7"/>
      <c r="D570" s="7"/>
    </row>
    <row r="571" ht="15.75" customHeight="1">
      <c r="A571" s="7"/>
      <c r="B571" s="7"/>
      <c r="C571" s="7"/>
      <c r="D571" s="7"/>
    </row>
    <row r="572" ht="15.75" customHeight="1">
      <c r="A572" s="7"/>
      <c r="B572" s="7"/>
      <c r="C572" s="7"/>
      <c r="D572" s="7"/>
    </row>
    <row r="573" ht="15.75" customHeight="1">
      <c r="A573" s="7"/>
      <c r="B573" s="7"/>
      <c r="C573" s="7"/>
      <c r="D573" s="7"/>
    </row>
    <row r="574" ht="15.75" customHeight="1">
      <c r="A574" s="7"/>
      <c r="B574" s="7"/>
      <c r="C574" s="7"/>
      <c r="D574" s="7"/>
    </row>
    <row r="575" ht="15.75" customHeight="1">
      <c r="A575" s="7"/>
      <c r="B575" s="7"/>
      <c r="C575" s="7"/>
      <c r="D575" s="7"/>
    </row>
    <row r="576" ht="15.75" customHeight="1">
      <c r="A576" s="7"/>
      <c r="B576" s="7"/>
      <c r="C576" s="7"/>
      <c r="D576" s="7"/>
    </row>
    <row r="577" ht="15.75" customHeight="1">
      <c r="A577" s="7"/>
      <c r="B577" s="7"/>
      <c r="C577" s="7"/>
      <c r="D577" s="7"/>
    </row>
    <row r="578" ht="15.75" customHeight="1">
      <c r="A578" s="7"/>
      <c r="B578" s="7"/>
      <c r="C578" s="5"/>
      <c r="D578" s="7"/>
      <c r="F578" s="2" t="s">
        <v>443</v>
      </c>
      <c r="G578" s="2" t="s">
        <v>444</v>
      </c>
      <c r="H578" s="2" t="s">
        <v>445</v>
      </c>
      <c r="I578" s="2" t="s">
        <v>446</v>
      </c>
      <c r="J578" s="2" t="s">
        <v>447</v>
      </c>
      <c r="K578" s="2" t="s">
        <v>7</v>
      </c>
      <c r="L578" s="2" t="s">
        <v>448</v>
      </c>
      <c r="M578" s="2" t="s">
        <v>37</v>
      </c>
      <c r="N578" s="2" t="s">
        <v>449</v>
      </c>
    </row>
    <row r="579" ht="15.75" customHeight="1">
      <c r="A579" s="7"/>
      <c r="B579" s="7"/>
      <c r="C579" s="7"/>
      <c r="D579" s="7"/>
    </row>
    <row r="580" ht="15.75" customHeight="1">
      <c r="A580" s="7"/>
      <c r="B580" s="7"/>
      <c r="C580" s="7"/>
      <c r="D580" s="7"/>
    </row>
    <row r="581" ht="15.75" customHeight="1">
      <c r="A581" s="7"/>
      <c r="B581" s="7"/>
      <c r="C581" s="7"/>
      <c r="D581" s="7"/>
    </row>
    <row r="582" ht="15.75" customHeight="1">
      <c r="A582" s="7"/>
      <c r="B582" s="7"/>
      <c r="C582" s="7"/>
      <c r="D582" s="7"/>
    </row>
    <row r="583" ht="15.75" customHeight="1">
      <c r="A583" s="7"/>
      <c r="B583" s="7"/>
      <c r="C583" s="7"/>
      <c r="D583" s="7"/>
    </row>
    <row r="584" ht="15.75" customHeight="1">
      <c r="A584" s="7"/>
      <c r="B584" s="7"/>
      <c r="C584" s="7"/>
      <c r="D584" s="7"/>
    </row>
    <row r="585" ht="15.75" customHeight="1">
      <c r="A585" s="7"/>
      <c r="B585" s="7"/>
      <c r="C585" s="7"/>
      <c r="D585" s="7"/>
    </row>
    <row r="586" ht="15.75" customHeight="1">
      <c r="A586" s="7"/>
      <c r="B586" s="7"/>
      <c r="C586" s="7"/>
      <c r="D586" s="7"/>
    </row>
    <row r="587" ht="15.75" customHeight="1">
      <c r="A587" s="7"/>
      <c r="B587" s="7"/>
      <c r="C587" s="5"/>
      <c r="D587" s="7"/>
      <c r="F587" s="2" t="s">
        <v>450</v>
      </c>
      <c r="G587" s="2" t="s">
        <v>451</v>
      </c>
      <c r="H587" s="2" t="s">
        <v>452</v>
      </c>
      <c r="I587" s="2" t="s">
        <v>453</v>
      </c>
      <c r="J587" s="2" t="s">
        <v>454</v>
      </c>
      <c r="K587" s="2" t="s">
        <v>7</v>
      </c>
      <c r="L587" s="2" t="s">
        <v>958</v>
      </c>
      <c r="M587" s="2" t="s">
        <v>37</v>
      </c>
      <c r="N587" s="2" t="s">
        <v>457</v>
      </c>
    </row>
    <row r="588" ht="15.75" customHeight="1">
      <c r="A588" s="7"/>
      <c r="B588" s="7"/>
      <c r="C588" s="7"/>
      <c r="D588" s="7"/>
    </row>
    <row r="589" ht="15.75" customHeight="1">
      <c r="A589" s="7"/>
      <c r="B589" s="7"/>
      <c r="C589" s="7"/>
      <c r="D589" s="7"/>
    </row>
    <row r="590" ht="15.75" customHeight="1">
      <c r="A590" s="7"/>
      <c r="B590" s="7"/>
      <c r="C590" s="7"/>
      <c r="D590" s="7"/>
    </row>
    <row r="591" ht="15.75" customHeight="1">
      <c r="A591" s="7"/>
      <c r="B591" s="7"/>
      <c r="C591" s="7"/>
      <c r="D591" s="7"/>
    </row>
    <row r="592" ht="15.75" customHeight="1">
      <c r="A592" s="7"/>
      <c r="B592" s="7"/>
      <c r="C592" s="7"/>
      <c r="D592" s="7"/>
    </row>
    <row r="593" ht="15.75" customHeight="1">
      <c r="A593" s="7"/>
      <c r="B593" s="7"/>
      <c r="C593" s="7"/>
      <c r="D593" s="7"/>
    </row>
    <row r="594" ht="15.75" customHeight="1">
      <c r="A594" s="7"/>
      <c r="B594" s="7"/>
      <c r="C594" s="7"/>
      <c r="D594" s="7"/>
    </row>
    <row r="595" ht="15.75" customHeight="1">
      <c r="A595" s="7"/>
      <c r="B595" s="7"/>
      <c r="C595" s="7"/>
      <c r="D595" s="7"/>
    </row>
    <row r="596" ht="15.75" customHeight="1">
      <c r="A596" s="7"/>
      <c r="B596" s="7"/>
      <c r="C596" s="5"/>
      <c r="D596" s="7"/>
      <c r="F596" s="2" t="s">
        <v>458</v>
      </c>
      <c r="G596" s="2" t="s">
        <v>459</v>
      </c>
      <c r="H596" s="2" t="s">
        <v>460</v>
      </c>
      <c r="I596" s="2" t="s">
        <v>461</v>
      </c>
      <c r="J596" s="2" t="s">
        <v>936</v>
      </c>
      <c r="K596" s="2" t="s">
        <v>7</v>
      </c>
      <c r="L596" s="2" t="s">
        <v>462</v>
      </c>
      <c r="M596" s="2" t="s">
        <v>37</v>
      </c>
      <c r="N596" s="2" t="s">
        <v>66</v>
      </c>
    </row>
    <row r="597" ht="15.75" customHeight="1">
      <c r="A597" s="7"/>
      <c r="B597" s="7"/>
      <c r="C597" s="7"/>
      <c r="D597" s="7"/>
    </row>
    <row r="598" ht="15.75" customHeight="1">
      <c r="A598" s="7"/>
      <c r="B598" s="7"/>
      <c r="C598" s="7"/>
      <c r="D598" s="7"/>
    </row>
    <row r="599" ht="15.75" customHeight="1">
      <c r="A599" s="7"/>
      <c r="B599" s="7"/>
      <c r="C599" s="7"/>
      <c r="D599" s="7"/>
    </row>
    <row r="600" ht="15.75" customHeight="1">
      <c r="A600" s="7"/>
      <c r="B600" s="7"/>
      <c r="C600" s="7"/>
      <c r="D600" s="7"/>
    </row>
    <row r="601" ht="15.75" customHeight="1">
      <c r="A601" s="7"/>
      <c r="B601" s="7"/>
      <c r="C601" s="7"/>
      <c r="D601" s="7"/>
    </row>
    <row r="602" ht="15.75" customHeight="1">
      <c r="A602" s="7"/>
      <c r="B602" s="7"/>
      <c r="C602" s="7"/>
      <c r="D602" s="7"/>
    </row>
    <row r="603" ht="15.75" customHeight="1">
      <c r="A603" s="7"/>
      <c r="B603" s="7"/>
      <c r="C603" s="7"/>
      <c r="D603" s="7"/>
    </row>
    <row r="604" ht="15.75" customHeight="1">
      <c r="A604" s="7"/>
      <c r="B604" s="7"/>
      <c r="C604" s="7"/>
      <c r="D604" s="7"/>
    </row>
    <row r="605" ht="15.75" customHeight="1">
      <c r="A605" s="7"/>
      <c r="B605" s="7"/>
      <c r="C605" s="5"/>
      <c r="D605" s="7"/>
      <c r="F605" s="2" t="s">
        <v>463</v>
      </c>
      <c r="G605" s="2" t="s">
        <v>464</v>
      </c>
      <c r="H605" s="2" t="s">
        <v>465</v>
      </c>
      <c r="I605" s="2" t="s">
        <v>466</v>
      </c>
      <c r="J605" s="2" t="s">
        <v>467</v>
      </c>
      <c r="K605" s="2" t="s">
        <v>7</v>
      </c>
      <c r="L605" s="2" t="s">
        <v>468</v>
      </c>
      <c r="M605" s="2" t="s">
        <v>37</v>
      </c>
      <c r="N605" s="2" t="s">
        <v>161</v>
      </c>
    </row>
    <row r="606" ht="15.75" customHeight="1">
      <c r="A606" s="7"/>
      <c r="B606" s="7"/>
      <c r="C606" s="7"/>
      <c r="D606" s="7"/>
    </row>
    <row r="607" ht="15.75" customHeight="1">
      <c r="A607" s="7"/>
      <c r="B607" s="7"/>
      <c r="C607" s="7"/>
      <c r="D607" s="7"/>
    </row>
    <row r="608" ht="15.75" customHeight="1">
      <c r="A608" s="7"/>
      <c r="B608" s="7"/>
      <c r="C608" s="7"/>
      <c r="D608" s="7"/>
    </row>
    <row r="609" ht="15.75" customHeight="1">
      <c r="A609" s="7"/>
      <c r="B609" s="7"/>
      <c r="C609" s="7"/>
      <c r="D609" s="7"/>
    </row>
    <row r="610" ht="15.75" customHeight="1">
      <c r="A610" s="7"/>
      <c r="B610" s="7"/>
      <c r="C610" s="7"/>
      <c r="D610" s="7"/>
    </row>
    <row r="611" ht="15.75" customHeight="1">
      <c r="A611" s="7"/>
      <c r="B611" s="7"/>
      <c r="C611" s="7"/>
      <c r="D611" s="7"/>
    </row>
    <row r="612" ht="15.75" customHeight="1">
      <c r="A612" s="7"/>
      <c r="B612" s="7"/>
      <c r="C612" s="7"/>
      <c r="D612" s="7"/>
    </row>
    <row r="613" ht="15.75" customHeight="1">
      <c r="A613" s="7"/>
      <c r="B613" s="7"/>
      <c r="C613" s="7"/>
      <c r="D613" s="7"/>
    </row>
    <row r="614" ht="15.75" customHeight="1">
      <c r="A614" s="7"/>
      <c r="B614" s="7"/>
      <c r="C614" s="5"/>
      <c r="D614" s="7"/>
      <c r="F614" s="2" t="s">
        <v>469</v>
      </c>
      <c r="G614" s="2" t="s">
        <v>470</v>
      </c>
      <c r="H614" s="2" t="s">
        <v>471</v>
      </c>
      <c r="I614" s="2" t="s">
        <v>472</v>
      </c>
      <c r="J614" s="2" t="s">
        <v>936</v>
      </c>
      <c r="K614" s="2" t="s">
        <v>7</v>
      </c>
      <c r="L614" s="2" t="s">
        <v>959</v>
      </c>
      <c r="M614" s="2" t="s">
        <v>9</v>
      </c>
      <c r="N614" s="2" t="s">
        <v>476</v>
      </c>
    </row>
    <row r="615" ht="15.75" customHeight="1">
      <c r="A615" s="7"/>
      <c r="B615" s="7"/>
      <c r="C615" s="7"/>
      <c r="D615" s="7"/>
    </row>
    <row r="616" ht="15.75" customHeight="1">
      <c r="A616" s="7"/>
      <c r="B616" s="7"/>
      <c r="C616" s="7"/>
      <c r="D616" s="7"/>
    </row>
    <row r="617" ht="15.75" customHeight="1">
      <c r="A617" s="7"/>
      <c r="B617" s="7"/>
      <c r="C617" s="7"/>
      <c r="D617" s="7"/>
    </row>
    <row r="618" ht="15.75" customHeight="1">
      <c r="A618" s="7"/>
      <c r="B618" s="7"/>
      <c r="C618" s="7"/>
      <c r="D618" s="7"/>
    </row>
    <row r="619" ht="15.75" customHeight="1">
      <c r="A619" s="7"/>
      <c r="B619" s="7"/>
      <c r="C619" s="7"/>
      <c r="D619" s="7"/>
    </row>
    <row r="620" ht="15.75" customHeight="1">
      <c r="A620" s="7"/>
      <c r="B620" s="7"/>
      <c r="C620" s="7"/>
      <c r="D620" s="7"/>
    </row>
    <row r="621" ht="15.75" customHeight="1">
      <c r="A621" s="7"/>
      <c r="B621" s="7"/>
      <c r="C621" s="7"/>
      <c r="D621" s="7"/>
    </row>
    <row r="622" ht="15.75" customHeight="1">
      <c r="A622" s="7"/>
      <c r="B622" s="7"/>
      <c r="C622" s="7"/>
      <c r="D622" s="7"/>
    </row>
    <row r="623" ht="15.75" customHeight="1">
      <c r="A623" s="7"/>
      <c r="B623" s="7"/>
      <c r="C623" s="5"/>
      <c r="D623" s="7"/>
      <c r="F623" s="2" t="s">
        <v>477</v>
      </c>
      <c r="G623" s="2" t="s">
        <v>478</v>
      </c>
      <c r="H623" s="2" t="s">
        <v>479</v>
      </c>
      <c r="I623" s="2" t="s">
        <v>480</v>
      </c>
      <c r="J623" s="2" t="s">
        <v>936</v>
      </c>
      <c r="K623" s="2" t="s">
        <v>7</v>
      </c>
      <c r="L623" s="2" t="s">
        <v>481</v>
      </c>
      <c r="M623" s="2" t="s">
        <v>9</v>
      </c>
      <c r="N623" s="2" t="s">
        <v>31</v>
      </c>
    </row>
    <row r="624" ht="15.75" customHeight="1">
      <c r="A624" s="7"/>
      <c r="B624" s="7"/>
      <c r="C624" s="7"/>
      <c r="D624" s="7"/>
    </row>
    <row r="625" ht="15.75" customHeight="1">
      <c r="A625" s="7"/>
      <c r="B625" s="7"/>
      <c r="C625" s="7"/>
      <c r="D625" s="7"/>
    </row>
    <row r="626" ht="15.75" customHeight="1">
      <c r="A626" s="7"/>
      <c r="B626" s="7"/>
      <c r="C626" s="7"/>
      <c r="D626" s="7"/>
    </row>
    <row r="627" ht="15.75" customHeight="1">
      <c r="A627" s="7"/>
      <c r="B627" s="7"/>
      <c r="C627" s="7"/>
      <c r="D627" s="7"/>
    </row>
    <row r="628" ht="15.75" customHeight="1">
      <c r="A628" s="7"/>
      <c r="B628" s="7"/>
      <c r="C628" s="7"/>
      <c r="D628" s="7"/>
    </row>
    <row r="629" ht="15.75" customHeight="1">
      <c r="A629" s="7"/>
      <c r="B629" s="7"/>
      <c r="C629" s="7"/>
      <c r="D629" s="7"/>
    </row>
    <row r="630" ht="15.75" customHeight="1">
      <c r="A630" s="7"/>
      <c r="B630" s="7"/>
      <c r="C630" s="7"/>
      <c r="D630" s="7"/>
    </row>
    <row r="631" ht="15.75" customHeight="1">
      <c r="A631" s="7"/>
      <c r="B631" s="7"/>
      <c r="C631" s="7"/>
      <c r="D631" s="7"/>
    </row>
    <row r="632" ht="15.75" customHeight="1">
      <c r="A632" s="7"/>
      <c r="B632" s="7"/>
      <c r="C632" s="5"/>
      <c r="D632" s="7"/>
      <c r="F632" s="2" t="s">
        <v>482</v>
      </c>
      <c r="G632" s="2" t="s">
        <v>483</v>
      </c>
      <c r="H632" s="2" t="s">
        <v>484</v>
      </c>
      <c r="I632" s="2" t="s">
        <v>485</v>
      </c>
      <c r="J632" s="2" t="s">
        <v>7</v>
      </c>
      <c r="K632" s="2" t="s">
        <v>486</v>
      </c>
      <c r="L632" s="2" t="s">
        <v>487</v>
      </c>
      <c r="M632" s="2" t="s">
        <v>9</v>
      </c>
      <c r="N632" s="2" t="s">
        <v>52</v>
      </c>
    </row>
    <row r="633" ht="15.75" customHeight="1">
      <c r="A633" s="7"/>
      <c r="B633" s="7"/>
      <c r="C633" s="7"/>
      <c r="D633" s="7"/>
    </row>
    <row r="634" ht="15.75" customHeight="1">
      <c r="A634" s="7"/>
      <c r="B634" s="7"/>
      <c r="C634" s="7"/>
      <c r="D634" s="7"/>
    </row>
    <row r="635" ht="15.75" customHeight="1">
      <c r="A635" s="7"/>
      <c r="B635" s="7"/>
      <c r="C635" s="7"/>
      <c r="D635" s="7"/>
    </row>
    <row r="636" ht="15.75" customHeight="1">
      <c r="A636" s="7"/>
      <c r="B636" s="7"/>
      <c r="C636" s="7"/>
      <c r="D636" s="7"/>
    </row>
    <row r="637" ht="15.75" customHeight="1">
      <c r="A637" s="7"/>
      <c r="B637" s="7"/>
      <c r="C637" s="7"/>
      <c r="D637" s="7"/>
    </row>
    <row r="638" ht="15.75" customHeight="1">
      <c r="A638" s="7"/>
      <c r="B638" s="7"/>
      <c r="C638" s="7"/>
      <c r="D638" s="7"/>
    </row>
    <row r="639" ht="15.75" customHeight="1">
      <c r="A639" s="7"/>
      <c r="B639" s="7"/>
      <c r="C639" s="7"/>
      <c r="D639" s="7"/>
    </row>
    <row r="640" ht="15.75" customHeight="1">
      <c r="A640" s="7"/>
      <c r="B640" s="7"/>
      <c r="C640" s="7"/>
      <c r="D640" s="7"/>
    </row>
    <row r="641" ht="15.75" customHeight="1">
      <c r="A641" s="7"/>
      <c r="B641" s="7"/>
      <c r="C641" s="5"/>
      <c r="D641" s="7"/>
      <c r="F641" s="2" t="s">
        <v>482</v>
      </c>
      <c r="G641" s="2" t="s">
        <v>488</v>
      </c>
      <c r="H641" s="2" t="s">
        <v>489</v>
      </c>
      <c r="I641" s="2" t="s">
        <v>490</v>
      </c>
      <c r="J641" s="2" t="s">
        <v>936</v>
      </c>
      <c r="K641" s="2" t="s">
        <v>7</v>
      </c>
      <c r="L641" s="2" t="s">
        <v>491</v>
      </c>
      <c r="M641" s="2" t="s">
        <v>9</v>
      </c>
      <c r="N641" s="2" t="s">
        <v>110</v>
      </c>
    </row>
    <row r="642" ht="15.75" customHeight="1">
      <c r="A642" s="7"/>
      <c r="B642" s="7"/>
      <c r="C642" s="7"/>
      <c r="D642" s="7"/>
    </row>
    <row r="643" ht="15.75" customHeight="1">
      <c r="A643" s="7"/>
      <c r="B643" s="7"/>
      <c r="C643" s="7"/>
      <c r="D643" s="7"/>
    </row>
    <row r="644" ht="15.75" customHeight="1">
      <c r="A644" s="7"/>
      <c r="B644" s="7"/>
      <c r="C644" s="7"/>
      <c r="D644" s="7"/>
    </row>
    <row r="645" ht="15.75" customHeight="1">
      <c r="A645" s="7"/>
      <c r="B645" s="7"/>
      <c r="C645" s="7"/>
      <c r="D645" s="7"/>
    </row>
    <row r="646" ht="15.75" customHeight="1">
      <c r="A646" s="7"/>
      <c r="B646" s="7"/>
      <c r="C646" s="7"/>
      <c r="D646" s="7"/>
    </row>
    <row r="647" ht="15.75" customHeight="1">
      <c r="A647" s="7"/>
      <c r="B647" s="7"/>
      <c r="C647" s="7"/>
      <c r="D647" s="7"/>
    </row>
    <row r="648" ht="15.75" customHeight="1">
      <c r="A648" s="7"/>
      <c r="B648" s="7"/>
      <c r="C648" s="7"/>
      <c r="D648" s="7"/>
    </row>
    <row r="649" ht="15.75" customHeight="1">
      <c r="A649" s="7"/>
      <c r="B649" s="7"/>
      <c r="C649" s="7"/>
      <c r="D649" s="7"/>
    </row>
    <row r="650" ht="15.75" customHeight="1">
      <c r="A650" s="7"/>
      <c r="B650" s="7"/>
      <c r="C650" s="5"/>
      <c r="D650" s="7"/>
      <c r="F650" s="2" t="s">
        <v>492</v>
      </c>
      <c r="G650" s="2" t="s">
        <v>493</v>
      </c>
      <c r="H650" s="2" t="s">
        <v>494</v>
      </c>
      <c r="I650" s="2" t="s">
        <v>495</v>
      </c>
      <c r="J650" s="2" t="s">
        <v>496</v>
      </c>
      <c r="K650" s="2" t="s">
        <v>7</v>
      </c>
      <c r="L650" s="2" t="s">
        <v>497</v>
      </c>
      <c r="M650" s="2" t="s">
        <v>9</v>
      </c>
      <c r="N650" s="2" t="s">
        <v>130</v>
      </c>
    </row>
    <row r="651" ht="15.75" customHeight="1">
      <c r="A651" s="7"/>
      <c r="B651" s="7"/>
      <c r="C651" s="7"/>
      <c r="D651" s="7"/>
    </row>
    <row r="652" ht="15.75" customHeight="1">
      <c r="A652" s="7"/>
      <c r="B652" s="7"/>
      <c r="C652" s="7"/>
      <c r="D652" s="7"/>
    </row>
    <row r="653" ht="15.75" customHeight="1">
      <c r="A653" s="7"/>
      <c r="B653" s="7"/>
      <c r="C653" s="7"/>
      <c r="D653" s="7"/>
    </row>
    <row r="654" ht="15.75" customHeight="1">
      <c r="A654" s="7"/>
      <c r="B654" s="7"/>
      <c r="C654" s="7"/>
      <c r="D654" s="7"/>
    </row>
    <row r="655" ht="15.75" customHeight="1">
      <c r="A655" s="7"/>
      <c r="B655" s="7"/>
      <c r="C655" s="7"/>
      <c r="D655" s="7"/>
    </row>
    <row r="656" ht="15.75" customHeight="1">
      <c r="A656" s="7"/>
      <c r="B656" s="7"/>
      <c r="C656" s="7"/>
      <c r="D656" s="7"/>
    </row>
    <row r="657" ht="15.75" customHeight="1">
      <c r="A657" s="7"/>
      <c r="B657" s="7"/>
      <c r="C657" s="7"/>
      <c r="D657" s="7"/>
    </row>
    <row r="658" ht="15.75" customHeight="1">
      <c r="A658" s="7"/>
      <c r="B658" s="7"/>
      <c r="C658" s="7"/>
      <c r="D658" s="7"/>
    </row>
    <row r="659" ht="15.75" customHeight="1">
      <c r="A659" s="7"/>
      <c r="B659" s="7"/>
      <c r="C659" s="5"/>
      <c r="D659" s="7"/>
      <c r="F659" s="2" t="s">
        <v>498</v>
      </c>
      <c r="G659" s="2" t="s">
        <v>499</v>
      </c>
      <c r="H659" s="2" t="s">
        <v>500</v>
      </c>
      <c r="I659" s="2" t="s">
        <v>501</v>
      </c>
      <c r="J659" s="2" t="s">
        <v>936</v>
      </c>
      <c r="K659" s="2" t="s">
        <v>7</v>
      </c>
      <c r="L659" s="2" t="s">
        <v>502</v>
      </c>
      <c r="M659" s="2" t="s">
        <v>9</v>
      </c>
      <c r="N659" s="2" t="s">
        <v>130</v>
      </c>
    </row>
    <row r="660" ht="15.75" customHeight="1">
      <c r="A660" s="7"/>
      <c r="B660" s="7"/>
      <c r="C660" s="7"/>
      <c r="D660" s="7"/>
    </row>
    <row r="661" ht="15.75" customHeight="1">
      <c r="A661" s="7"/>
      <c r="B661" s="7"/>
      <c r="C661" s="7"/>
      <c r="D661" s="7"/>
    </row>
    <row r="662" ht="15.75" customHeight="1">
      <c r="A662" s="7"/>
      <c r="B662" s="7"/>
      <c r="C662" s="7"/>
      <c r="D662" s="7"/>
    </row>
    <row r="663" ht="15.75" customHeight="1">
      <c r="A663" s="7"/>
      <c r="B663" s="7"/>
      <c r="C663" s="7"/>
      <c r="D663" s="7"/>
    </row>
    <row r="664" ht="15.75" customHeight="1">
      <c r="A664" s="7"/>
      <c r="B664" s="7"/>
      <c r="C664" s="7"/>
      <c r="D664" s="7"/>
    </row>
    <row r="665" ht="15.75" customHeight="1">
      <c r="A665" s="7"/>
      <c r="B665" s="7"/>
      <c r="C665" s="7"/>
      <c r="D665" s="7"/>
    </row>
    <row r="666" ht="15.75" customHeight="1">
      <c r="A666" s="7"/>
      <c r="B666" s="7"/>
      <c r="C666" s="7"/>
      <c r="D666" s="7"/>
    </row>
    <row r="667" ht="15.75" customHeight="1">
      <c r="A667" s="7"/>
      <c r="B667" s="7"/>
      <c r="C667" s="7"/>
      <c r="D667" s="7"/>
    </row>
    <row r="668" ht="15.75" customHeight="1">
      <c r="A668" s="7"/>
      <c r="B668" s="7"/>
      <c r="C668" s="5"/>
      <c r="D668" s="7"/>
      <c r="F668" s="2" t="s">
        <v>503</v>
      </c>
      <c r="G668" s="2" t="s">
        <v>504</v>
      </c>
      <c r="H668" s="2" t="s">
        <v>505</v>
      </c>
      <c r="I668" s="2" t="s">
        <v>506</v>
      </c>
      <c r="J668" s="2" t="s">
        <v>936</v>
      </c>
      <c r="K668" s="2" t="s">
        <v>7</v>
      </c>
      <c r="L668" s="2" t="s">
        <v>507</v>
      </c>
      <c r="M668" s="2" t="s">
        <v>9</v>
      </c>
      <c r="N668" s="2" t="s">
        <v>508</v>
      </c>
    </row>
    <row r="669" ht="15.75" customHeight="1">
      <c r="A669" s="7"/>
      <c r="B669" s="7"/>
      <c r="C669" s="7"/>
      <c r="D669" s="7"/>
    </row>
    <row r="670" ht="15.75" customHeight="1">
      <c r="A670" s="7"/>
      <c r="B670" s="7"/>
      <c r="C670" s="7"/>
      <c r="D670" s="7"/>
    </row>
    <row r="671" ht="15.75" customHeight="1">
      <c r="A671" s="7"/>
      <c r="B671" s="7"/>
      <c r="C671" s="7"/>
      <c r="D671" s="7"/>
    </row>
    <row r="672" ht="15.75" customHeight="1">
      <c r="A672" s="7"/>
      <c r="B672" s="7"/>
      <c r="C672" s="7"/>
      <c r="D672" s="7"/>
    </row>
    <row r="673" ht="15.75" customHeight="1">
      <c r="A673" s="7"/>
      <c r="B673" s="7"/>
      <c r="C673" s="7"/>
      <c r="D673" s="7"/>
    </row>
    <row r="674" ht="15.75" customHeight="1">
      <c r="A674" s="7"/>
      <c r="B674" s="7"/>
      <c r="C674" s="7"/>
      <c r="D674" s="7"/>
    </row>
    <row r="675" ht="15.75" customHeight="1">
      <c r="A675" s="7"/>
      <c r="B675" s="7"/>
      <c r="C675" s="7"/>
      <c r="D675" s="7"/>
    </row>
    <row r="676" ht="15.75" customHeight="1">
      <c r="A676" s="7"/>
      <c r="B676" s="7"/>
      <c r="C676" s="7"/>
      <c r="D676" s="7"/>
    </row>
    <row r="677" ht="15.75" customHeight="1">
      <c r="A677" s="7"/>
      <c r="B677" s="7"/>
      <c r="C677" s="5"/>
      <c r="D677" s="7"/>
      <c r="F677" s="2" t="s">
        <v>509</v>
      </c>
      <c r="G677" s="2" t="s">
        <v>510</v>
      </c>
      <c r="H677" s="2" t="s">
        <v>511</v>
      </c>
      <c r="I677" s="2" t="s">
        <v>512</v>
      </c>
      <c r="J677" s="2" t="s">
        <v>936</v>
      </c>
      <c r="K677" s="2" t="s">
        <v>7</v>
      </c>
      <c r="L677" s="2" t="s">
        <v>513</v>
      </c>
      <c r="M677" s="2" t="s">
        <v>9</v>
      </c>
      <c r="N677" s="2" t="s">
        <v>31</v>
      </c>
    </row>
    <row r="678" ht="15.75" customHeight="1">
      <c r="A678" s="7"/>
      <c r="B678" s="7"/>
      <c r="C678" s="7"/>
      <c r="D678" s="7"/>
    </row>
    <row r="679" ht="15.75" customHeight="1">
      <c r="A679" s="7"/>
      <c r="B679" s="7"/>
      <c r="C679" s="7"/>
      <c r="D679" s="7"/>
    </row>
    <row r="680" ht="15.75" customHeight="1">
      <c r="A680" s="7"/>
      <c r="B680" s="7"/>
      <c r="C680" s="7"/>
      <c r="D680" s="7"/>
    </row>
    <row r="681" ht="15.75" customHeight="1">
      <c r="A681" s="7"/>
      <c r="B681" s="7"/>
      <c r="C681" s="7"/>
      <c r="D681" s="7"/>
    </row>
    <row r="682" ht="15.75" customHeight="1">
      <c r="A682" s="7"/>
      <c r="B682" s="7"/>
      <c r="C682" s="7"/>
      <c r="D682" s="7"/>
    </row>
    <row r="683" ht="15.75" customHeight="1">
      <c r="A683" s="7"/>
      <c r="B683" s="7"/>
      <c r="C683" s="7"/>
      <c r="D683" s="7"/>
    </row>
    <row r="684" ht="15.75" customHeight="1">
      <c r="A684" s="7"/>
      <c r="B684" s="7"/>
      <c r="C684" s="7"/>
      <c r="D684" s="7"/>
    </row>
    <row r="685" ht="15.75" customHeight="1">
      <c r="A685" s="7"/>
      <c r="B685" s="7"/>
      <c r="C685" s="7"/>
      <c r="D685" s="7"/>
    </row>
    <row r="686" ht="15.75" customHeight="1">
      <c r="A686" s="7"/>
      <c r="B686" s="7"/>
      <c r="C686" s="5"/>
      <c r="D686" s="7"/>
      <c r="F686" s="2" t="s">
        <v>514</v>
      </c>
      <c r="G686" s="2" t="s">
        <v>515</v>
      </c>
      <c r="H686" s="2" t="s">
        <v>516</v>
      </c>
      <c r="I686" s="2" t="s">
        <v>517</v>
      </c>
      <c r="J686" s="2" t="s">
        <v>936</v>
      </c>
      <c r="K686" s="2" t="s">
        <v>7</v>
      </c>
      <c r="L686" s="2" t="s">
        <v>518</v>
      </c>
      <c r="M686" s="2" t="s">
        <v>9</v>
      </c>
      <c r="N686" s="2" t="s">
        <v>31</v>
      </c>
    </row>
    <row r="687" ht="15.75" customHeight="1">
      <c r="A687" s="7"/>
      <c r="B687" s="7"/>
      <c r="C687" s="7"/>
      <c r="D687" s="7"/>
    </row>
    <row r="688" ht="15.75" customHeight="1">
      <c r="A688" s="7"/>
      <c r="B688" s="7"/>
      <c r="C688" s="7"/>
      <c r="D688" s="7"/>
    </row>
    <row r="689" ht="15.75" customHeight="1">
      <c r="A689" s="7"/>
      <c r="B689" s="7"/>
      <c r="C689" s="7"/>
      <c r="D689" s="7"/>
    </row>
    <row r="690" ht="15.75" customHeight="1">
      <c r="A690" s="7"/>
      <c r="B690" s="7"/>
      <c r="C690" s="7"/>
      <c r="D690" s="7"/>
    </row>
    <row r="691" ht="15.75" customHeight="1">
      <c r="A691" s="7"/>
      <c r="B691" s="7"/>
      <c r="C691" s="7"/>
      <c r="D691" s="7"/>
    </row>
    <row r="692" ht="15.75" customHeight="1">
      <c r="A692" s="7"/>
      <c r="B692" s="7"/>
      <c r="C692" s="7"/>
      <c r="D692" s="7"/>
    </row>
    <row r="693" ht="15.75" customHeight="1">
      <c r="A693" s="7"/>
      <c r="B693" s="7"/>
      <c r="C693" s="7"/>
      <c r="D693" s="7"/>
    </row>
    <row r="694" ht="15.75" customHeight="1">
      <c r="A694" s="7"/>
      <c r="B694" s="7"/>
      <c r="C694" s="7"/>
      <c r="D694" s="7"/>
    </row>
    <row r="695" ht="15.75" customHeight="1">
      <c r="A695" s="7"/>
      <c r="B695" s="7"/>
      <c r="C695" s="5"/>
      <c r="D695" s="7"/>
      <c r="F695" s="2" t="s">
        <v>519</v>
      </c>
      <c r="G695" s="2" t="s">
        <v>520</v>
      </c>
      <c r="H695" s="2" t="s">
        <v>521</v>
      </c>
      <c r="I695" s="2" t="s">
        <v>522</v>
      </c>
      <c r="J695" s="2" t="s">
        <v>523</v>
      </c>
      <c r="K695" s="2" t="s">
        <v>7</v>
      </c>
      <c r="L695" s="2" t="s">
        <v>524</v>
      </c>
      <c r="M695" s="2" t="s">
        <v>9</v>
      </c>
      <c r="N695" s="2" t="s">
        <v>476</v>
      </c>
    </row>
    <row r="696" ht="15.75" customHeight="1">
      <c r="A696" s="7"/>
      <c r="B696" s="7"/>
      <c r="C696" s="7"/>
      <c r="D696" s="7"/>
    </row>
    <row r="697" ht="15.75" customHeight="1">
      <c r="A697" s="7"/>
      <c r="B697" s="7"/>
      <c r="C697" s="7"/>
      <c r="D697" s="7"/>
    </row>
    <row r="698" ht="15.75" customHeight="1">
      <c r="A698" s="7"/>
      <c r="B698" s="7"/>
      <c r="C698" s="7"/>
      <c r="D698" s="7"/>
    </row>
    <row r="699" ht="15.75" customHeight="1">
      <c r="A699" s="7"/>
      <c r="B699" s="7"/>
      <c r="C699" s="7"/>
      <c r="D699" s="7"/>
    </row>
    <row r="700" ht="15.75" customHeight="1">
      <c r="A700" s="7"/>
      <c r="B700" s="7"/>
      <c r="C700" s="7"/>
      <c r="D700" s="7"/>
    </row>
    <row r="701" ht="15.75" customHeight="1">
      <c r="A701" s="7"/>
      <c r="B701" s="7"/>
      <c r="C701" s="7"/>
      <c r="D701" s="7"/>
    </row>
    <row r="702" ht="15.75" customHeight="1">
      <c r="A702" s="7"/>
      <c r="B702" s="7"/>
      <c r="C702" s="7"/>
      <c r="D702" s="7"/>
    </row>
    <row r="703" ht="15.75" customHeight="1">
      <c r="A703" s="7"/>
      <c r="B703" s="7"/>
      <c r="C703" s="7"/>
      <c r="D703" s="7"/>
    </row>
    <row r="704" ht="15.75" customHeight="1">
      <c r="A704" s="7"/>
      <c r="B704" s="7"/>
      <c r="C704" s="5"/>
      <c r="D704" s="7"/>
      <c r="F704" s="2" t="s">
        <v>525</v>
      </c>
      <c r="G704" s="2" t="s">
        <v>526</v>
      </c>
      <c r="H704" s="2" t="s">
        <v>527</v>
      </c>
      <c r="I704" s="2" t="s">
        <v>528</v>
      </c>
      <c r="J704" s="2" t="s">
        <v>936</v>
      </c>
      <c r="K704" s="2" t="s">
        <v>7</v>
      </c>
      <c r="L704" s="2" t="s">
        <v>529</v>
      </c>
      <c r="M704" s="2" t="s">
        <v>9</v>
      </c>
      <c r="N704" s="2" t="s">
        <v>530</v>
      </c>
    </row>
    <row r="705" ht="15.75" customHeight="1">
      <c r="A705" s="7"/>
      <c r="B705" s="7"/>
      <c r="C705" s="7"/>
      <c r="D705" s="7"/>
    </row>
    <row r="706" ht="15.75" customHeight="1">
      <c r="A706" s="7"/>
      <c r="B706" s="7"/>
      <c r="C706" s="7"/>
      <c r="D706" s="7"/>
    </row>
    <row r="707" ht="15.75" customHeight="1">
      <c r="A707" s="7"/>
      <c r="B707" s="7"/>
      <c r="C707" s="7"/>
      <c r="D707" s="7"/>
    </row>
    <row r="708" ht="15.75" customHeight="1">
      <c r="A708" s="7"/>
      <c r="B708" s="7"/>
      <c r="C708" s="7"/>
      <c r="D708" s="7"/>
    </row>
    <row r="709" ht="15.75" customHeight="1">
      <c r="A709" s="7"/>
      <c r="B709" s="7"/>
      <c r="C709" s="7"/>
      <c r="D709" s="7"/>
    </row>
    <row r="710" ht="15.75" customHeight="1">
      <c r="A710" s="7"/>
      <c r="B710" s="7"/>
      <c r="C710" s="7"/>
      <c r="D710" s="7"/>
    </row>
    <row r="711" ht="15.75" customHeight="1">
      <c r="A711" s="7"/>
      <c r="B711" s="7"/>
      <c r="C711" s="7"/>
      <c r="D711" s="7"/>
    </row>
    <row r="712" ht="15.75" customHeight="1">
      <c r="A712" s="7"/>
      <c r="B712" s="7"/>
      <c r="C712" s="7"/>
      <c r="D712" s="7"/>
    </row>
    <row r="713" ht="15.75" customHeight="1">
      <c r="A713" s="7"/>
      <c r="B713" s="7"/>
      <c r="C713" s="5"/>
      <c r="D713" s="7"/>
      <c r="F713" s="2" t="s">
        <v>531</v>
      </c>
      <c r="G713" s="2" t="s">
        <v>532</v>
      </c>
      <c r="H713" s="2" t="s">
        <v>533</v>
      </c>
      <c r="I713" s="2" t="s">
        <v>534</v>
      </c>
      <c r="J713" s="2" t="s">
        <v>535</v>
      </c>
      <c r="K713" s="2" t="s">
        <v>44</v>
      </c>
      <c r="L713" s="2" t="s">
        <v>960</v>
      </c>
      <c r="M713" s="2" t="s">
        <v>9</v>
      </c>
      <c r="N713" s="2" t="s">
        <v>538</v>
      </c>
    </row>
    <row r="714" ht="15.75" customHeight="1">
      <c r="A714" s="7"/>
      <c r="B714" s="7"/>
      <c r="C714" s="7"/>
      <c r="D714" s="7"/>
    </row>
    <row r="715" ht="15.75" customHeight="1">
      <c r="A715" s="7"/>
      <c r="B715" s="7"/>
      <c r="C715" s="7"/>
      <c r="D715" s="7"/>
    </row>
    <row r="716" ht="15.75" customHeight="1">
      <c r="A716" s="7"/>
      <c r="B716" s="7"/>
      <c r="C716" s="7"/>
      <c r="D716" s="7"/>
    </row>
    <row r="717" ht="15.75" customHeight="1">
      <c r="A717" s="7"/>
      <c r="B717" s="7"/>
      <c r="C717" s="7"/>
      <c r="D717" s="7"/>
    </row>
    <row r="718" ht="15.75" customHeight="1">
      <c r="A718" s="7"/>
      <c r="B718" s="7"/>
      <c r="C718" s="7"/>
      <c r="D718" s="7"/>
    </row>
    <row r="719" ht="15.75" customHeight="1">
      <c r="A719" s="7"/>
      <c r="B719" s="7"/>
      <c r="C719" s="7"/>
      <c r="D719" s="7"/>
    </row>
    <row r="720" ht="15.75" customHeight="1">
      <c r="A720" s="7"/>
      <c r="B720" s="7"/>
      <c r="C720" s="7"/>
      <c r="D720" s="7"/>
    </row>
    <row r="721" ht="15.75" customHeight="1">
      <c r="A721" s="7"/>
      <c r="B721" s="7"/>
      <c r="C721" s="7"/>
      <c r="D721" s="7"/>
    </row>
    <row r="722" ht="15.75" customHeight="1">
      <c r="A722" s="7"/>
      <c r="B722" s="7"/>
      <c r="C722" s="5"/>
      <c r="D722" s="7"/>
      <c r="F722" s="2" t="s">
        <v>539</v>
      </c>
      <c r="G722" s="2" t="s">
        <v>540</v>
      </c>
      <c r="H722" s="2" t="s">
        <v>541</v>
      </c>
      <c r="I722" s="2" t="s">
        <v>542</v>
      </c>
      <c r="J722" s="2" t="s">
        <v>936</v>
      </c>
      <c r="K722" s="2" t="s">
        <v>7</v>
      </c>
      <c r="L722" s="2" t="s">
        <v>543</v>
      </c>
      <c r="M722" s="2" t="s">
        <v>9</v>
      </c>
      <c r="N722" s="2" t="s">
        <v>476</v>
      </c>
    </row>
    <row r="723" ht="15.75" customHeight="1">
      <c r="A723" s="7"/>
      <c r="B723" s="7"/>
      <c r="C723" s="7"/>
      <c r="D723" s="7"/>
    </row>
    <row r="724" ht="15.75" customHeight="1">
      <c r="A724" s="7"/>
      <c r="B724" s="7"/>
      <c r="C724" s="7"/>
      <c r="D724" s="7"/>
    </row>
    <row r="725" ht="15.75" customHeight="1">
      <c r="A725" s="7"/>
      <c r="B725" s="7"/>
      <c r="C725" s="7"/>
      <c r="D725" s="7"/>
    </row>
    <row r="726" ht="15.75" customHeight="1">
      <c r="A726" s="7"/>
      <c r="B726" s="7"/>
      <c r="C726" s="7"/>
      <c r="D726" s="7"/>
    </row>
    <row r="727" ht="15.75" customHeight="1">
      <c r="A727" s="7"/>
      <c r="B727" s="7"/>
      <c r="C727" s="7"/>
      <c r="D727" s="7"/>
    </row>
    <row r="728" ht="15.75" customHeight="1">
      <c r="A728" s="7"/>
      <c r="B728" s="7"/>
      <c r="C728" s="7"/>
      <c r="D728" s="7"/>
    </row>
    <row r="729" ht="15.75" customHeight="1">
      <c r="A729" s="7"/>
      <c r="B729" s="7"/>
      <c r="C729" s="7"/>
      <c r="D729" s="7"/>
    </row>
    <row r="730" ht="15.75" customHeight="1">
      <c r="A730" s="7"/>
      <c r="B730" s="7"/>
      <c r="C730" s="7"/>
      <c r="D730" s="7"/>
    </row>
    <row r="731" ht="15.75" customHeight="1">
      <c r="A731" s="7"/>
      <c r="B731" s="7"/>
      <c r="C731" s="5"/>
      <c r="D731" s="7"/>
      <c r="F731" s="2" t="s">
        <v>544</v>
      </c>
      <c r="G731" s="2" t="s">
        <v>545</v>
      </c>
      <c r="H731" s="2" t="s">
        <v>546</v>
      </c>
      <c r="I731" s="2" t="s">
        <v>547</v>
      </c>
      <c r="J731" s="2" t="s">
        <v>548</v>
      </c>
      <c r="K731" s="2" t="s">
        <v>7</v>
      </c>
      <c r="L731" s="2" t="s">
        <v>549</v>
      </c>
      <c r="M731" s="2" t="s">
        <v>9</v>
      </c>
      <c r="N731" s="2" t="s">
        <v>550</v>
      </c>
    </row>
    <row r="732" ht="15.75" customHeight="1">
      <c r="A732" s="7"/>
      <c r="B732" s="7"/>
      <c r="C732" s="7"/>
      <c r="D732" s="7"/>
    </row>
    <row r="733" ht="15.75" customHeight="1">
      <c r="A733" s="7"/>
      <c r="B733" s="7"/>
      <c r="C733" s="7"/>
      <c r="D733" s="7"/>
    </row>
    <row r="734" ht="15.75" customHeight="1">
      <c r="A734" s="7"/>
      <c r="B734" s="7"/>
      <c r="C734" s="7"/>
      <c r="D734" s="7"/>
    </row>
    <row r="735" ht="15.75" customHeight="1">
      <c r="A735" s="7"/>
      <c r="B735" s="7"/>
      <c r="C735" s="7"/>
      <c r="D735" s="7"/>
    </row>
    <row r="736" ht="15.75" customHeight="1">
      <c r="A736" s="7"/>
      <c r="B736" s="7"/>
      <c r="C736" s="7"/>
      <c r="D736" s="7"/>
    </row>
    <row r="737" ht="15.75" customHeight="1">
      <c r="A737" s="7"/>
      <c r="B737" s="7"/>
      <c r="C737" s="7"/>
      <c r="D737" s="7"/>
    </row>
    <row r="738" ht="15.75" customHeight="1">
      <c r="A738" s="7"/>
      <c r="B738" s="7"/>
      <c r="C738" s="7"/>
      <c r="D738" s="7"/>
    </row>
    <row r="739" ht="15.75" customHeight="1">
      <c r="A739" s="7"/>
      <c r="B739" s="7"/>
      <c r="C739" s="7"/>
      <c r="D739" s="7"/>
    </row>
    <row r="740" ht="15.75" customHeight="1">
      <c r="A740" s="7"/>
      <c r="B740" s="7"/>
      <c r="C740" s="5"/>
      <c r="D740" s="7"/>
      <c r="F740" s="2" t="s">
        <v>551</v>
      </c>
      <c r="G740" s="2" t="s">
        <v>552</v>
      </c>
      <c r="H740" s="2" t="s">
        <v>553</v>
      </c>
      <c r="I740" s="2" t="s">
        <v>554</v>
      </c>
      <c r="J740" s="2" t="s">
        <v>936</v>
      </c>
      <c r="K740" s="2" t="s">
        <v>7</v>
      </c>
      <c r="L740" s="2" t="s">
        <v>555</v>
      </c>
      <c r="M740" s="2" t="s">
        <v>37</v>
      </c>
      <c r="N740" s="2" t="s">
        <v>52</v>
      </c>
    </row>
    <row r="741" ht="15.75" customHeight="1">
      <c r="A741" s="7"/>
      <c r="B741" s="7"/>
      <c r="C741" s="7"/>
      <c r="D741" s="7"/>
    </row>
    <row r="742" ht="15.75" customHeight="1">
      <c r="A742" s="7"/>
      <c r="B742" s="7"/>
      <c r="C742" s="7"/>
      <c r="D742" s="7"/>
    </row>
    <row r="743" ht="15.75" customHeight="1">
      <c r="A743" s="7"/>
      <c r="B743" s="7"/>
      <c r="C743" s="7"/>
      <c r="D743" s="7"/>
    </row>
    <row r="744" ht="15.75" customHeight="1">
      <c r="A744" s="7"/>
      <c r="B744" s="7"/>
      <c r="C744" s="7"/>
      <c r="D744" s="7"/>
    </row>
    <row r="745" ht="15.75" customHeight="1">
      <c r="A745" s="7"/>
      <c r="B745" s="7"/>
      <c r="C745" s="7"/>
      <c r="D745" s="7"/>
    </row>
    <row r="746" ht="15.75" customHeight="1">
      <c r="A746" s="7"/>
      <c r="B746" s="7"/>
      <c r="C746" s="7"/>
      <c r="D746" s="7"/>
    </row>
    <row r="747" ht="15.75" customHeight="1">
      <c r="A747" s="7"/>
      <c r="B747" s="7"/>
      <c r="C747" s="7"/>
      <c r="D747" s="7"/>
    </row>
    <row r="748" ht="15.75" customHeight="1">
      <c r="A748" s="7"/>
      <c r="B748" s="7"/>
      <c r="C748" s="7"/>
      <c r="D748" s="7"/>
    </row>
    <row r="749" ht="15.75" customHeight="1">
      <c r="A749" s="7"/>
      <c r="B749" s="7"/>
      <c r="C749" s="5"/>
      <c r="D749" s="7"/>
      <c r="F749" s="2" t="s">
        <v>556</v>
      </c>
      <c r="G749" s="2" t="s">
        <v>557</v>
      </c>
      <c r="H749" s="2" t="s">
        <v>558</v>
      </c>
      <c r="I749" s="2" t="s">
        <v>559</v>
      </c>
      <c r="J749" s="2" t="s">
        <v>560</v>
      </c>
      <c r="K749" s="2" t="s">
        <v>7</v>
      </c>
      <c r="L749" s="2" t="s">
        <v>561</v>
      </c>
      <c r="M749" s="2" t="s">
        <v>37</v>
      </c>
      <c r="N749" s="2" t="s">
        <v>562</v>
      </c>
    </row>
    <row r="750" ht="15.75" customHeight="1">
      <c r="A750" s="7"/>
      <c r="B750" s="7"/>
      <c r="C750" s="7"/>
      <c r="D750" s="7"/>
    </row>
    <row r="751" ht="15.75" customHeight="1">
      <c r="A751" s="7"/>
      <c r="B751" s="7"/>
      <c r="C751" s="7"/>
      <c r="D751" s="7"/>
    </row>
    <row r="752" ht="15.75" customHeight="1">
      <c r="A752" s="7"/>
      <c r="B752" s="7"/>
      <c r="C752" s="7"/>
      <c r="D752" s="7"/>
    </row>
    <row r="753" ht="15.75" customHeight="1">
      <c r="A753" s="7"/>
      <c r="B753" s="7"/>
      <c r="C753" s="7"/>
      <c r="D753" s="7"/>
    </row>
    <row r="754" ht="15.75" customHeight="1">
      <c r="A754" s="7"/>
      <c r="B754" s="7"/>
      <c r="C754" s="7"/>
      <c r="D754" s="7"/>
    </row>
    <row r="755" ht="15.75" customHeight="1">
      <c r="A755" s="7"/>
      <c r="B755" s="7"/>
      <c r="C755" s="7"/>
      <c r="D755" s="7"/>
    </row>
    <row r="756" ht="15.75" customHeight="1">
      <c r="A756" s="7"/>
      <c r="B756" s="7"/>
      <c r="C756" s="7"/>
      <c r="D756" s="7"/>
    </row>
    <row r="757" ht="15.75" customHeight="1">
      <c r="A757" s="7"/>
      <c r="B757" s="7"/>
      <c r="C757" s="7"/>
      <c r="D757" s="7"/>
    </row>
    <row r="758" ht="15.75" customHeight="1">
      <c r="A758" s="7"/>
      <c r="B758" s="7"/>
      <c r="C758" s="5"/>
      <c r="D758" s="7"/>
      <c r="F758" s="2" t="s">
        <v>563</v>
      </c>
      <c r="G758" s="2" t="s">
        <v>564</v>
      </c>
      <c r="H758" s="2" t="s">
        <v>565</v>
      </c>
      <c r="I758" s="2" t="s">
        <v>961</v>
      </c>
      <c r="J758" s="2" t="s">
        <v>568</v>
      </c>
      <c r="K758" s="2" t="s">
        <v>44</v>
      </c>
      <c r="L758" s="2" t="s">
        <v>569</v>
      </c>
      <c r="M758" s="2" t="s">
        <v>37</v>
      </c>
      <c r="N758" s="2" t="s">
        <v>31</v>
      </c>
    </row>
    <row r="759" ht="15.75" customHeight="1">
      <c r="A759" s="7"/>
      <c r="B759" s="7"/>
      <c r="C759" s="7"/>
      <c r="D759" s="7"/>
    </row>
    <row r="760" ht="15.75" customHeight="1">
      <c r="A760" s="7"/>
      <c r="B760" s="7"/>
      <c r="C760" s="7"/>
      <c r="D760" s="7"/>
    </row>
    <row r="761" ht="15.75" customHeight="1">
      <c r="A761" s="7"/>
      <c r="B761" s="7"/>
      <c r="C761" s="7"/>
      <c r="D761" s="7"/>
    </row>
    <row r="762" ht="15.75" customHeight="1">
      <c r="A762" s="7"/>
      <c r="B762" s="7"/>
      <c r="C762" s="7"/>
      <c r="D762" s="7"/>
    </row>
    <row r="763" ht="15.75" customHeight="1">
      <c r="A763" s="7"/>
      <c r="B763" s="7"/>
      <c r="C763" s="7"/>
      <c r="D763" s="7"/>
    </row>
    <row r="764" ht="15.75" customHeight="1">
      <c r="A764" s="7"/>
      <c r="B764" s="7"/>
      <c r="C764" s="7"/>
      <c r="D764" s="7"/>
    </row>
    <row r="765" ht="15.75" customHeight="1">
      <c r="A765" s="7"/>
      <c r="B765" s="7"/>
      <c r="C765" s="7"/>
      <c r="D765" s="7"/>
    </row>
    <row r="766" ht="15.75" customHeight="1">
      <c r="A766" s="7"/>
      <c r="B766" s="7"/>
      <c r="C766" s="7"/>
      <c r="D766" s="7"/>
    </row>
    <row r="767" ht="15.75" customHeight="1">
      <c r="A767" s="7"/>
      <c r="B767" s="7"/>
      <c r="C767" s="5"/>
      <c r="D767" s="7"/>
      <c r="F767" s="2" t="s">
        <v>570</v>
      </c>
      <c r="G767" s="2" t="s">
        <v>571</v>
      </c>
      <c r="H767" s="2" t="s">
        <v>572</v>
      </c>
      <c r="I767" s="2" t="s">
        <v>573</v>
      </c>
      <c r="J767" s="2" t="s">
        <v>574</v>
      </c>
      <c r="K767" s="2" t="s">
        <v>7</v>
      </c>
      <c r="L767" s="2" t="s">
        <v>575</v>
      </c>
      <c r="M767" s="2" t="s">
        <v>37</v>
      </c>
      <c r="N767" s="2" t="s">
        <v>576</v>
      </c>
    </row>
    <row r="768" ht="15.75" customHeight="1">
      <c r="A768" s="7"/>
      <c r="B768" s="7"/>
      <c r="C768" s="7"/>
      <c r="D768" s="7"/>
    </row>
    <row r="769" ht="15.75" customHeight="1">
      <c r="A769" s="7"/>
      <c r="B769" s="7"/>
      <c r="C769" s="7"/>
      <c r="D769" s="7"/>
    </row>
    <row r="770" ht="15.75" customHeight="1">
      <c r="A770" s="7"/>
      <c r="B770" s="7"/>
      <c r="C770" s="7"/>
      <c r="D770" s="7"/>
    </row>
    <row r="771" ht="15.75" customHeight="1">
      <c r="A771" s="7"/>
      <c r="B771" s="7"/>
      <c r="C771" s="7"/>
      <c r="D771" s="7"/>
    </row>
    <row r="772" ht="15.75" customHeight="1">
      <c r="A772" s="7"/>
      <c r="B772" s="7"/>
      <c r="C772" s="7"/>
      <c r="D772" s="7"/>
    </row>
    <row r="773" ht="15.75" customHeight="1">
      <c r="A773" s="7"/>
      <c r="B773" s="7"/>
      <c r="C773" s="7"/>
      <c r="D773" s="7"/>
    </row>
    <row r="774" ht="15.75" customHeight="1">
      <c r="A774" s="7"/>
      <c r="B774" s="7"/>
      <c r="C774" s="7"/>
      <c r="D774" s="7"/>
    </row>
    <row r="775" ht="15.75" customHeight="1">
      <c r="A775" s="7"/>
      <c r="B775" s="7"/>
      <c r="C775" s="7"/>
      <c r="D775" s="7"/>
    </row>
    <row r="776" ht="15.75" customHeight="1">
      <c r="A776" s="7"/>
      <c r="B776" s="7"/>
      <c r="C776" s="5"/>
      <c r="D776" s="7"/>
      <c r="F776" s="2" t="s">
        <v>577</v>
      </c>
      <c r="G776" s="2" t="s">
        <v>578</v>
      </c>
      <c r="H776" s="2" t="s">
        <v>579</v>
      </c>
      <c r="I776" s="2" t="s">
        <v>580</v>
      </c>
      <c r="J776" s="2" t="s">
        <v>581</v>
      </c>
      <c r="K776" s="2" t="s">
        <v>7</v>
      </c>
      <c r="L776" s="2" t="s">
        <v>582</v>
      </c>
      <c r="M776" s="2" t="s">
        <v>37</v>
      </c>
      <c r="N776" s="2" t="s">
        <v>52</v>
      </c>
    </row>
    <row r="777" ht="15.75" customHeight="1">
      <c r="A777" s="7"/>
      <c r="B777" s="7"/>
      <c r="C777" s="7"/>
      <c r="D777" s="7"/>
    </row>
    <row r="778" ht="15.75" customHeight="1">
      <c r="A778" s="7"/>
      <c r="B778" s="7"/>
      <c r="C778" s="7"/>
      <c r="D778" s="7"/>
    </row>
    <row r="779" ht="15.75" customHeight="1">
      <c r="A779" s="7"/>
      <c r="B779" s="7"/>
      <c r="C779" s="7"/>
      <c r="D779" s="7"/>
    </row>
    <row r="780" ht="15.75" customHeight="1">
      <c r="A780" s="7"/>
      <c r="B780" s="7"/>
      <c r="C780" s="7"/>
      <c r="D780" s="7"/>
    </row>
    <row r="781" ht="15.75" customHeight="1">
      <c r="A781" s="7"/>
      <c r="B781" s="7"/>
      <c r="C781" s="7"/>
      <c r="D781" s="7"/>
    </row>
    <row r="782" ht="15.75" customHeight="1">
      <c r="A782" s="7"/>
      <c r="B782" s="7"/>
      <c r="C782" s="7"/>
      <c r="D782" s="7"/>
    </row>
    <row r="783" ht="15.75" customHeight="1">
      <c r="A783" s="7"/>
      <c r="B783" s="7"/>
      <c r="C783" s="7"/>
      <c r="D783" s="7"/>
    </row>
    <row r="784" ht="15.75" customHeight="1">
      <c r="A784" s="7"/>
      <c r="B784" s="7"/>
      <c r="C784" s="7"/>
      <c r="D784" s="7"/>
    </row>
    <row r="785" ht="15.75" customHeight="1">
      <c r="A785" s="7"/>
      <c r="B785" s="7"/>
      <c r="C785" s="5"/>
      <c r="D785" s="7"/>
      <c r="F785" s="2" t="s">
        <v>583</v>
      </c>
      <c r="G785" s="2" t="s">
        <v>584</v>
      </c>
      <c r="H785" s="2" t="s">
        <v>585</v>
      </c>
      <c r="I785" s="2" t="s">
        <v>586</v>
      </c>
      <c r="J785" s="2" t="s">
        <v>587</v>
      </c>
      <c r="K785" s="2" t="s">
        <v>7</v>
      </c>
      <c r="L785" s="2" t="s">
        <v>588</v>
      </c>
      <c r="M785" s="2" t="s">
        <v>37</v>
      </c>
      <c r="N785" s="2" t="s">
        <v>589</v>
      </c>
    </row>
    <row r="786" ht="15.75" customHeight="1">
      <c r="A786" s="7"/>
      <c r="B786" s="7"/>
      <c r="C786" s="7"/>
      <c r="D786" s="7"/>
    </row>
    <row r="787" ht="15.75" customHeight="1">
      <c r="A787" s="7"/>
      <c r="B787" s="7"/>
      <c r="C787" s="7"/>
      <c r="D787" s="7"/>
    </row>
    <row r="788" ht="15.75" customHeight="1">
      <c r="A788" s="7"/>
      <c r="B788" s="7"/>
      <c r="C788" s="7"/>
      <c r="D788" s="7"/>
    </row>
    <row r="789" ht="15.75" customHeight="1">
      <c r="A789" s="7"/>
      <c r="B789" s="7"/>
      <c r="C789" s="7"/>
      <c r="D789" s="7"/>
    </row>
    <row r="790" ht="15.75" customHeight="1">
      <c r="A790" s="7"/>
      <c r="B790" s="7"/>
      <c r="C790" s="7"/>
      <c r="D790" s="7"/>
    </row>
    <row r="791" ht="15.75" customHeight="1">
      <c r="A791" s="7"/>
      <c r="B791" s="7"/>
      <c r="C791" s="7"/>
      <c r="D791" s="7"/>
    </row>
    <row r="792" ht="15.75" customHeight="1">
      <c r="A792" s="7"/>
      <c r="B792" s="7"/>
      <c r="C792" s="7"/>
      <c r="D792" s="7"/>
    </row>
    <row r="793" ht="15.75" customHeight="1">
      <c r="A793" s="7"/>
      <c r="B793" s="7"/>
      <c r="C793" s="7"/>
      <c r="D793" s="7"/>
    </row>
    <row r="794" ht="15.75" customHeight="1">
      <c r="A794" s="7"/>
      <c r="B794" s="7"/>
      <c r="C794" s="5"/>
      <c r="D794" s="7"/>
      <c r="F794" s="2" t="s">
        <v>590</v>
      </c>
      <c r="G794" s="2" t="s">
        <v>591</v>
      </c>
      <c r="H794" s="2" t="s">
        <v>592</v>
      </c>
      <c r="I794" s="2" t="s">
        <v>593</v>
      </c>
      <c r="J794" s="2" t="s">
        <v>594</v>
      </c>
      <c r="K794" s="2" t="s">
        <v>7</v>
      </c>
      <c r="L794" s="2" t="s">
        <v>595</v>
      </c>
      <c r="M794" s="2" t="s">
        <v>37</v>
      </c>
      <c r="N794" s="2" t="s">
        <v>596</v>
      </c>
    </row>
    <row r="795" ht="15.75" customHeight="1">
      <c r="A795" s="7"/>
      <c r="B795" s="7"/>
      <c r="C795" s="7"/>
      <c r="D795" s="7"/>
    </row>
    <row r="796" ht="15.75" customHeight="1">
      <c r="A796" s="7"/>
      <c r="B796" s="7"/>
      <c r="C796" s="7"/>
      <c r="D796" s="7"/>
    </row>
    <row r="797" ht="15.75" customHeight="1">
      <c r="A797" s="7"/>
      <c r="B797" s="7"/>
      <c r="C797" s="7"/>
      <c r="D797" s="7"/>
    </row>
    <row r="798" ht="15.75" customHeight="1">
      <c r="A798" s="7"/>
      <c r="B798" s="7"/>
      <c r="C798" s="7"/>
      <c r="D798" s="7"/>
    </row>
    <row r="799" ht="15.75" customHeight="1">
      <c r="A799" s="7"/>
      <c r="B799" s="7"/>
      <c r="C799" s="7"/>
      <c r="D799" s="7"/>
    </row>
    <row r="800" ht="15.75" customHeight="1">
      <c r="A800" s="7"/>
      <c r="B800" s="7"/>
      <c r="C800" s="7"/>
      <c r="D800" s="7"/>
    </row>
    <row r="801" ht="15.75" customHeight="1">
      <c r="A801" s="7"/>
      <c r="B801" s="7"/>
      <c r="C801" s="7"/>
      <c r="D801" s="7"/>
    </row>
    <row r="802" ht="15.75" customHeight="1">
      <c r="A802" s="7"/>
      <c r="B802" s="7"/>
      <c r="C802" s="7"/>
      <c r="D802" s="7"/>
    </row>
    <row r="803" ht="15.75" customHeight="1">
      <c r="A803" s="7"/>
      <c r="B803" s="7"/>
      <c r="C803" s="5"/>
      <c r="D803" s="7"/>
      <c r="F803" s="2" t="s">
        <v>597</v>
      </c>
      <c r="G803" s="2" t="s">
        <v>598</v>
      </c>
      <c r="H803" s="2" t="s">
        <v>599</v>
      </c>
      <c r="I803" s="2" t="s">
        <v>600</v>
      </c>
      <c r="J803" s="2" t="s">
        <v>50</v>
      </c>
      <c r="K803" s="2" t="s">
        <v>7</v>
      </c>
      <c r="L803" s="2" t="s">
        <v>962</v>
      </c>
      <c r="M803" s="2" t="s">
        <v>37</v>
      </c>
      <c r="N803" s="2" t="s">
        <v>603</v>
      </c>
    </row>
    <row r="804" ht="15.75" customHeight="1">
      <c r="A804" s="7"/>
      <c r="B804" s="7"/>
      <c r="C804" s="7"/>
      <c r="D804" s="7"/>
    </row>
    <row r="805" ht="15.75" customHeight="1">
      <c r="A805" s="7"/>
      <c r="B805" s="7"/>
      <c r="C805" s="7"/>
      <c r="D805" s="7"/>
    </row>
    <row r="806" ht="15.75" customHeight="1">
      <c r="A806" s="7"/>
      <c r="B806" s="7"/>
      <c r="C806" s="7"/>
      <c r="D806" s="7"/>
    </row>
    <row r="807" ht="15.75" customHeight="1">
      <c r="A807" s="7"/>
      <c r="B807" s="7"/>
      <c r="C807" s="7"/>
      <c r="D807" s="7"/>
    </row>
    <row r="808" ht="15.75" customHeight="1">
      <c r="A808" s="7"/>
      <c r="B808" s="7"/>
      <c r="C808" s="7"/>
      <c r="D808" s="7"/>
    </row>
    <row r="809" ht="15.75" customHeight="1">
      <c r="A809" s="7"/>
      <c r="B809" s="7"/>
      <c r="C809" s="7"/>
      <c r="D809" s="7"/>
    </row>
    <row r="810" ht="15.75" customHeight="1">
      <c r="A810" s="7"/>
      <c r="B810" s="7"/>
      <c r="C810" s="7"/>
      <c r="D810" s="7"/>
    </row>
    <row r="811" ht="15.75" customHeight="1">
      <c r="A811" s="7"/>
      <c r="B811" s="7"/>
      <c r="C811" s="7"/>
      <c r="D811" s="7"/>
    </row>
    <row r="812" ht="15.75" customHeight="1">
      <c r="A812" s="7"/>
      <c r="B812" s="7"/>
      <c r="C812" s="5"/>
      <c r="D812" s="7"/>
      <c r="F812" s="2" t="s">
        <v>604</v>
      </c>
      <c r="G812" s="2" t="s">
        <v>605</v>
      </c>
      <c r="H812" s="2" t="s">
        <v>606</v>
      </c>
      <c r="I812" s="2" t="s">
        <v>607</v>
      </c>
      <c r="J812" s="2" t="s">
        <v>608</v>
      </c>
      <c r="K812" s="2" t="s">
        <v>7</v>
      </c>
      <c r="L812" s="2" t="s">
        <v>963</v>
      </c>
      <c r="M812" s="2" t="s">
        <v>37</v>
      </c>
      <c r="N812" s="2" t="s">
        <v>161</v>
      </c>
    </row>
    <row r="813" ht="15.75" customHeight="1">
      <c r="A813" s="7"/>
      <c r="B813" s="7"/>
      <c r="C813" s="7"/>
      <c r="D813" s="7"/>
    </row>
    <row r="814" ht="15.75" customHeight="1">
      <c r="A814" s="7"/>
      <c r="B814" s="7"/>
      <c r="C814" s="7"/>
      <c r="D814" s="7"/>
    </row>
    <row r="815" ht="15.75" customHeight="1">
      <c r="A815" s="7"/>
      <c r="B815" s="7"/>
      <c r="C815" s="7"/>
      <c r="D815" s="7"/>
    </row>
    <row r="816" ht="15.75" customHeight="1">
      <c r="A816" s="7"/>
      <c r="B816" s="7"/>
      <c r="C816" s="7"/>
      <c r="D816" s="7"/>
    </row>
    <row r="817" ht="15.75" customHeight="1">
      <c r="A817" s="7"/>
      <c r="B817" s="7"/>
      <c r="C817" s="7"/>
      <c r="D817" s="7"/>
    </row>
    <row r="818" ht="15.75" customHeight="1">
      <c r="A818" s="7"/>
      <c r="B818" s="7"/>
      <c r="C818" s="7"/>
      <c r="D818" s="7"/>
    </row>
    <row r="819" ht="15.75" customHeight="1">
      <c r="A819" s="7"/>
      <c r="B819" s="7"/>
      <c r="C819" s="7"/>
      <c r="D819" s="7"/>
    </row>
    <row r="820" ht="15.75" customHeight="1">
      <c r="A820" s="7"/>
      <c r="B820" s="7"/>
      <c r="C820" s="7"/>
      <c r="D820" s="7"/>
    </row>
    <row r="821" ht="15.75" customHeight="1">
      <c r="A821" s="7"/>
      <c r="B821" s="7"/>
      <c r="C821" s="5"/>
      <c r="D821" s="7"/>
      <c r="F821" s="2" t="s">
        <v>611</v>
      </c>
      <c r="G821" s="2" t="s">
        <v>612</v>
      </c>
      <c r="H821" s="2" t="s">
        <v>613</v>
      </c>
      <c r="I821" s="2" t="s">
        <v>614</v>
      </c>
      <c r="J821" s="2" t="s">
        <v>936</v>
      </c>
      <c r="K821" s="2" t="s">
        <v>7</v>
      </c>
      <c r="L821" s="2" t="s">
        <v>615</v>
      </c>
      <c r="M821" s="2" t="s">
        <v>9</v>
      </c>
      <c r="N821" s="2" t="s">
        <v>216</v>
      </c>
    </row>
    <row r="822" ht="15.75" customHeight="1">
      <c r="A822" s="7"/>
      <c r="B822" s="7"/>
      <c r="C822" s="7"/>
      <c r="D822" s="7"/>
    </row>
    <row r="823" ht="15.75" customHeight="1">
      <c r="A823" s="7"/>
      <c r="B823" s="7"/>
      <c r="C823" s="7"/>
      <c r="D823" s="7"/>
    </row>
    <row r="824" ht="15.75" customHeight="1">
      <c r="A824" s="7"/>
      <c r="B824" s="7"/>
      <c r="C824" s="7"/>
      <c r="D824" s="7"/>
    </row>
    <row r="825" ht="15.75" customHeight="1">
      <c r="A825" s="7"/>
      <c r="B825" s="7"/>
      <c r="C825" s="7"/>
      <c r="D825" s="7"/>
    </row>
    <row r="826" ht="15.75" customHeight="1">
      <c r="A826" s="7"/>
      <c r="B826" s="7"/>
      <c r="C826" s="7"/>
      <c r="D826" s="7"/>
    </row>
    <row r="827" ht="15.75" customHeight="1">
      <c r="A827" s="7"/>
      <c r="B827" s="7"/>
      <c r="C827" s="7"/>
      <c r="D827" s="7"/>
    </row>
    <row r="828" ht="15.75" customHeight="1">
      <c r="A828" s="7"/>
      <c r="B828" s="7"/>
      <c r="C828" s="7"/>
      <c r="D828" s="7"/>
    </row>
    <row r="829" ht="15.75" customHeight="1">
      <c r="A829" s="7"/>
      <c r="B829" s="7"/>
      <c r="C829" s="7"/>
      <c r="D829" s="7"/>
    </row>
    <row r="830" ht="15.75" customHeight="1">
      <c r="A830" s="7"/>
      <c r="B830" s="7"/>
      <c r="C830" s="5"/>
      <c r="D830" s="7"/>
      <c r="F830" s="2" t="s">
        <v>616</v>
      </c>
      <c r="G830" s="2" t="s">
        <v>617</v>
      </c>
      <c r="H830" s="2" t="s">
        <v>618</v>
      </c>
      <c r="I830" s="2" t="s">
        <v>619</v>
      </c>
      <c r="J830" s="2" t="s">
        <v>936</v>
      </c>
      <c r="K830" s="2" t="s">
        <v>7</v>
      </c>
      <c r="L830" s="2" t="s">
        <v>620</v>
      </c>
      <c r="M830" s="2" t="s">
        <v>9</v>
      </c>
      <c r="N830" s="2" t="s">
        <v>621</v>
      </c>
    </row>
    <row r="831" ht="15.75" customHeight="1">
      <c r="A831" s="7"/>
      <c r="B831" s="7"/>
      <c r="C831" s="7"/>
      <c r="D831" s="7"/>
    </row>
    <row r="832" ht="15.75" customHeight="1">
      <c r="A832" s="7"/>
      <c r="B832" s="7"/>
      <c r="C832" s="7"/>
      <c r="D832" s="7"/>
    </row>
    <row r="833" ht="15.75" customHeight="1">
      <c r="A833" s="7"/>
      <c r="B833" s="7"/>
      <c r="C833" s="7"/>
      <c r="D833" s="7"/>
    </row>
    <row r="834" ht="15.75" customHeight="1">
      <c r="A834" s="7"/>
      <c r="B834" s="7"/>
      <c r="C834" s="7"/>
      <c r="D834" s="7"/>
    </row>
    <row r="835" ht="15.75" customHeight="1">
      <c r="A835" s="7"/>
      <c r="B835" s="7"/>
      <c r="C835" s="7"/>
      <c r="D835" s="7"/>
    </row>
    <row r="836" ht="15.75" customHeight="1">
      <c r="A836" s="7"/>
      <c r="B836" s="7"/>
      <c r="C836" s="7"/>
      <c r="D836" s="7"/>
    </row>
    <row r="837" ht="15.75" customHeight="1">
      <c r="A837" s="7"/>
      <c r="B837" s="7"/>
      <c r="C837" s="7"/>
      <c r="D837" s="7"/>
    </row>
    <row r="838" ht="15.75" customHeight="1">
      <c r="A838" s="7"/>
      <c r="B838" s="7"/>
      <c r="C838" s="7"/>
      <c r="D838" s="7"/>
    </row>
    <row r="839" ht="15.75" customHeight="1">
      <c r="A839" s="7"/>
      <c r="B839" s="7"/>
      <c r="C839" s="5"/>
      <c r="D839" s="7"/>
      <c r="F839" s="2" t="s">
        <v>622</v>
      </c>
      <c r="G839" s="2" t="s">
        <v>623</v>
      </c>
      <c r="H839" s="2" t="s">
        <v>624</v>
      </c>
      <c r="I839" s="2" t="s">
        <v>625</v>
      </c>
      <c r="J839" s="2" t="s">
        <v>626</v>
      </c>
      <c r="K839" s="2" t="s">
        <v>44</v>
      </c>
      <c r="L839" s="2" t="s">
        <v>964</v>
      </c>
      <c r="M839" s="2" t="s">
        <v>37</v>
      </c>
      <c r="N839" s="2" t="s">
        <v>629</v>
      </c>
    </row>
    <row r="840" ht="15.75" customHeight="1">
      <c r="A840" s="7"/>
      <c r="B840" s="7"/>
      <c r="C840" s="7"/>
      <c r="D840" s="7"/>
    </row>
    <row r="841" ht="15.75" customHeight="1">
      <c r="A841" s="7"/>
      <c r="B841" s="7"/>
      <c r="C841" s="7"/>
      <c r="D841" s="7"/>
    </row>
    <row r="842" ht="15.75" customHeight="1">
      <c r="A842" s="7"/>
      <c r="B842" s="7"/>
      <c r="C842" s="7"/>
      <c r="D842" s="7"/>
    </row>
    <row r="843" ht="15.75" customHeight="1">
      <c r="A843" s="7"/>
      <c r="B843" s="7"/>
      <c r="C843" s="7"/>
      <c r="D843" s="7"/>
    </row>
    <row r="844" ht="15.75" customHeight="1">
      <c r="A844" s="7"/>
      <c r="B844" s="7"/>
      <c r="C844" s="7"/>
      <c r="D844" s="7"/>
    </row>
    <row r="845" ht="15.75" customHeight="1">
      <c r="A845" s="7"/>
      <c r="B845" s="7"/>
      <c r="C845" s="7"/>
      <c r="D845" s="7"/>
    </row>
    <row r="846" ht="15.75" customHeight="1">
      <c r="A846" s="7"/>
      <c r="B846" s="7"/>
      <c r="C846" s="7"/>
      <c r="D846" s="7"/>
    </row>
    <row r="847" ht="15.75" customHeight="1">
      <c r="A847" s="7"/>
      <c r="B847" s="7"/>
      <c r="C847" s="7"/>
      <c r="D847" s="7"/>
    </row>
    <row r="848" ht="15.75" customHeight="1">
      <c r="A848" s="7"/>
      <c r="B848" s="7"/>
      <c r="C848" s="5"/>
      <c r="D848" s="7"/>
      <c r="F848" s="2" t="s">
        <v>630</v>
      </c>
      <c r="G848" s="2" t="s">
        <v>631</v>
      </c>
      <c r="H848" s="2" t="s">
        <v>632</v>
      </c>
      <c r="I848" s="2" t="s">
        <v>633</v>
      </c>
      <c r="J848" s="2" t="s">
        <v>634</v>
      </c>
      <c r="K848" s="2" t="s">
        <v>7</v>
      </c>
      <c r="L848" s="2" t="s">
        <v>635</v>
      </c>
      <c r="M848" s="2" t="s">
        <v>37</v>
      </c>
      <c r="N848" s="2" t="s">
        <v>636</v>
      </c>
    </row>
    <row r="849" ht="15.75" customHeight="1">
      <c r="A849" s="7"/>
      <c r="B849" s="7"/>
      <c r="C849" s="7"/>
      <c r="D849" s="7"/>
    </row>
    <row r="850" ht="15.75" customHeight="1">
      <c r="A850" s="7"/>
      <c r="B850" s="7"/>
      <c r="C850" s="7"/>
      <c r="D850" s="7"/>
    </row>
    <row r="851" ht="15.75" customHeight="1">
      <c r="A851" s="7"/>
      <c r="B851" s="7"/>
      <c r="C851" s="7"/>
      <c r="D851" s="7"/>
    </row>
    <row r="852" ht="15.75" customHeight="1">
      <c r="A852" s="7"/>
      <c r="B852" s="7"/>
      <c r="C852" s="7"/>
      <c r="D852" s="7"/>
    </row>
    <row r="853" ht="15.75" customHeight="1">
      <c r="A853" s="7"/>
      <c r="B853" s="7"/>
      <c r="C853" s="7"/>
      <c r="D853" s="7"/>
    </row>
    <row r="854" ht="15.75" customHeight="1">
      <c r="A854" s="7"/>
      <c r="B854" s="7"/>
      <c r="C854" s="7"/>
      <c r="D854" s="7"/>
    </row>
    <row r="855" ht="15.75" customHeight="1">
      <c r="A855" s="7"/>
      <c r="B855" s="7"/>
      <c r="C855" s="7"/>
      <c r="D855" s="7"/>
    </row>
    <row r="856" ht="15.75" customHeight="1">
      <c r="A856" s="7"/>
      <c r="B856" s="7"/>
      <c r="C856" s="7"/>
      <c r="D856" s="7"/>
    </row>
    <row r="857" ht="15.75" customHeight="1">
      <c r="A857" s="7"/>
      <c r="B857" s="7"/>
      <c r="C857" s="5"/>
      <c r="D857" s="7"/>
      <c r="F857" s="2" t="s">
        <v>637</v>
      </c>
      <c r="G857" s="2" t="s">
        <v>638</v>
      </c>
      <c r="H857" s="2" t="s">
        <v>639</v>
      </c>
      <c r="I857" s="2" t="s">
        <v>640</v>
      </c>
      <c r="J857" s="2" t="s">
        <v>641</v>
      </c>
      <c r="K857" s="2" t="s">
        <v>44</v>
      </c>
      <c r="L857" s="2" t="s">
        <v>965</v>
      </c>
      <c r="M857" s="2" t="s">
        <v>37</v>
      </c>
      <c r="N857" s="2" t="s">
        <v>576</v>
      </c>
    </row>
    <row r="858" ht="15.75" customHeight="1">
      <c r="A858" s="7"/>
      <c r="B858" s="7"/>
      <c r="C858" s="7"/>
      <c r="D858" s="7"/>
    </row>
    <row r="859" ht="15.75" customHeight="1">
      <c r="A859" s="7"/>
      <c r="B859" s="7"/>
      <c r="C859" s="7"/>
      <c r="D859" s="7"/>
    </row>
    <row r="860" ht="15.75" customHeight="1">
      <c r="A860" s="7"/>
      <c r="B860" s="7"/>
      <c r="C860" s="7"/>
      <c r="D860" s="7"/>
    </row>
    <row r="861" ht="15.75" customHeight="1">
      <c r="A861" s="7"/>
      <c r="B861" s="7"/>
      <c r="C861" s="7"/>
      <c r="D861" s="7"/>
    </row>
    <row r="862" ht="15.75" customHeight="1">
      <c r="A862" s="7"/>
      <c r="B862" s="7"/>
      <c r="C862" s="7"/>
      <c r="D862" s="7"/>
    </row>
    <row r="863" ht="15.75" customHeight="1">
      <c r="A863" s="7"/>
      <c r="B863" s="7"/>
      <c r="C863" s="7"/>
      <c r="D863" s="7"/>
    </row>
    <row r="864" ht="15.75" customHeight="1">
      <c r="A864" s="7"/>
      <c r="B864" s="7"/>
      <c r="C864" s="7"/>
      <c r="D864" s="7"/>
    </row>
    <row r="865" ht="15.75" customHeight="1">
      <c r="A865" s="7"/>
      <c r="B865" s="7"/>
      <c r="C865" s="7"/>
      <c r="D865" s="7"/>
    </row>
    <row r="866" ht="15.75" customHeight="1">
      <c r="A866" s="7"/>
      <c r="B866" s="7"/>
      <c r="C866" s="5"/>
      <c r="D866" s="7"/>
      <c r="F866" s="2" t="s">
        <v>644</v>
      </c>
      <c r="G866" s="2" t="s">
        <v>645</v>
      </c>
      <c r="H866" s="2" t="s">
        <v>646</v>
      </c>
      <c r="I866" s="2" t="s">
        <v>647</v>
      </c>
      <c r="J866" s="2" t="s">
        <v>936</v>
      </c>
      <c r="K866" s="2" t="s">
        <v>7</v>
      </c>
      <c r="L866" s="2" t="s">
        <v>648</v>
      </c>
      <c r="M866" s="2" t="s">
        <v>37</v>
      </c>
      <c r="N866" s="2" t="s">
        <v>538</v>
      </c>
    </row>
    <row r="867" ht="15.75" customHeight="1">
      <c r="A867" s="7"/>
      <c r="B867" s="7"/>
      <c r="C867" s="7"/>
      <c r="D867" s="7"/>
    </row>
    <row r="868" ht="15.75" customHeight="1">
      <c r="A868" s="7"/>
      <c r="B868" s="7"/>
      <c r="C868" s="7"/>
      <c r="D868" s="7"/>
    </row>
    <row r="869" ht="15.75" customHeight="1">
      <c r="A869" s="7"/>
      <c r="B869" s="7"/>
      <c r="C869" s="7"/>
      <c r="D869" s="7"/>
    </row>
    <row r="870" ht="15.75" customHeight="1">
      <c r="A870" s="7"/>
      <c r="B870" s="7"/>
      <c r="C870" s="7"/>
      <c r="D870" s="7"/>
    </row>
    <row r="871" ht="15.75" customHeight="1">
      <c r="A871" s="7"/>
      <c r="B871" s="7"/>
      <c r="C871" s="7"/>
      <c r="D871" s="7"/>
    </row>
    <row r="872" ht="15.75" customHeight="1">
      <c r="A872" s="7"/>
      <c r="B872" s="7"/>
      <c r="C872" s="7"/>
      <c r="D872" s="7"/>
    </row>
    <row r="873" ht="15.75" customHeight="1">
      <c r="A873" s="7"/>
      <c r="B873" s="7"/>
      <c r="C873" s="7"/>
      <c r="D873" s="7"/>
    </row>
    <row r="874" ht="15.75" customHeight="1">
      <c r="A874" s="7"/>
      <c r="B874" s="7"/>
      <c r="C874" s="7"/>
      <c r="D874" s="7"/>
    </row>
    <row r="875" ht="15.75" customHeight="1">
      <c r="A875" s="7"/>
      <c r="B875" s="7"/>
      <c r="C875" s="5"/>
      <c r="D875" s="7"/>
      <c r="F875" s="2" t="s">
        <v>649</v>
      </c>
      <c r="G875" s="2" t="s">
        <v>650</v>
      </c>
      <c r="H875" s="2" t="s">
        <v>651</v>
      </c>
      <c r="I875" s="2" t="s">
        <v>652</v>
      </c>
      <c r="J875" s="2" t="s">
        <v>936</v>
      </c>
      <c r="K875" s="2" t="s">
        <v>7</v>
      </c>
      <c r="L875" s="2" t="s">
        <v>653</v>
      </c>
      <c r="M875" s="2" t="s">
        <v>37</v>
      </c>
      <c r="N875" s="2" t="s">
        <v>432</v>
      </c>
    </row>
    <row r="876" ht="15.75" customHeight="1">
      <c r="A876" s="7"/>
      <c r="B876" s="7"/>
      <c r="C876" s="7"/>
      <c r="D876" s="7"/>
    </row>
    <row r="877" ht="15.75" customHeight="1">
      <c r="A877" s="7"/>
      <c r="B877" s="7"/>
      <c r="C877" s="7"/>
      <c r="D877" s="7"/>
    </row>
    <row r="878" ht="15.75" customHeight="1">
      <c r="A878" s="7"/>
      <c r="B878" s="7"/>
      <c r="C878" s="7"/>
      <c r="D878" s="7"/>
    </row>
    <row r="879" ht="15.75" customHeight="1">
      <c r="A879" s="7"/>
      <c r="B879" s="7"/>
      <c r="C879" s="7"/>
      <c r="D879" s="7"/>
    </row>
    <row r="880" ht="15.75" customHeight="1">
      <c r="A880" s="7"/>
      <c r="B880" s="7"/>
      <c r="C880" s="7"/>
      <c r="D880" s="7"/>
    </row>
    <row r="881" ht="15.75" customHeight="1">
      <c r="A881" s="7"/>
      <c r="B881" s="7"/>
      <c r="C881" s="7"/>
      <c r="D881" s="7"/>
    </row>
    <row r="882" ht="15.75" customHeight="1">
      <c r="A882" s="7"/>
      <c r="B882" s="7"/>
      <c r="C882" s="7"/>
      <c r="D882" s="7"/>
    </row>
    <row r="883" ht="15.75" customHeight="1">
      <c r="A883" s="7"/>
      <c r="B883" s="7"/>
      <c r="C883" s="7"/>
      <c r="D883" s="7"/>
    </row>
    <row r="884" ht="15.75" customHeight="1">
      <c r="A884" s="7"/>
      <c r="B884" s="7"/>
      <c r="C884" s="5"/>
      <c r="D884" s="7"/>
      <c r="F884" s="2" t="s">
        <v>654</v>
      </c>
      <c r="G884" s="2" t="s">
        <v>655</v>
      </c>
      <c r="H884" s="2" t="s">
        <v>656</v>
      </c>
      <c r="I884" s="2" t="s">
        <v>657</v>
      </c>
      <c r="J884" s="2" t="s">
        <v>50</v>
      </c>
      <c r="K884" s="2" t="s">
        <v>7</v>
      </c>
      <c r="L884" s="2" t="s">
        <v>966</v>
      </c>
      <c r="M884" s="2" t="s">
        <v>37</v>
      </c>
      <c r="N884" s="2" t="s">
        <v>146</v>
      </c>
    </row>
    <row r="885" ht="15.75" customHeight="1">
      <c r="A885" s="7"/>
      <c r="B885" s="7"/>
      <c r="C885" s="7"/>
      <c r="D885" s="7"/>
    </row>
    <row r="886" ht="15.75" customHeight="1">
      <c r="A886" s="7"/>
      <c r="B886" s="7"/>
      <c r="C886" s="7"/>
      <c r="D886" s="7"/>
    </row>
    <row r="887" ht="15.75" customHeight="1">
      <c r="A887" s="7"/>
      <c r="B887" s="7"/>
      <c r="C887" s="7"/>
      <c r="D887" s="7"/>
    </row>
    <row r="888" ht="15.75" customHeight="1">
      <c r="A888" s="7"/>
      <c r="B888" s="7"/>
      <c r="C888" s="7"/>
      <c r="D888" s="7"/>
    </row>
    <row r="889" ht="15.75" customHeight="1">
      <c r="A889" s="7"/>
      <c r="B889" s="7"/>
      <c r="C889" s="7"/>
      <c r="D889" s="7"/>
    </row>
    <row r="890" ht="15.75" customHeight="1">
      <c r="A890" s="7"/>
      <c r="B890" s="7"/>
      <c r="C890" s="7"/>
      <c r="D890" s="7"/>
    </row>
    <row r="891" ht="15.75" customHeight="1">
      <c r="A891" s="7"/>
      <c r="B891" s="7"/>
      <c r="C891" s="7"/>
      <c r="D891" s="7"/>
    </row>
    <row r="892" ht="15.75" customHeight="1">
      <c r="A892" s="7"/>
      <c r="B892" s="7"/>
      <c r="C892" s="7"/>
      <c r="D892" s="7"/>
    </row>
    <row r="893" ht="15.75" customHeight="1">
      <c r="A893" s="7"/>
      <c r="B893" s="7"/>
      <c r="C893" s="5"/>
      <c r="D893" s="7"/>
      <c r="F893" s="2" t="s">
        <v>661</v>
      </c>
      <c r="G893" s="2" t="s">
        <v>662</v>
      </c>
      <c r="H893" s="2" t="s">
        <v>663</v>
      </c>
      <c r="I893" s="2" t="s">
        <v>664</v>
      </c>
      <c r="J893" s="2" t="s">
        <v>936</v>
      </c>
      <c r="K893" s="2" t="s">
        <v>7</v>
      </c>
      <c r="L893" s="2" t="s">
        <v>967</v>
      </c>
      <c r="M893" s="2" t="s">
        <v>9</v>
      </c>
      <c r="N893" s="2" t="s">
        <v>667</v>
      </c>
    </row>
    <row r="894" ht="15.75" customHeight="1">
      <c r="A894" s="7"/>
      <c r="B894" s="7"/>
      <c r="C894" s="7"/>
      <c r="D894" s="7"/>
    </row>
    <row r="895" ht="15.75" customHeight="1">
      <c r="A895" s="7"/>
      <c r="B895" s="7"/>
      <c r="C895" s="7"/>
      <c r="D895" s="7"/>
    </row>
    <row r="896" ht="15.75" customHeight="1">
      <c r="A896" s="7"/>
      <c r="B896" s="7"/>
      <c r="C896" s="7"/>
      <c r="D896" s="7"/>
    </row>
    <row r="897" ht="15.75" customHeight="1">
      <c r="A897" s="7"/>
      <c r="B897" s="7"/>
      <c r="C897" s="7"/>
      <c r="D897" s="7"/>
    </row>
    <row r="898" ht="15.75" customHeight="1">
      <c r="A898" s="7"/>
      <c r="B898" s="7"/>
      <c r="C898" s="7"/>
      <c r="D898" s="7"/>
    </row>
    <row r="899" ht="15.75" customHeight="1">
      <c r="A899" s="7"/>
      <c r="B899" s="7"/>
      <c r="C899" s="7"/>
      <c r="D899" s="7"/>
    </row>
    <row r="900" ht="15.75" customHeight="1">
      <c r="A900" s="7"/>
      <c r="B900" s="7"/>
      <c r="C900" s="7"/>
      <c r="D900" s="7"/>
    </row>
    <row r="901" ht="15.75" customHeight="1">
      <c r="A901" s="7"/>
      <c r="B901" s="7"/>
      <c r="C901" s="7"/>
      <c r="D901" s="7"/>
    </row>
    <row r="902" ht="15.75" customHeight="1">
      <c r="A902" s="7"/>
      <c r="B902" s="7"/>
      <c r="C902" s="5"/>
      <c r="D902" s="7"/>
      <c r="F902" s="2" t="s">
        <v>668</v>
      </c>
      <c r="G902" s="2" t="s">
        <v>669</v>
      </c>
      <c r="H902" s="2" t="s">
        <v>670</v>
      </c>
      <c r="I902" s="2" t="s">
        <v>671</v>
      </c>
      <c r="J902" s="2" t="s">
        <v>936</v>
      </c>
      <c r="K902" s="2" t="s">
        <v>7</v>
      </c>
      <c r="L902" s="2" t="s">
        <v>968</v>
      </c>
      <c r="M902" s="2" t="s">
        <v>37</v>
      </c>
      <c r="N902" s="2" t="s">
        <v>674</v>
      </c>
    </row>
    <row r="903" ht="15.75" customHeight="1">
      <c r="A903" s="7"/>
      <c r="B903" s="7"/>
      <c r="C903" s="7"/>
      <c r="D903" s="7"/>
    </row>
    <row r="904" ht="15.75" customHeight="1">
      <c r="A904" s="7"/>
      <c r="B904" s="7"/>
      <c r="C904" s="7"/>
      <c r="D904" s="7"/>
    </row>
    <row r="905" ht="15.75" customHeight="1">
      <c r="A905" s="7"/>
      <c r="B905" s="7"/>
      <c r="C905" s="7"/>
      <c r="D905" s="7"/>
    </row>
    <row r="906" ht="15.75" customHeight="1">
      <c r="A906" s="7"/>
      <c r="B906" s="7"/>
      <c r="C906" s="7"/>
      <c r="D906" s="7"/>
    </row>
    <row r="907" ht="15.75" customHeight="1">
      <c r="A907" s="7"/>
      <c r="B907" s="7"/>
      <c r="C907" s="7"/>
      <c r="D907" s="7"/>
    </row>
    <row r="908" ht="15.75" customHeight="1">
      <c r="A908" s="7"/>
      <c r="B908" s="7"/>
      <c r="C908" s="7"/>
      <c r="D908" s="7"/>
    </row>
    <row r="909" ht="15.75" customHeight="1">
      <c r="A909" s="7"/>
      <c r="B909" s="7"/>
      <c r="C909" s="7"/>
      <c r="D909" s="7"/>
    </row>
    <row r="910" ht="15.75" customHeight="1">
      <c r="A910" s="7"/>
      <c r="B910" s="7"/>
      <c r="C910" s="7"/>
      <c r="D910" s="7"/>
    </row>
    <row r="911" ht="15.75" customHeight="1">
      <c r="A911" s="7"/>
      <c r="B911" s="7"/>
      <c r="C911" s="5"/>
      <c r="D911" s="7"/>
      <c r="F911" s="2" t="s">
        <v>675</v>
      </c>
      <c r="G911" s="2" t="s">
        <v>676</v>
      </c>
      <c r="H911" s="2" t="s">
        <v>677</v>
      </c>
      <c r="I911" s="2" t="s">
        <v>678</v>
      </c>
      <c r="J911" s="2" t="s">
        <v>679</v>
      </c>
      <c r="K911" s="2" t="s">
        <v>7</v>
      </c>
      <c r="L911" s="2" t="s">
        <v>680</v>
      </c>
      <c r="M911" s="2" t="s">
        <v>37</v>
      </c>
      <c r="N911" s="2" t="s">
        <v>681</v>
      </c>
    </row>
    <row r="912" ht="15.75" customHeight="1">
      <c r="A912" s="7"/>
      <c r="B912" s="7"/>
      <c r="C912" s="7"/>
      <c r="D912" s="7"/>
    </row>
    <row r="913" ht="15.75" customHeight="1">
      <c r="A913" s="7"/>
      <c r="B913" s="7"/>
      <c r="C913" s="7"/>
      <c r="D913" s="7"/>
    </row>
    <row r="914" ht="15.75" customHeight="1">
      <c r="A914" s="7"/>
      <c r="B914" s="7"/>
      <c r="C914" s="7"/>
      <c r="D914" s="7"/>
    </row>
    <row r="915" ht="15.75" customHeight="1">
      <c r="A915" s="7"/>
      <c r="B915" s="7"/>
      <c r="C915" s="7"/>
      <c r="D915" s="7"/>
    </row>
    <row r="916" ht="15.75" customHeight="1">
      <c r="A916" s="7"/>
      <c r="B916" s="7"/>
      <c r="C916" s="7"/>
      <c r="D916" s="7"/>
    </row>
    <row r="917" ht="15.75" customHeight="1">
      <c r="A917" s="7"/>
      <c r="B917" s="7"/>
      <c r="C917" s="7"/>
      <c r="D917" s="7"/>
    </row>
    <row r="918" ht="15.75" customHeight="1">
      <c r="A918" s="7"/>
      <c r="B918" s="7"/>
      <c r="C918" s="7"/>
      <c r="D918" s="7"/>
    </row>
    <row r="919" ht="15.75" customHeight="1">
      <c r="A919" s="7"/>
      <c r="B919" s="7"/>
      <c r="C919" s="7"/>
      <c r="D919" s="7"/>
    </row>
    <row r="920" ht="15.75" customHeight="1">
      <c r="A920" s="7"/>
      <c r="B920" s="7"/>
      <c r="C920" s="5"/>
      <c r="D920" s="7"/>
      <c r="F920" s="2" t="s">
        <v>682</v>
      </c>
      <c r="G920" s="2" t="s">
        <v>683</v>
      </c>
      <c r="H920" s="2" t="s">
        <v>684</v>
      </c>
      <c r="I920" s="2" t="s">
        <v>969</v>
      </c>
      <c r="J920" s="2" t="s">
        <v>687</v>
      </c>
      <c r="K920" s="2" t="s">
        <v>7</v>
      </c>
      <c r="L920" s="2" t="s">
        <v>688</v>
      </c>
      <c r="M920" s="2" t="s">
        <v>37</v>
      </c>
      <c r="N920" s="2" t="s">
        <v>138</v>
      </c>
    </row>
    <row r="921" ht="15.75" customHeight="1">
      <c r="A921" s="7"/>
      <c r="B921" s="7"/>
      <c r="C921" s="7"/>
      <c r="D921" s="7"/>
    </row>
    <row r="922" ht="15.75" customHeight="1">
      <c r="A922" s="7"/>
      <c r="B922" s="7"/>
      <c r="C922" s="7"/>
      <c r="D922" s="7"/>
    </row>
    <row r="923" ht="15.75" customHeight="1">
      <c r="A923" s="7"/>
      <c r="B923" s="7"/>
      <c r="C923" s="7"/>
      <c r="D923" s="7"/>
    </row>
    <row r="924" ht="15.75" customHeight="1">
      <c r="A924" s="7"/>
      <c r="B924" s="7"/>
      <c r="C924" s="7"/>
      <c r="D924" s="7"/>
    </row>
    <row r="925" ht="15.75" customHeight="1">
      <c r="A925" s="7"/>
      <c r="B925" s="7"/>
      <c r="C925" s="7"/>
      <c r="D925" s="7"/>
    </row>
    <row r="926" ht="15.75" customHeight="1">
      <c r="A926" s="7"/>
      <c r="B926" s="7"/>
      <c r="C926" s="7"/>
      <c r="D926" s="7"/>
    </row>
    <row r="927" ht="15.75" customHeight="1">
      <c r="A927" s="7"/>
      <c r="B927" s="7"/>
      <c r="C927" s="7"/>
      <c r="D927" s="7"/>
    </row>
    <row r="928" ht="15.75" customHeight="1">
      <c r="A928" s="7"/>
      <c r="B928" s="7"/>
      <c r="C928" s="7"/>
      <c r="D928" s="7"/>
    </row>
    <row r="929" ht="15.75" customHeight="1">
      <c r="A929" s="7"/>
      <c r="B929" s="7"/>
      <c r="C929" s="5"/>
      <c r="D929" s="7"/>
      <c r="F929" s="2" t="s">
        <v>689</v>
      </c>
      <c r="G929" s="2" t="s">
        <v>690</v>
      </c>
      <c r="H929" s="2" t="s">
        <v>691</v>
      </c>
      <c r="I929" s="2" t="s">
        <v>692</v>
      </c>
      <c r="J929" s="2" t="s">
        <v>50</v>
      </c>
      <c r="K929" s="2" t="s">
        <v>7</v>
      </c>
      <c r="L929" s="2" t="s">
        <v>693</v>
      </c>
      <c r="M929" s="2" t="s">
        <v>37</v>
      </c>
      <c r="N929" s="2" t="s">
        <v>636</v>
      </c>
    </row>
    <row r="930" ht="15.75" customHeight="1">
      <c r="A930" s="7"/>
      <c r="B930" s="7"/>
      <c r="C930" s="7"/>
      <c r="D930" s="7"/>
    </row>
    <row r="931" ht="15.75" customHeight="1">
      <c r="A931" s="7"/>
      <c r="B931" s="7"/>
      <c r="C931" s="7"/>
      <c r="D931" s="7"/>
    </row>
    <row r="932" ht="15.75" customHeight="1">
      <c r="A932" s="7"/>
      <c r="B932" s="7"/>
      <c r="C932" s="7"/>
      <c r="D932" s="7"/>
    </row>
    <row r="933" ht="15.75" customHeight="1">
      <c r="A933" s="7"/>
      <c r="B933" s="7"/>
      <c r="C933" s="7"/>
      <c r="D933" s="7"/>
    </row>
    <row r="934" ht="15.75" customHeight="1">
      <c r="A934" s="7"/>
      <c r="B934" s="7"/>
      <c r="C934" s="7"/>
      <c r="D934" s="7"/>
    </row>
    <row r="935" ht="15.75" customHeight="1">
      <c r="A935" s="7"/>
      <c r="B935" s="7"/>
      <c r="C935" s="7"/>
      <c r="D935" s="7"/>
    </row>
    <row r="936" ht="15.75" customHeight="1">
      <c r="A936" s="7"/>
      <c r="B936" s="7"/>
      <c r="C936" s="7"/>
      <c r="D936" s="7"/>
    </row>
    <row r="937" ht="15.75" customHeight="1">
      <c r="A937" s="7"/>
      <c r="B937" s="7"/>
      <c r="C937" s="7"/>
      <c r="D937" s="7"/>
    </row>
    <row r="938" ht="15.75" customHeight="1">
      <c r="A938" s="7"/>
      <c r="B938" s="7"/>
      <c r="C938" s="5"/>
      <c r="D938" s="7"/>
      <c r="F938" s="2" t="s">
        <v>694</v>
      </c>
      <c r="G938" s="2" t="s">
        <v>695</v>
      </c>
      <c r="H938" s="2" t="s">
        <v>696</v>
      </c>
      <c r="I938" s="2" t="s">
        <v>697</v>
      </c>
      <c r="J938" s="2" t="s">
        <v>698</v>
      </c>
      <c r="K938" s="2" t="s">
        <v>7</v>
      </c>
      <c r="L938" s="2" t="s">
        <v>970</v>
      </c>
      <c r="M938" s="2" t="s">
        <v>37</v>
      </c>
      <c r="N938" s="2" t="s">
        <v>161</v>
      </c>
    </row>
    <row r="939" ht="15.75" customHeight="1">
      <c r="A939" s="7"/>
      <c r="B939" s="7"/>
      <c r="C939" s="7"/>
      <c r="D939" s="7"/>
    </row>
    <row r="940" ht="15.75" customHeight="1">
      <c r="A940" s="7"/>
      <c r="B940" s="7"/>
      <c r="C940" s="7"/>
      <c r="D940" s="7"/>
    </row>
    <row r="941" ht="15.75" customHeight="1">
      <c r="A941" s="7"/>
      <c r="B941" s="7"/>
      <c r="C941" s="7"/>
      <c r="D941" s="7"/>
    </row>
    <row r="942" ht="15.75" customHeight="1">
      <c r="A942" s="7"/>
      <c r="B942" s="7"/>
      <c r="C942" s="7"/>
      <c r="D942" s="7"/>
    </row>
    <row r="943" ht="15.75" customHeight="1">
      <c r="A943" s="7"/>
      <c r="B943" s="7"/>
      <c r="C943" s="7"/>
      <c r="D943" s="7"/>
    </row>
    <row r="944" ht="15.75" customHeight="1">
      <c r="A944" s="7"/>
      <c r="B944" s="7"/>
      <c r="C944" s="7"/>
      <c r="D944" s="7"/>
    </row>
    <row r="945" ht="15.75" customHeight="1">
      <c r="A945" s="7"/>
      <c r="B945" s="7"/>
      <c r="C945" s="7"/>
      <c r="D945" s="7"/>
    </row>
    <row r="946" ht="15.75" customHeight="1">
      <c r="A946" s="7"/>
      <c r="B946" s="7"/>
      <c r="C946" s="7"/>
      <c r="D946" s="7"/>
    </row>
    <row r="947" ht="15.75" customHeight="1">
      <c r="A947" s="7"/>
      <c r="B947" s="7"/>
      <c r="C947" s="5"/>
      <c r="D947" s="7"/>
      <c r="F947" s="2" t="s">
        <v>701</v>
      </c>
      <c r="G947" s="2" t="s">
        <v>702</v>
      </c>
      <c r="H947" s="2" t="s">
        <v>703</v>
      </c>
      <c r="I947" s="2" t="s">
        <v>704</v>
      </c>
      <c r="J947" s="2" t="s">
        <v>705</v>
      </c>
      <c r="K947" s="2" t="s">
        <v>7</v>
      </c>
      <c r="L947" s="2" t="s">
        <v>706</v>
      </c>
      <c r="M947" s="2" t="s">
        <v>37</v>
      </c>
      <c r="N947" s="2" t="s">
        <v>161</v>
      </c>
    </row>
    <row r="948" ht="15.75" customHeight="1">
      <c r="A948" s="7"/>
      <c r="B948" s="7"/>
      <c r="C948" s="7"/>
      <c r="D948" s="7"/>
    </row>
    <row r="949" ht="15.75" customHeight="1">
      <c r="A949" s="7"/>
      <c r="B949" s="7"/>
      <c r="C949" s="7"/>
      <c r="D949" s="7"/>
    </row>
    <row r="950" ht="15.75" customHeight="1">
      <c r="A950" s="7"/>
      <c r="B950" s="7"/>
      <c r="C950" s="7"/>
      <c r="D950" s="7"/>
    </row>
    <row r="951" ht="15.75" customHeight="1">
      <c r="A951" s="7"/>
      <c r="B951" s="7"/>
      <c r="C951" s="7"/>
      <c r="D951" s="7"/>
    </row>
    <row r="952" ht="15.75" customHeight="1">
      <c r="A952" s="7"/>
      <c r="B952" s="7"/>
      <c r="C952" s="7"/>
      <c r="D952" s="7"/>
    </row>
    <row r="953" ht="15.75" customHeight="1">
      <c r="A953" s="7"/>
      <c r="B953" s="7"/>
      <c r="C953" s="7"/>
      <c r="D953" s="7"/>
    </row>
    <row r="954" ht="15.75" customHeight="1">
      <c r="A954" s="7"/>
      <c r="B954" s="7"/>
      <c r="C954" s="7"/>
      <c r="D954" s="7"/>
    </row>
    <row r="955" ht="15.75" customHeight="1">
      <c r="A955" s="7"/>
      <c r="B955" s="7"/>
      <c r="C955" s="7"/>
      <c r="D955" s="7"/>
    </row>
    <row r="956" ht="15.75" customHeight="1">
      <c r="A956" s="7"/>
      <c r="B956" s="7"/>
      <c r="C956" s="5"/>
      <c r="D956" s="7"/>
      <c r="F956" s="2" t="s">
        <v>707</v>
      </c>
      <c r="G956" s="2" t="s">
        <v>708</v>
      </c>
      <c r="H956" s="2" t="s">
        <v>709</v>
      </c>
      <c r="I956" s="2" t="s">
        <v>710</v>
      </c>
      <c r="J956" s="2" t="s">
        <v>711</v>
      </c>
      <c r="K956" s="2" t="s">
        <v>44</v>
      </c>
      <c r="L956" s="2" t="s">
        <v>712</v>
      </c>
      <c r="M956" s="2" t="s">
        <v>9</v>
      </c>
      <c r="N956" s="2" t="s">
        <v>146</v>
      </c>
    </row>
    <row r="957" ht="15.75" customHeight="1">
      <c r="A957" s="7"/>
      <c r="B957" s="7"/>
      <c r="C957" s="7"/>
      <c r="D957" s="7"/>
    </row>
    <row r="958" ht="15.75" customHeight="1">
      <c r="A958" s="7"/>
      <c r="B958" s="7"/>
      <c r="C958" s="7"/>
      <c r="D958" s="7"/>
    </row>
    <row r="959" ht="15.75" customHeight="1">
      <c r="A959" s="7"/>
      <c r="B959" s="7"/>
      <c r="C959" s="7"/>
      <c r="D959" s="7"/>
    </row>
    <row r="960" ht="15.75" customHeight="1">
      <c r="A960" s="7"/>
      <c r="B960" s="7"/>
      <c r="C960" s="7"/>
      <c r="D960" s="7"/>
    </row>
    <row r="961" ht="15.75" customHeight="1">
      <c r="A961" s="7"/>
      <c r="B961" s="7"/>
      <c r="C961" s="7"/>
      <c r="D961" s="7"/>
    </row>
    <row r="962" ht="15.75" customHeight="1">
      <c r="A962" s="7"/>
      <c r="B962" s="7"/>
      <c r="C962" s="7"/>
      <c r="D962" s="7"/>
    </row>
    <row r="963" ht="15.75" customHeight="1">
      <c r="A963" s="7"/>
      <c r="B963" s="7"/>
      <c r="C963" s="7"/>
      <c r="D963" s="7"/>
    </row>
    <row r="964" ht="15.75" customHeight="1">
      <c r="A964" s="7"/>
      <c r="B964" s="7"/>
      <c r="C964" s="7"/>
      <c r="D964" s="7"/>
    </row>
    <row r="965" ht="15.75" customHeight="1">
      <c r="A965" s="7"/>
      <c r="B965" s="7"/>
      <c r="C965" s="5"/>
      <c r="D965" s="7"/>
      <c r="F965" s="2" t="s">
        <v>713</v>
      </c>
      <c r="G965" s="2" t="s">
        <v>714</v>
      </c>
      <c r="H965" s="2" t="s">
        <v>715</v>
      </c>
      <c r="I965" s="2" t="s">
        <v>716</v>
      </c>
      <c r="J965" s="2" t="s">
        <v>936</v>
      </c>
      <c r="K965" s="2" t="s">
        <v>44</v>
      </c>
      <c r="L965" s="2" t="s">
        <v>717</v>
      </c>
      <c r="M965" s="2" t="s">
        <v>9</v>
      </c>
      <c r="N965" s="2" t="s">
        <v>718</v>
      </c>
    </row>
    <row r="966" ht="15.75" customHeight="1">
      <c r="A966" s="7"/>
      <c r="B966" s="7"/>
      <c r="C966" s="7"/>
      <c r="D966" s="7"/>
    </row>
    <row r="967" ht="15.75" customHeight="1">
      <c r="A967" s="7"/>
      <c r="B967" s="7"/>
      <c r="C967" s="7"/>
      <c r="D967" s="7"/>
    </row>
    <row r="968" ht="15.75" customHeight="1">
      <c r="A968" s="7"/>
      <c r="B968" s="7"/>
      <c r="C968" s="7"/>
      <c r="D968" s="7"/>
    </row>
    <row r="969" ht="15.75" customHeight="1">
      <c r="A969" s="7"/>
      <c r="B969" s="7"/>
      <c r="C969" s="7"/>
      <c r="D969" s="7"/>
    </row>
    <row r="970" ht="15.75" customHeight="1">
      <c r="A970" s="7"/>
      <c r="B970" s="7"/>
      <c r="C970" s="7"/>
      <c r="D970" s="7"/>
    </row>
    <row r="971" ht="15.75" customHeight="1">
      <c r="A971" s="7"/>
      <c r="B971" s="7"/>
      <c r="C971" s="7"/>
      <c r="D971" s="7"/>
    </row>
    <row r="972" ht="15.75" customHeight="1">
      <c r="A972" s="7"/>
      <c r="B972" s="7"/>
      <c r="C972" s="7"/>
      <c r="D972" s="7"/>
    </row>
    <row r="973" ht="15.75" customHeight="1">
      <c r="A973" s="7"/>
      <c r="B973" s="7"/>
      <c r="C973" s="7"/>
      <c r="D973" s="7"/>
    </row>
    <row r="974" ht="15.75" customHeight="1">
      <c r="A974" s="7"/>
      <c r="B974" s="7"/>
      <c r="C974" s="5"/>
      <c r="D974" s="7"/>
      <c r="F974" s="2" t="s">
        <v>719</v>
      </c>
      <c r="G974" s="2" t="s">
        <v>720</v>
      </c>
      <c r="H974" s="2" t="s">
        <v>721</v>
      </c>
      <c r="I974" s="2" t="s">
        <v>722</v>
      </c>
      <c r="J974" s="2" t="s">
        <v>723</v>
      </c>
      <c r="K974" s="2" t="s">
        <v>7</v>
      </c>
      <c r="L974" s="2" t="s">
        <v>724</v>
      </c>
      <c r="M974" s="2" t="s">
        <v>9</v>
      </c>
      <c r="N974" s="2" t="s">
        <v>346</v>
      </c>
    </row>
    <row r="975" ht="15.75" customHeight="1">
      <c r="A975" s="7"/>
      <c r="B975" s="7"/>
      <c r="C975" s="7"/>
      <c r="D975" s="7"/>
    </row>
    <row r="976" ht="15.75" customHeight="1">
      <c r="A976" s="7"/>
      <c r="B976" s="7"/>
      <c r="C976" s="7"/>
      <c r="D976" s="7"/>
    </row>
    <row r="977" ht="15.75" customHeight="1">
      <c r="A977" s="7"/>
      <c r="B977" s="7"/>
      <c r="C977" s="7"/>
      <c r="D977" s="7"/>
    </row>
    <row r="978" ht="15.75" customHeight="1">
      <c r="A978" s="7"/>
      <c r="B978" s="7"/>
      <c r="C978" s="7"/>
      <c r="D978" s="7"/>
    </row>
    <row r="979" ht="15.75" customHeight="1">
      <c r="A979" s="7"/>
      <c r="B979" s="7"/>
      <c r="C979" s="7"/>
      <c r="D979" s="7"/>
    </row>
    <row r="980" ht="15.75" customHeight="1">
      <c r="A980" s="7"/>
      <c r="B980" s="7"/>
      <c r="C980" s="7"/>
      <c r="D980" s="7"/>
    </row>
    <row r="981" ht="15.75" customHeight="1">
      <c r="A981" s="7"/>
      <c r="B981" s="7"/>
      <c r="C981" s="7"/>
      <c r="D981" s="7"/>
    </row>
    <row r="982" ht="15.75" customHeight="1">
      <c r="A982" s="7"/>
      <c r="B982" s="7"/>
      <c r="C982" s="7"/>
      <c r="D982" s="7"/>
    </row>
    <row r="983" ht="15.75" customHeight="1">
      <c r="A983" s="7"/>
      <c r="B983" s="7"/>
      <c r="C983" s="5"/>
      <c r="D983" s="7"/>
      <c r="F983" s="2" t="s">
        <v>725</v>
      </c>
      <c r="G983" s="2" t="s">
        <v>726</v>
      </c>
      <c r="H983" s="2" t="s">
        <v>727</v>
      </c>
      <c r="I983" s="2" t="s">
        <v>728</v>
      </c>
      <c r="J983" s="2" t="s">
        <v>936</v>
      </c>
      <c r="K983" s="2" t="s">
        <v>7</v>
      </c>
      <c r="L983" s="2" t="s">
        <v>729</v>
      </c>
      <c r="M983" s="2" t="s">
        <v>9</v>
      </c>
      <c r="N983" s="2" t="s">
        <v>730</v>
      </c>
    </row>
    <row r="984" ht="15.75" customHeight="1">
      <c r="A984" s="7"/>
      <c r="B984" s="7"/>
      <c r="C984" s="7"/>
      <c r="D984" s="7"/>
    </row>
    <row r="985" ht="15.75" customHeight="1">
      <c r="A985" s="7"/>
      <c r="B985" s="7"/>
      <c r="C985" s="7"/>
      <c r="D985" s="7"/>
    </row>
    <row r="986" ht="15.75" customHeight="1">
      <c r="A986" s="7"/>
      <c r="B986" s="7"/>
      <c r="C986" s="7"/>
      <c r="D986" s="7"/>
    </row>
    <row r="987" ht="15.75" customHeight="1">
      <c r="A987" s="7"/>
      <c r="B987" s="7"/>
      <c r="C987" s="7"/>
      <c r="D987" s="7"/>
    </row>
    <row r="988" ht="15.75" customHeight="1">
      <c r="A988" s="7"/>
      <c r="B988" s="7"/>
      <c r="C988" s="7"/>
      <c r="D988" s="7"/>
    </row>
    <row r="989" ht="15.75" customHeight="1">
      <c r="A989" s="7"/>
      <c r="B989" s="7"/>
      <c r="C989" s="7"/>
      <c r="D989" s="7"/>
    </row>
    <row r="990" ht="15.75" customHeight="1">
      <c r="A990" s="7"/>
      <c r="B990" s="7"/>
      <c r="C990" s="7"/>
      <c r="D990" s="7"/>
    </row>
    <row r="991" ht="15.75" customHeight="1">
      <c r="A991" s="7"/>
      <c r="B991" s="7"/>
      <c r="C991" s="7"/>
      <c r="D991" s="7"/>
    </row>
    <row r="992" ht="15.75" customHeight="1">
      <c r="A992" s="7"/>
      <c r="B992" s="7"/>
      <c r="C992" s="5"/>
      <c r="D992" s="7"/>
      <c r="F992" s="2" t="s">
        <v>731</v>
      </c>
      <c r="G992" s="2" t="s">
        <v>732</v>
      </c>
      <c r="H992" s="2" t="s">
        <v>733</v>
      </c>
      <c r="I992" s="2" t="s">
        <v>734</v>
      </c>
      <c r="J992" s="2" t="s">
        <v>735</v>
      </c>
      <c r="K992" s="2" t="s">
        <v>7</v>
      </c>
      <c r="L992" s="2" t="s">
        <v>736</v>
      </c>
      <c r="M992" s="2" t="s">
        <v>9</v>
      </c>
      <c r="N992" s="2" t="s">
        <v>737</v>
      </c>
    </row>
    <row r="993" ht="15.75" customHeight="1">
      <c r="A993" s="7"/>
      <c r="B993" s="7"/>
      <c r="C993" s="7"/>
      <c r="D993" s="7"/>
    </row>
    <row r="994" ht="15.75" customHeight="1">
      <c r="A994" s="7"/>
      <c r="B994" s="7"/>
      <c r="C994" s="7"/>
      <c r="D994" s="7"/>
    </row>
    <row r="995" ht="15.75" customHeight="1">
      <c r="A995" s="7"/>
      <c r="B995" s="7"/>
      <c r="C995" s="7"/>
      <c r="D995" s="7"/>
    </row>
    <row r="996" ht="15.75" customHeight="1">
      <c r="A996" s="7"/>
      <c r="B996" s="7"/>
      <c r="C996" s="7"/>
      <c r="D996" s="7"/>
    </row>
    <row r="997" ht="15.75" customHeight="1">
      <c r="A997" s="7"/>
      <c r="B997" s="7"/>
      <c r="C997" s="7"/>
      <c r="D997" s="7"/>
    </row>
    <row r="998" ht="15.75" customHeight="1">
      <c r="A998" s="7"/>
      <c r="B998" s="7"/>
      <c r="C998" s="7"/>
      <c r="D998" s="7"/>
    </row>
    <row r="999" ht="15.75" customHeight="1">
      <c r="A999" s="7"/>
      <c r="B999" s="7"/>
      <c r="C999" s="7"/>
      <c r="D999" s="7"/>
    </row>
    <row r="1000" ht="15.75" customHeight="1">
      <c r="A1000" s="7"/>
      <c r="B1000" s="7"/>
      <c r="C1000" s="7"/>
      <c r="D1000" s="7"/>
    </row>
    <row r="1001" ht="15.75" customHeight="1">
      <c r="A1001" s="7"/>
      <c r="B1001" s="7"/>
      <c r="C1001" s="5"/>
      <c r="D1001" s="7"/>
      <c r="F1001" s="2" t="s">
        <v>738</v>
      </c>
      <c r="G1001" s="2" t="s">
        <v>739</v>
      </c>
      <c r="H1001" s="2" t="s">
        <v>740</v>
      </c>
      <c r="I1001" s="2" t="s">
        <v>741</v>
      </c>
      <c r="J1001" s="2" t="s">
        <v>936</v>
      </c>
      <c r="K1001" s="2" t="s">
        <v>7</v>
      </c>
      <c r="L1001" s="2" t="s">
        <v>971</v>
      </c>
      <c r="M1001" s="2" t="s">
        <v>9</v>
      </c>
      <c r="N1001" s="2" t="s">
        <v>146</v>
      </c>
    </row>
    <row r="1002" ht="15.75" customHeight="1">
      <c r="A1002" s="7"/>
      <c r="B1002" s="7"/>
      <c r="C1002" s="7"/>
      <c r="D1002" s="7"/>
    </row>
    <row r="1003" ht="15.75" customHeight="1">
      <c r="A1003" s="7"/>
      <c r="B1003" s="7"/>
      <c r="C1003" s="7"/>
      <c r="D1003" s="7"/>
    </row>
    <row r="1004" ht="15.75" customHeight="1">
      <c r="A1004" s="7"/>
      <c r="B1004" s="7"/>
      <c r="C1004" s="7"/>
      <c r="D1004" s="7"/>
    </row>
    <row r="1005" ht="15.75" customHeight="1">
      <c r="A1005" s="7"/>
      <c r="B1005" s="7"/>
      <c r="C1005" s="7"/>
      <c r="D1005" s="7"/>
    </row>
    <row r="1006" ht="15.75" customHeight="1">
      <c r="A1006" s="7"/>
      <c r="B1006" s="7"/>
      <c r="C1006" s="7"/>
      <c r="D1006" s="7"/>
    </row>
    <row r="1007" ht="15.75" customHeight="1">
      <c r="A1007" s="7"/>
      <c r="B1007" s="7"/>
      <c r="C1007" s="7"/>
      <c r="D1007" s="7"/>
    </row>
    <row r="1008" ht="15.75" customHeight="1">
      <c r="A1008" s="7"/>
      <c r="B1008" s="7"/>
      <c r="C1008" s="7"/>
      <c r="D1008" s="7"/>
    </row>
    <row r="1009" ht="15.75" customHeight="1">
      <c r="A1009" s="7"/>
      <c r="B1009" s="7"/>
      <c r="C1009" s="7"/>
      <c r="D1009" s="7"/>
    </row>
    <row r="1010" ht="15.75" customHeight="1">
      <c r="A1010" s="7"/>
      <c r="B1010" s="7"/>
      <c r="C1010" s="5"/>
      <c r="D1010" s="7"/>
      <c r="F1010" s="2" t="s">
        <v>744</v>
      </c>
      <c r="G1010" s="2" t="s">
        <v>745</v>
      </c>
      <c r="H1010" s="2" t="s">
        <v>746</v>
      </c>
      <c r="I1010" s="2" t="s">
        <v>747</v>
      </c>
      <c r="J1010" s="2" t="s">
        <v>748</v>
      </c>
      <c r="K1010" s="2" t="s">
        <v>7</v>
      </c>
      <c r="L1010" s="2" t="s">
        <v>972</v>
      </c>
      <c r="M1010" s="2" t="s">
        <v>9</v>
      </c>
      <c r="N1010" s="2" t="s">
        <v>752</v>
      </c>
    </row>
    <row r="1011" ht="15.75" customHeight="1">
      <c r="A1011" s="7"/>
      <c r="B1011" s="7"/>
      <c r="C1011" s="7"/>
      <c r="D1011" s="7"/>
    </row>
    <row r="1012" ht="15.75" customHeight="1">
      <c r="A1012" s="7"/>
      <c r="B1012" s="7"/>
      <c r="C1012" s="7"/>
      <c r="D1012" s="7"/>
    </row>
    <row r="1013" ht="15.75" customHeight="1">
      <c r="A1013" s="7"/>
      <c r="B1013" s="7"/>
      <c r="C1013" s="7"/>
      <c r="D1013" s="7"/>
    </row>
    <row r="1014" ht="15.75" customHeight="1">
      <c r="A1014" s="7"/>
      <c r="B1014" s="7"/>
      <c r="C1014" s="7"/>
      <c r="D1014" s="7"/>
    </row>
    <row r="1015" ht="15.75" customHeight="1">
      <c r="A1015" s="7"/>
      <c r="B1015" s="7"/>
      <c r="C1015" s="7"/>
      <c r="D1015" s="7"/>
    </row>
    <row r="1016" ht="15.75" customHeight="1">
      <c r="A1016" s="7"/>
      <c r="B1016" s="7"/>
      <c r="C1016" s="7"/>
      <c r="D1016" s="7"/>
    </row>
    <row r="1017" ht="15.75" customHeight="1">
      <c r="A1017" s="7"/>
      <c r="B1017" s="7"/>
      <c r="C1017" s="7"/>
      <c r="D1017" s="7"/>
    </row>
    <row r="1018" ht="15.75" customHeight="1">
      <c r="A1018" s="7"/>
      <c r="B1018" s="7"/>
      <c r="C1018" s="7"/>
      <c r="D1018" s="7"/>
    </row>
    <row r="1019" ht="15.75" customHeight="1">
      <c r="A1019" s="7"/>
      <c r="B1019" s="7"/>
      <c r="C1019" s="5"/>
      <c r="D1019" s="7"/>
      <c r="F1019" s="2" t="s">
        <v>753</v>
      </c>
      <c r="G1019" s="2" t="s">
        <v>754</v>
      </c>
      <c r="H1019" s="2" t="s">
        <v>755</v>
      </c>
      <c r="I1019" s="2" t="s">
        <v>756</v>
      </c>
      <c r="J1019" s="2" t="s">
        <v>936</v>
      </c>
      <c r="K1019" s="2" t="s">
        <v>7</v>
      </c>
      <c r="L1019" s="2" t="s">
        <v>973</v>
      </c>
      <c r="M1019" s="2" t="s">
        <v>9</v>
      </c>
      <c r="N1019" s="2" t="s">
        <v>759</v>
      </c>
    </row>
    <row r="1020" ht="15.75" customHeight="1">
      <c r="A1020" s="7"/>
      <c r="B1020" s="7"/>
      <c r="C1020" s="7"/>
      <c r="D1020" s="7"/>
    </row>
    <row r="1021" ht="15.75" customHeight="1">
      <c r="A1021" s="7"/>
      <c r="B1021" s="7"/>
      <c r="C1021" s="7"/>
      <c r="D1021" s="7"/>
    </row>
    <row r="1022" ht="15.75" customHeight="1">
      <c r="A1022" s="7"/>
      <c r="B1022" s="7"/>
      <c r="C1022" s="7"/>
      <c r="D1022" s="7"/>
    </row>
    <row r="1023" ht="15.75" customHeight="1">
      <c r="A1023" s="7"/>
      <c r="B1023" s="7"/>
      <c r="C1023" s="7"/>
      <c r="D1023" s="7"/>
    </row>
    <row r="1024" ht="15.75" customHeight="1">
      <c r="A1024" s="7"/>
      <c r="B1024" s="7"/>
      <c r="C1024" s="7"/>
      <c r="D1024" s="7"/>
    </row>
    <row r="1025" ht="15.75" customHeight="1">
      <c r="A1025" s="7"/>
      <c r="B1025" s="7"/>
      <c r="C1025" s="7"/>
      <c r="D1025" s="7"/>
    </row>
    <row r="1026" ht="15.75" customHeight="1">
      <c r="A1026" s="7"/>
      <c r="B1026" s="7"/>
      <c r="C1026" s="7"/>
      <c r="D1026" s="7"/>
    </row>
    <row r="1027" ht="15.75" customHeight="1">
      <c r="A1027" s="7"/>
      <c r="B1027" s="7"/>
      <c r="C1027" s="7"/>
      <c r="D1027" s="7"/>
    </row>
    <row r="1028" ht="15.75" customHeight="1">
      <c r="A1028" s="7"/>
      <c r="B1028" s="7"/>
      <c r="C1028" s="5"/>
      <c r="D1028" s="7"/>
      <c r="F1028" s="2" t="s">
        <v>760</v>
      </c>
      <c r="G1028" s="2" t="s">
        <v>761</v>
      </c>
      <c r="H1028" s="2" t="s">
        <v>762</v>
      </c>
      <c r="I1028" s="2" t="s">
        <v>763</v>
      </c>
      <c r="J1028" s="2" t="s">
        <v>936</v>
      </c>
      <c r="K1028" s="2" t="s">
        <v>7</v>
      </c>
      <c r="L1028" s="2" t="s">
        <v>764</v>
      </c>
      <c r="M1028" s="2" t="s">
        <v>9</v>
      </c>
      <c r="N1028" s="2" t="s">
        <v>530</v>
      </c>
    </row>
    <row r="1029" ht="15.75" customHeight="1">
      <c r="A1029" s="7"/>
      <c r="B1029" s="7"/>
      <c r="C1029" s="7"/>
      <c r="D1029" s="7"/>
    </row>
    <row r="1030" ht="15.75" customHeight="1">
      <c r="A1030" s="7"/>
      <c r="B1030" s="7"/>
      <c r="C1030" s="7"/>
      <c r="D1030" s="7"/>
    </row>
    <row r="1031" ht="15.75" customHeight="1">
      <c r="A1031" s="7"/>
      <c r="B1031" s="7"/>
      <c r="C1031" s="7"/>
      <c r="D1031" s="7"/>
    </row>
    <row r="1032" ht="15.75" customHeight="1">
      <c r="A1032" s="7"/>
      <c r="B1032" s="7"/>
      <c r="C1032" s="7"/>
      <c r="D1032" s="7"/>
    </row>
    <row r="1033" ht="15.75" customHeight="1">
      <c r="A1033" s="7"/>
      <c r="B1033" s="7"/>
      <c r="C1033" s="7"/>
      <c r="D1033" s="7"/>
    </row>
    <row r="1034" ht="15.75" customHeight="1">
      <c r="A1034" s="7"/>
      <c r="B1034" s="7"/>
      <c r="C1034" s="7"/>
      <c r="D1034" s="7"/>
    </row>
    <row r="1035" ht="15.75" customHeight="1">
      <c r="A1035" s="7"/>
      <c r="B1035" s="7"/>
      <c r="C1035" s="7"/>
      <c r="D1035" s="7"/>
    </row>
    <row r="1036" ht="15.75" customHeight="1">
      <c r="A1036" s="7"/>
      <c r="B1036" s="7"/>
      <c r="C1036" s="7"/>
      <c r="D1036" s="7"/>
    </row>
    <row r="1037" ht="15.75" customHeight="1">
      <c r="A1037" s="7"/>
      <c r="B1037" s="7"/>
      <c r="C1037" s="5"/>
      <c r="D1037" s="7"/>
      <c r="F1037" s="2" t="s">
        <v>765</v>
      </c>
      <c r="G1037" s="2" t="s">
        <v>766</v>
      </c>
      <c r="H1037" s="2" t="s">
        <v>767</v>
      </c>
      <c r="I1037" s="2" t="s">
        <v>768</v>
      </c>
      <c r="J1037" s="2" t="s">
        <v>936</v>
      </c>
      <c r="K1037" s="2" t="s">
        <v>7</v>
      </c>
      <c r="L1037" s="2" t="s">
        <v>769</v>
      </c>
      <c r="M1037" s="2" t="s">
        <v>9</v>
      </c>
      <c r="N1037" s="2" t="s">
        <v>138</v>
      </c>
    </row>
    <row r="1038" ht="15.75" customHeight="1">
      <c r="A1038" s="7"/>
      <c r="B1038" s="7"/>
      <c r="C1038" s="7"/>
      <c r="D1038" s="7"/>
    </row>
    <row r="1039" ht="15.75" customHeight="1">
      <c r="A1039" s="7"/>
      <c r="B1039" s="7"/>
      <c r="C1039" s="7"/>
      <c r="D1039" s="7"/>
    </row>
    <row r="1040" ht="15.75" customHeight="1">
      <c r="A1040" s="7"/>
      <c r="B1040" s="7"/>
      <c r="C1040" s="7"/>
      <c r="D1040" s="7"/>
    </row>
    <row r="1041" ht="15.75" customHeight="1">
      <c r="A1041" s="7"/>
      <c r="B1041" s="7"/>
      <c r="C1041" s="7"/>
      <c r="D1041" s="7"/>
    </row>
    <row r="1042" ht="15.75" customHeight="1">
      <c r="A1042" s="7"/>
      <c r="B1042" s="7"/>
      <c r="C1042" s="7"/>
      <c r="D1042" s="7"/>
    </row>
    <row r="1043" ht="15.75" customHeight="1">
      <c r="A1043" s="7"/>
      <c r="B1043" s="7"/>
      <c r="C1043" s="7"/>
      <c r="D1043" s="7"/>
    </row>
    <row r="1044" ht="15.75" customHeight="1">
      <c r="A1044" s="7"/>
      <c r="B1044" s="7"/>
      <c r="C1044" s="7"/>
      <c r="D1044" s="7"/>
    </row>
    <row r="1045" ht="15.75" customHeight="1">
      <c r="A1045" s="7"/>
      <c r="B1045" s="7"/>
      <c r="C1045" s="7"/>
      <c r="D1045" s="7"/>
    </row>
    <row r="1046" ht="15.75" customHeight="1">
      <c r="A1046" s="7"/>
      <c r="B1046" s="7"/>
      <c r="C1046" s="5"/>
      <c r="D1046" s="7"/>
      <c r="F1046" s="2" t="s">
        <v>770</v>
      </c>
      <c r="G1046" s="2" t="s">
        <v>771</v>
      </c>
      <c r="H1046" s="2" t="s">
        <v>772</v>
      </c>
      <c r="I1046" s="2" t="s">
        <v>773</v>
      </c>
      <c r="J1046" s="2" t="s">
        <v>774</v>
      </c>
      <c r="K1046" s="2" t="s">
        <v>7</v>
      </c>
      <c r="L1046" s="2" t="s">
        <v>775</v>
      </c>
      <c r="M1046" s="2" t="s">
        <v>9</v>
      </c>
      <c r="N1046" s="2" t="s">
        <v>334</v>
      </c>
    </row>
    <row r="1047" ht="15.75" customHeight="1">
      <c r="A1047" s="7"/>
      <c r="B1047" s="7"/>
      <c r="C1047" s="7"/>
      <c r="D1047" s="7"/>
    </row>
    <row r="1048" ht="15.75" customHeight="1">
      <c r="A1048" s="7"/>
      <c r="B1048" s="7"/>
      <c r="C1048" s="7"/>
      <c r="D1048" s="7"/>
    </row>
    <row r="1049" ht="15.75" customHeight="1">
      <c r="A1049" s="7"/>
      <c r="B1049" s="7"/>
      <c r="C1049" s="7"/>
      <c r="D1049" s="7"/>
    </row>
    <row r="1050" ht="15.75" customHeight="1">
      <c r="A1050" s="7"/>
      <c r="B1050" s="7"/>
      <c r="C1050" s="7"/>
      <c r="D1050" s="7"/>
    </row>
    <row r="1051" ht="15.75" customHeight="1">
      <c r="A1051" s="7"/>
      <c r="B1051" s="7"/>
      <c r="C1051" s="7"/>
      <c r="D1051" s="7"/>
    </row>
    <row r="1052" ht="15.75" customHeight="1">
      <c r="A1052" s="7"/>
      <c r="B1052" s="7"/>
      <c r="C1052" s="7"/>
      <c r="D1052" s="7"/>
    </row>
    <row r="1053" ht="15.75" customHeight="1">
      <c r="A1053" s="7"/>
      <c r="B1053" s="7"/>
      <c r="C1053" s="7"/>
      <c r="D1053" s="7"/>
    </row>
    <row r="1054" ht="15.75" customHeight="1">
      <c r="A1054" s="7"/>
      <c r="B1054" s="7"/>
      <c r="C1054" s="7"/>
      <c r="D1054" s="7"/>
    </row>
    <row r="1055" ht="15.75" customHeight="1">
      <c r="A1055" s="7"/>
      <c r="B1055" s="7"/>
      <c r="C1055" s="5"/>
      <c r="D1055" s="7"/>
      <c r="F1055" s="2" t="s">
        <v>776</v>
      </c>
      <c r="G1055" s="2" t="s">
        <v>777</v>
      </c>
      <c r="H1055" s="2" t="s">
        <v>778</v>
      </c>
      <c r="I1055" s="2" t="s">
        <v>779</v>
      </c>
      <c r="J1055" s="2" t="s">
        <v>780</v>
      </c>
      <c r="K1055" s="2" t="s">
        <v>7</v>
      </c>
      <c r="L1055" s="2" t="s">
        <v>781</v>
      </c>
      <c r="M1055" s="2" t="s">
        <v>9</v>
      </c>
      <c r="N1055" s="2" t="s">
        <v>782</v>
      </c>
    </row>
    <row r="1056" ht="15.75" customHeight="1">
      <c r="A1056" s="7"/>
      <c r="B1056" s="7"/>
      <c r="C1056" s="7"/>
      <c r="D1056" s="7"/>
    </row>
    <row r="1057" ht="15.75" customHeight="1">
      <c r="A1057" s="7"/>
      <c r="B1057" s="7"/>
      <c r="C1057" s="7"/>
      <c r="D1057" s="7"/>
    </row>
    <row r="1058" ht="15.75" customHeight="1">
      <c r="A1058" s="7"/>
      <c r="B1058" s="7"/>
      <c r="C1058" s="7"/>
      <c r="D1058" s="7"/>
    </row>
    <row r="1059" ht="15.75" customHeight="1">
      <c r="A1059" s="7"/>
      <c r="B1059" s="7"/>
      <c r="C1059" s="7"/>
      <c r="D1059" s="7"/>
    </row>
    <row r="1060" ht="15.75" customHeight="1">
      <c r="A1060" s="7"/>
      <c r="B1060" s="7"/>
      <c r="C1060" s="7"/>
      <c r="D1060" s="7"/>
    </row>
    <row r="1061" ht="15.75" customHeight="1">
      <c r="A1061" s="7"/>
      <c r="B1061" s="7"/>
      <c r="C1061" s="7"/>
      <c r="D1061" s="7"/>
    </row>
    <row r="1062" ht="15.75" customHeight="1">
      <c r="A1062" s="7"/>
      <c r="B1062" s="7"/>
      <c r="C1062" s="7"/>
      <c r="D1062" s="7"/>
    </row>
    <row r="1063" ht="15.75" customHeight="1">
      <c r="A1063" s="7"/>
      <c r="B1063" s="7"/>
      <c r="C1063" s="7"/>
      <c r="D1063" s="7"/>
    </row>
    <row r="1064" ht="15.75" customHeight="1">
      <c r="A1064" s="7"/>
      <c r="B1064" s="7"/>
      <c r="C1064" s="5"/>
      <c r="D1064" s="7"/>
      <c r="F1064" s="2" t="s">
        <v>783</v>
      </c>
      <c r="G1064" s="2" t="s">
        <v>784</v>
      </c>
      <c r="H1064" s="2" t="s">
        <v>785</v>
      </c>
      <c r="I1064" s="2" t="s">
        <v>786</v>
      </c>
      <c r="J1064" s="2" t="s">
        <v>936</v>
      </c>
      <c r="K1064" s="2" t="s">
        <v>7</v>
      </c>
      <c r="L1064" s="2" t="s">
        <v>787</v>
      </c>
      <c r="M1064" s="2" t="s">
        <v>9</v>
      </c>
      <c r="N1064" s="2" t="s">
        <v>216</v>
      </c>
    </row>
    <row r="1065" ht="15.75" customHeight="1">
      <c r="A1065" s="7"/>
      <c r="B1065" s="7"/>
      <c r="C1065" s="7"/>
      <c r="D1065" s="7"/>
    </row>
    <row r="1066" ht="15.75" customHeight="1">
      <c r="A1066" s="7"/>
      <c r="B1066" s="7"/>
      <c r="C1066" s="7"/>
      <c r="D1066" s="7"/>
    </row>
    <row r="1067" ht="15.75" customHeight="1">
      <c r="A1067" s="7"/>
      <c r="B1067" s="7"/>
      <c r="C1067" s="7"/>
      <c r="D1067" s="7"/>
    </row>
    <row r="1068" ht="15.75" customHeight="1">
      <c r="A1068" s="7"/>
      <c r="B1068" s="7"/>
      <c r="C1068" s="7"/>
      <c r="D1068" s="7"/>
    </row>
    <row r="1069" ht="15.75" customHeight="1">
      <c r="A1069" s="7"/>
      <c r="B1069" s="7"/>
      <c r="C1069" s="7"/>
      <c r="D1069" s="7"/>
    </row>
    <row r="1070" ht="15.75" customHeight="1">
      <c r="A1070" s="7"/>
      <c r="B1070" s="7"/>
      <c r="C1070" s="7"/>
      <c r="D1070" s="7"/>
    </row>
    <row r="1071" ht="15.75" customHeight="1">
      <c r="A1071" s="7"/>
      <c r="B1071" s="7"/>
      <c r="C1071" s="7"/>
      <c r="D1071" s="7"/>
    </row>
    <row r="1072" ht="15.75" customHeight="1">
      <c r="A1072" s="7"/>
      <c r="B1072" s="7"/>
      <c r="C1072" s="7"/>
      <c r="D1072" s="7"/>
    </row>
    <row r="1073" ht="15.75" customHeight="1">
      <c r="A1073" s="7"/>
      <c r="B1073" s="7"/>
      <c r="C1073" s="5"/>
      <c r="D1073" s="7"/>
      <c r="F1073" s="2" t="s">
        <v>788</v>
      </c>
      <c r="G1073" s="2" t="s">
        <v>789</v>
      </c>
      <c r="H1073" s="2" t="s">
        <v>790</v>
      </c>
      <c r="I1073" s="2" t="s">
        <v>791</v>
      </c>
      <c r="J1073" s="2" t="s">
        <v>792</v>
      </c>
      <c r="K1073" s="2" t="s">
        <v>7</v>
      </c>
      <c r="L1073" s="2" t="s">
        <v>793</v>
      </c>
      <c r="M1073" s="2" t="s">
        <v>9</v>
      </c>
      <c r="N1073" s="2" t="s">
        <v>530</v>
      </c>
    </row>
    <row r="1074" ht="15.75" customHeight="1">
      <c r="A1074" s="7"/>
      <c r="B1074" s="7"/>
      <c r="C1074" s="7"/>
      <c r="D1074" s="7"/>
    </row>
    <row r="1075" ht="15.75" customHeight="1">
      <c r="A1075" s="7"/>
      <c r="B1075" s="7"/>
      <c r="C1075" s="7"/>
      <c r="D1075" s="7"/>
    </row>
    <row r="1076" ht="15.75" customHeight="1">
      <c r="A1076" s="7"/>
      <c r="B1076" s="7"/>
      <c r="C1076" s="7"/>
      <c r="D1076" s="7"/>
    </row>
    <row r="1077" ht="15.75" customHeight="1">
      <c r="A1077" s="7"/>
      <c r="B1077" s="7"/>
      <c r="C1077" s="7"/>
      <c r="D1077" s="7"/>
    </row>
    <row r="1078" ht="15.75" customHeight="1">
      <c r="A1078" s="7"/>
      <c r="B1078" s="7"/>
      <c r="C1078" s="7"/>
      <c r="D1078" s="7"/>
    </row>
    <row r="1079" ht="15.75" customHeight="1">
      <c r="A1079" s="7"/>
      <c r="B1079" s="7"/>
      <c r="C1079" s="7"/>
      <c r="D1079" s="7"/>
    </row>
    <row r="1080" ht="15.75" customHeight="1">
      <c r="A1080" s="7"/>
      <c r="B1080" s="7"/>
      <c r="C1080" s="7"/>
      <c r="D1080" s="7"/>
    </row>
    <row r="1081" ht="15.75" customHeight="1">
      <c r="A1081" s="7"/>
      <c r="B1081" s="7"/>
      <c r="C1081" s="7"/>
      <c r="D1081" s="7"/>
    </row>
    <row r="1082" ht="15.75" customHeight="1">
      <c r="A1082" s="7"/>
      <c r="B1082" s="7"/>
      <c r="C1082" s="5"/>
      <c r="D1082" s="7"/>
      <c r="F1082" s="2" t="s">
        <v>794</v>
      </c>
      <c r="G1082" s="2" t="s">
        <v>795</v>
      </c>
      <c r="H1082" s="2" t="s">
        <v>796</v>
      </c>
      <c r="I1082" s="2" t="s">
        <v>797</v>
      </c>
      <c r="J1082" s="2" t="s">
        <v>936</v>
      </c>
      <c r="K1082" s="2" t="s">
        <v>44</v>
      </c>
      <c r="L1082" s="2" t="s">
        <v>798</v>
      </c>
      <c r="M1082" s="2" t="s">
        <v>9</v>
      </c>
      <c r="N1082" s="2" t="s">
        <v>216</v>
      </c>
    </row>
    <row r="1083" ht="15.75" customHeight="1">
      <c r="A1083" s="7"/>
      <c r="B1083" s="7"/>
      <c r="C1083" s="7"/>
      <c r="D1083" s="7"/>
    </row>
    <row r="1084" ht="15.75" customHeight="1">
      <c r="A1084" s="7"/>
      <c r="B1084" s="7"/>
      <c r="C1084" s="7"/>
      <c r="D1084" s="7"/>
    </row>
    <row r="1085" ht="15.75" customHeight="1">
      <c r="A1085" s="7"/>
      <c r="B1085" s="7"/>
      <c r="C1085" s="7"/>
      <c r="D1085" s="7"/>
    </row>
    <row r="1086" ht="15.75" customHeight="1">
      <c r="A1086" s="7"/>
      <c r="B1086" s="7"/>
      <c r="C1086" s="7"/>
      <c r="D1086" s="7"/>
    </row>
    <row r="1087" ht="15.75" customHeight="1">
      <c r="A1087" s="7"/>
      <c r="B1087" s="7"/>
      <c r="C1087" s="7"/>
      <c r="D1087" s="7"/>
    </row>
    <row r="1088" ht="15.75" customHeight="1">
      <c r="A1088" s="7"/>
      <c r="B1088" s="7"/>
      <c r="C1088" s="7"/>
      <c r="D1088" s="7"/>
    </row>
    <row r="1089" ht="15.75" customHeight="1">
      <c r="A1089" s="7"/>
      <c r="B1089" s="7"/>
      <c r="C1089" s="7"/>
      <c r="D1089" s="7"/>
    </row>
    <row r="1090" ht="15.75" customHeight="1">
      <c r="A1090" s="7"/>
      <c r="B1090" s="7"/>
      <c r="C1090" s="7"/>
      <c r="D1090" s="7"/>
    </row>
    <row r="1091" ht="15.75" customHeight="1">
      <c r="A1091" s="7"/>
      <c r="B1091" s="7"/>
      <c r="C1091" s="5"/>
      <c r="D1091" s="7"/>
      <c r="F1091" s="2" t="s">
        <v>799</v>
      </c>
      <c r="G1091" s="2" t="s">
        <v>800</v>
      </c>
      <c r="H1091" s="2" t="s">
        <v>801</v>
      </c>
      <c r="I1091" s="2" t="s">
        <v>802</v>
      </c>
      <c r="J1091" s="2" t="s">
        <v>936</v>
      </c>
      <c r="K1091" s="2" t="s">
        <v>7</v>
      </c>
      <c r="L1091" s="2" t="s">
        <v>803</v>
      </c>
      <c r="M1091" s="2" t="s">
        <v>37</v>
      </c>
      <c r="N1091" s="2" t="s">
        <v>804</v>
      </c>
    </row>
    <row r="1092" ht="15.75" customHeight="1">
      <c r="A1092" s="7"/>
      <c r="B1092" s="7"/>
      <c r="C1092" s="7"/>
      <c r="D1092" s="7"/>
    </row>
    <row r="1093" ht="15.75" customHeight="1">
      <c r="A1093" s="7"/>
      <c r="B1093" s="7"/>
      <c r="C1093" s="7"/>
      <c r="D1093" s="7"/>
    </row>
    <row r="1094" ht="15.75" customHeight="1">
      <c r="A1094" s="7"/>
      <c r="B1094" s="7"/>
      <c r="C1094" s="7"/>
      <c r="D1094" s="7"/>
    </row>
    <row r="1095" ht="15.75" customHeight="1">
      <c r="A1095" s="7"/>
      <c r="B1095" s="7"/>
      <c r="C1095" s="7"/>
      <c r="D1095" s="7"/>
    </row>
    <row r="1096" ht="15.75" customHeight="1">
      <c r="A1096" s="7"/>
      <c r="B1096" s="7"/>
      <c r="C1096" s="7"/>
      <c r="D1096" s="7"/>
    </row>
    <row r="1097" ht="15.75" customHeight="1">
      <c r="A1097" s="7"/>
      <c r="B1097" s="7"/>
      <c r="C1097" s="7"/>
      <c r="D1097" s="7"/>
    </row>
    <row r="1098" ht="15.75" customHeight="1">
      <c r="A1098" s="7"/>
      <c r="B1098" s="7"/>
      <c r="C1098" s="7"/>
      <c r="D1098" s="7"/>
    </row>
    <row r="1099" ht="15.75" customHeight="1">
      <c r="A1099" s="7"/>
      <c r="B1099" s="7"/>
      <c r="C1099" s="7"/>
      <c r="D1099" s="7"/>
    </row>
    <row r="1100" ht="15.75" customHeight="1">
      <c r="A1100" s="7"/>
      <c r="B1100" s="7"/>
      <c r="C1100" s="5"/>
      <c r="D1100" s="7"/>
      <c r="F1100" s="2" t="s">
        <v>805</v>
      </c>
      <c r="G1100" s="2" t="s">
        <v>806</v>
      </c>
      <c r="H1100" s="2" t="s">
        <v>807</v>
      </c>
      <c r="I1100" s="2" t="s">
        <v>808</v>
      </c>
      <c r="J1100" s="2" t="s">
        <v>809</v>
      </c>
      <c r="K1100" s="2" t="s">
        <v>7</v>
      </c>
      <c r="L1100" s="2" t="s">
        <v>810</v>
      </c>
      <c r="M1100" s="2" t="s">
        <v>37</v>
      </c>
      <c r="N1100" s="2" t="s">
        <v>38</v>
      </c>
    </row>
    <row r="1101" ht="15.75" customHeight="1">
      <c r="A1101" s="7"/>
      <c r="B1101" s="7"/>
      <c r="C1101" s="7"/>
      <c r="D1101" s="7"/>
    </row>
    <row r="1102" ht="15.75" customHeight="1">
      <c r="A1102" s="7"/>
      <c r="B1102" s="7"/>
      <c r="C1102" s="7"/>
      <c r="D1102" s="7"/>
    </row>
    <row r="1103" ht="15.75" customHeight="1">
      <c r="A1103" s="7"/>
      <c r="B1103" s="7"/>
      <c r="C1103" s="7"/>
      <c r="D1103" s="7"/>
    </row>
    <row r="1104" ht="15.75" customHeight="1">
      <c r="A1104" s="7"/>
      <c r="B1104" s="7"/>
      <c r="C1104" s="7"/>
      <c r="D1104" s="7"/>
    </row>
    <row r="1105" ht="15.75" customHeight="1">
      <c r="A1105" s="7"/>
      <c r="B1105" s="7"/>
      <c r="C1105" s="7"/>
      <c r="D1105" s="7"/>
    </row>
    <row r="1106" ht="15.75" customHeight="1">
      <c r="A1106" s="7"/>
      <c r="B1106" s="7"/>
      <c r="C1106" s="7"/>
      <c r="D1106" s="7"/>
    </row>
    <row r="1107" ht="15.75" customHeight="1">
      <c r="A1107" s="7"/>
      <c r="B1107" s="7"/>
      <c r="C1107" s="7"/>
      <c r="D1107" s="7"/>
    </row>
    <row r="1108" ht="15.75" customHeight="1">
      <c r="A1108" s="7"/>
      <c r="B1108" s="7"/>
      <c r="C1108" s="7"/>
      <c r="D1108" s="7"/>
    </row>
    <row r="1109" ht="15.75" customHeight="1">
      <c r="A1109" s="7"/>
      <c r="B1109" s="7"/>
      <c r="C1109" s="5"/>
      <c r="D1109" s="7"/>
      <c r="F1109" s="2" t="s">
        <v>811</v>
      </c>
      <c r="G1109" s="2" t="s">
        <v>812</v>
      </c>
      <c r="H1109" s="2" t="s">
        <v>813</v>
      </c>
      <c r="I1109" s="2" t="s">
        <v>814</v>
      </c>
      <c r="J1109" s="2" t="s">
        <v>936</v>
      </c>
      <c r="K1109" s="2" t="s">
        <v>7</v>
      </c>
      <c r="L1109" s="2" t="s">
        <v>815</v>
      </c>
      <c r="M1109" s="2" t="s">
        <v>37</v>
      </c>
      <c r="N1109" s="2" t="s">
        <v>66</v>
      </c>
    </row>
    <row r="1110" ht="15.75" customHeight="1">
      <c r="A1110" s="7"/>
      <c r="B1110" s="7"/>
      <c r="C1110" s="7"/>
      <c r="D1110" s="7"/>
    </row>
    <row r="1111" ht="15.75" customHeight="1">
      <c r="A1111" s="7"/>
      <c r="B1111" s="7"/>
      <c r="C1111" s="7"/>
      <c r="D1111" s="7"/>
    </row>
    <row r="1112" ht="15.75" customHeight="1">
      <c r="A1112" s="7"/>
      <c r="B1112" s="7"/>
      <c r="C1112" s="7"/>
      <c r="D1112" s="7"/>
    </row>
    <row r="1113" ht="15.75" customHeight="1">
      <c r="A1113" s="7"/>
      <c r="B1113" s="7"/>
      <c r="C1113" s="7"/>
      <c r="D1113" s="7"/>
    </row>
    <row r="1114" ht="15.75" customHeight="1">
      <c r="A1114" s="7"/>
      <c r="B1114" s="7"/>
      <c r="C1114" s="7"/>
      <c r="D1114" s="7"/>
    </row>
    <row r="1115" ht="15.75" customHeight="1">
      <c r="A1115" s="7"/>
      <c r="B1115" s="7"/>
      <c r="C1115" s="7"/>
      <c r="D1115" s="7"/>
    </row>
    <row r="1116" ht="15.75" customHeight="1">
      <c r="A1116" s="7"/>
      <c r="B1116" s="7"/>
      <c r="C1116" s="7"/>
      <c r="D1116" s="7"/>
    </row>
    <row r="1117" ht="15.75" customHeight="1">
      <c r="A1117" s="7"/>
      <c r="B1117" s="7"/>
      <c r="C1117" s="7"/>
      <c r="D1117" s="7"/>
    </row>
    <row r="1118" ht="15.75" customHeight="1">
      <c r="A1118" s="7"/>
      <c r="B1118" s="7"/>
      <c r="C1118" s="5"/>
      <c r="D1118" s="7"/>
      <c r="F1118" s="2" t="s">
        <v>816</v>
      </c>
      <c r="G1118" s="2" t="s">
        <v>817</v>
      </c>
      <c r="H1118" s="2" t="s">
        <v>818</v>
      </c>
      <c r="I1118" s="2" t="s">
        <v>819</v>
      </c>
      <c r="J1118" s="2" t="s">
        <v>820</v>
      </c>
      <c r="K1118" s="2" t="s">
        <v>7</v>
      </c>
      <c r="L1118" s="2" t="s">
        <v>821</v>
      </c>
      <c r="M1118" s="2" t="s">
        <v>37</v>
      </c>
      <c r="N1118" s="2" t="s">
        <v>66</v>
      </c>
    </row>
    <row r="1119" ht="15.75" customHeight="1">
      <c r="A1119" s="7"/>
      <c r="B1119" s="7"/>
      <c r="C1119" s="7"/>
      <c r="D1119" s="7"/>
    </row>
    <row r="1120" ht="15.75" customHeight="1">
      <c r="A1120" s="7"/>
      <c r="B1120" s="7"/>
      <c r="C1120" s="7"/>
      <c r="D1120" s="7"/>
    </row>
    <row r="1121" ht="15.75" customHeight="1">
      <c r="A1121" s="7"/>
      <c r="B1121" s="7"/>
      <c r="C1121" s="7"/>
      <c r="D1121" s="7"/>
    </row>
    <row r="1122" ht="15.75" customHeight="1">
      <c r="A1122" s="7"/>
      <c r="B1122" s="7"/>
      <c r="C1122" s="7"/>
      <c r="D1122" s="7"/>
    </row>
    <row r="1123" ht="15.75" customHeight="1">
      <c r="A1123" s="7"/>
      <c r="B1123" s="7"/>
      <c r="C1123" s="7"/>
      <c r="D1123" s="7"/>
    </row>
    <row r="1124" ht="15.75" customHeight="1">
      <c r="A1124" s="7"/>
      <c r="B1124" s="7"/>
      <c r="C1124" s="7"/>
      <c r="D1124" s="7"/>
    </row>
    <row r="1125" ht="15.75" customHeight="1">
      <c r="A1125" s="7"/>
      <c r="B1125" s="7"/>
      <c r="C1125" s="7"/>
      <c r="D1125" s="7"/>
    </row>
    <row r="1126" ht="15.75" customHeight="1">
      <c r="A1126" s="7"/>
      <c r="B1126" s="7"/>
      <c r="C1126" s="7"/>
      <c r="D1126" s="7"/>
    </row>
    <row r="1127" ht="15.75" customHeight="1">
      <c r="A1127" s="7"/>
      <c r="B1127" s="7"/>
      <c r="C1127" s="5"/>
      <c r="D1127" s="7"/>
      <c r="F1127" s="2" t="s">
        <v>822</v>
      </c>
      <c r="G1127" s="2" t="s">
        <v>823</v>
      </c>
      <c r="H1127" s="2" t="s">
        <v>824</v>
      </c>
      <c r="I1127" s="2" t="s">
        <v>825</v>
      </c>
      <c r="J1127" s="2" t="s">
        <v>936</v>
      </c>
      <c r="K1127" s="2" t="s">
        <v>7</v>
      </c>
      <c r="L1127" s="2" t="s">
        <v>826</v>
      </c>
      <c r="M1127" s="2" t="s">
        <v>37</v>
      </c>
      <c r="N1127" s="2" t="s">
        <v>66</v>
      </c>
    </row>
    <row r="1128" ht="15.75" customHeight="1">
      <c r="A1128" s="7"/>
      <c r="B1128" s="7"/>
      <c r="C1128" s="7"/>
      <c r="D1128" s="7"/>
    </row>
    <row r="1129" ht="15.75" customHeight="1">
      <c r="A1129" s="7"/>
      <c r="B1129" s="7"/>
      <c r="C1129" s="7"/>
      <c r="D1129" s="7"/>
    </row>
    <row r="1130" ht="15.75" customHeight="1">
      <c r="A1130" s="7"/>
      <c r="B1130" s="7"/>
      <c r="C1130" s="7"/>
      <c r="D1130" s="7"/>
    </row>
    <row r="1131" ht="15.75" customHeight="1">
      <c r="A1131" s="7"/>
      <c r="B1131" s="7"/>
      <c r="C1131" s="7"/>
      <c r="D1131" s="7"/>
    </row>
    <row r="1132" ht="15.75" customHeight="1">
      <c r="A1132" s="7"/>
      <c r="B1132" s="7"/>
      <c r="C1132" s="7"/>
      <c r="D1132" s="7"/>
    </row>
    <row r="1133" ht="15.75" customHeight="1">
      <c r="A1133" s="7"/>
      <c r="B1133" s="7"/>
      <c r="C1133" s="7"/>
      <c r="D1133" s="7"/>
    </row>
    <row r="1134" ht="15.75" customHeight="1">
      <c r="A1134" s="7"/>
      <c r="B1134" s="7"/>
      <c r="C1134" s="7"/>
      <c r="D1134" s="7"/>
    </row>
    <row r="1135" ht="15.75" customHeight="1">
      <c r="A1135" s="7"/>
      <c r="B1135" s="7"/>
      <c r="C1135" s="7"/>
      <c r="D1135" s="7"/>
    </row>
    <row r="1136" ht="15.75" customHeight="1">
      <c r="A1136" s="7"/>
      <c r="B1136" s="7"/>
      <c r="C1136" s="5"/>
      <c r="D1136" s="7"/>
      <c r="F1136" s="2" t="s">
        <v>827</v>
      </c>
      <c r="G1136" s="2" t="s">
        <v>828</v>
      </c>
      <c r="H1136" s="2" t="s">
        <v>829</v>
      </c>
      <c r="I1136" s="2" t="s">
        <v>830</v>
      </c>
      <c r="J1136" s="2" t="s">
        <v>936</v>
      </c>
      <c r="K1136" s="2" t="s">
        <v>7</v>
      </c>
      <c r="L1136" s="2" t="s">
        <v>831</v>
      </c>
      <c r="M1136" s="2" t="s">
        <v>37</v>
      </c>
      <c r="N1136" s="2" t="s">
        <v>832</v>
      </c>
    </row>
    <row r="1137" ht="15.75" customHeight="1">
      <c r="A1137" s="7"/>
      <c r="B1137" s="7"/>
      <c r="C1137" s="7"/>
      <c r="D1137" s="7"/>
    </row>
    <row r="1138" ht="15.75" customHeight="1">
      <c r="A1138" s="7"/>
      <c r="B1138" s="7"/>
      <c r="C1138" s="7"/>
      <c r="D1138" s="7"/>
    </row>
    <row r="1139" ht="15.75" customHeight="1">
      <c r="A1139" s="7"/>
      <c r="B1139" s="7"/>
      <c r="C1139" s="7"/>
      <c r="D1139" s="7"/>
    </row>
    <row r="1140" ht="15.75" customHeight="1">
      <c r="A1140" s="7"/>
      <c r="B1140" s="7"/>
      <c r="C1140" s="7"/>
      <c r="D1140" s="7"/>
    </row>
    <row r="1141" ht="15.75" customHeight="1">
      <c r="A1141" s="7"/>
      <c r="B1141" s="7"/>
      <c r="C1141" s="7"/>
      <c r="D1141" s="7"/>
    </row>
    <row r="1142" ht="15.75" customHeight="1">
      <c r="A1142" s="7"/>
      <c r="B1142" s="7"/>
      <c r="C1142" s="7"/>
      <c r="D1142" s="7"/>
    </row>
    <row r="1143" ht="15.75" customHeight="1">
      <c r="A1143" s="7"/>
      <c r="B1143" s="7"/>
      <c r="C1143" s="7"/>
      <c r="D1143" s="7"/>
    </row>
    <row r="1144" ht="15.75" customHeight="1">
      <c r="A1144" s="7"/>
      <c r="B1144" s="7"/>
      <c r="C1144" s="7"/>
      <c r="D1144" s="7"/>
    </row>
    <row r="1145" ht="15.75" customHeight="1">
      <c r="A1145" s="7"/>
      <c r="B1145" s="7"/>
      <c r="C1145" s="5"/>
      <c r="D1145" s="7"/>
      <c r="F1145" s="2" t="s">
        <v>833</v>
      </c>
      <c r="G1145" s="2" t="s">
        <v>834</v>
      </c>
      <c r="H1145" s="2" t="s">
        <v>835</v>
      </c>
      <c r="I1145" s="2" t="s">
        <v>836</v>
      </c>
      <c r="J1145" s="2" t="s">
        <v>936</v>
      </c>
      <c r="K1145" s="2" t="s">
        <v>7</v>
      </c>
      <c r="L1145" s="2" t="s">
        <v>974</v>
      </c>
      <c r="M1145" s="2" t="s">
        <v>37</v>
      </c>
      <c r="N1145" s="2" t="s">
        <v>621</v>
      </c>
    </row>
    <row r="1146" ht="15.75" customHeight="1">
      <c r="A1146" s="7"/>
      <c r="B1146" s="7"/>
      <c r="C1146" s="7"/>
      <c r="D1146" s="7"/>
    </row>
    <row r="1147" ht="15.75" customHeight="1">
      <c r="A1147" s="7"/>
      <c r="B1147" s="7"/>
      <c r="C1147" s="7"/>
      <c r="D1147" s="7"/>
    </row>
    <row r="1148" ht="15.75" customHeight="1">
      <c r="A1148" s="7"/>
      <c r="B1148" s="7"/>
      <c r="C1148" s="7"/>
      <c r="D1148" s="7"/>
    </row>
    <row r="1149" ht="15.75" customHeight="1">
      <c r="A1149" s="7"/>
      <c r="B1149" s="7"/>
      <c r="C1149" s="7"/>
      <c r="D1149" s="7"/>
    </row>
    <row r="1150" ht="15.75" customHeight="1">
      <c r="A1150" s="7"/>
      <c r="B1150" s="7"/>
      <c r="C1150" s="7"/>
      <c r="D1150" s="7"/>
    </row>
    <row r="1151" ht="15.75" customHeight="1">
      <c r="A1151" s="7"/>
      <c r="B1151" s="7"/>
      <c r="C1151" s="7"/>
      <c r="D1151" s="7"/>
    </row>
    <row r="1152" ht="15.75" customHeight="1">
      <c r="A1152" s="7"/>
      <c r="B1152" s="7"/>
      <c r="C1152" s="7"/>
      <c r="D1152" s="7"/>
    </row>
    <row r="1153" ht="15.75" customHeight="1">
      <c r="A1153" s="7"/>
      <c r="B1153" s="7"/>
      <c r="C1153" s="7"/>
      <c r="D1153" s="7"/>
    </row>
    <row r="1154" ht="15.75" customHeight="1">
      <c r="A1154" s="7"/>
      <c r="B1154" s="7"/>
      <c r="C1154" s="5"/>
      <c r="D1154" s="7"/>
      <c r="F1154" s="2" t="s">
        <v>839</v>
      </c>
      <c r="G1154" s="2" t="s">
        <v>840</v>
      </c>
      <c r="H1154" s="2" t="s">
        <v>841</v>
      </c>
      <c r="I1154" s="2" t="s">
        <v>842</v>
      </c>
      <c r="J1154" s="2" t="s">
        <v>936</v>
      </c>
      <c r="K1154" s="2" t="s">
        <v>7</v>
      </c>
      <c r="L1154" s="2" t="s">
        <v>843</v>
      </c>
      <c r="M1154" s="2" t="s">
        <v>37</v>
      </c>
      <c r="N1154" s="2" t="s">
        <v>844</v>
      </c>
    </row>
    <row r="1155" ht="15.75" customHeight="1">
      <c r="A1155" s="7"/>
      <c r="B1155" s="7"/>
      <c r="C1155" s="7"/>
      <c r="D1155" s="7"/>
    </row>
    <row r="1156" ht="15.75" customHeight="1">
      <c r="A1156" s="7"/>
      <c r="B1156" s="7"/>
      <c r="C1156" s="7"/>
      <c r="D1156" s="7"/>
    </row>
    <row r="1157" ht="15.75" customHeight="1">
      <c r="A1157" s="7"/>
      <c r="B1157" s="7"/>
      <c r="C1157" s="7"/>
      <c r="D1157" s="7"/>
    </row>
    <row r="1158" ht="15.75" customHeight="1">
      <c r="A1158" s="7"/>
      <c r="B1158" s="7"/>
      <c r="C1158" s="7"/>
      <c r="D1158" s="7"/>
    </row>
    <row r="1159" ht="15.75" customHeight="1">
      <c r="A1159" s="7"/>
      <c r="B1159" s="7"/>
      <c r="C1159" s="7"/>
      <c r="D1159" s="7"/>
    </row>
    <row r="1160" ht="15.75" customHeight="1">
      <c r="A1160" s="7"/>
      <c r="B1160" s="7"/>
      <c r="C1160" s="7"/>
      <c r="D1160" s="7"/>
    </row>
    <row r="1161" ht="15.75" customHeight="1">
      <c r="A1161" s="7"/>
      <c r="B1161" s="7"/>
      <c r="C1161" s="7"/>
      <c r="D1161" s="7"/>
    </row>
    <row r="1162" ht="15.75" customHeight="1">
      <c r="A1162" s="7"/>
      <c r="B1162" s="7"/>
      <c r="C1162" s="7"/>
      <c r="D1162" s="7"/>
    </row>
    <row r="1163" ht="15.75" customHeight="1">
      <c r="A1163" s="7"/>
      <c r="B1163" s="7"/>
      <c r="C1163" s="5"/>
      <c r="D1163" s="7"/>
      <c r="F1163" s="2" t="s">
        <v>845</v>
      </c>
      <c r="G1163" s="2" t="s">
        <v>846</v>
      </c>
      <c r="H1163" s="2" t="s">
        <v>847</v>
      </c>
      <c r="I1163" s="2" t="s">
        <v>848</v>
      </c>
      <c r="J1163" s="2" t="s">
        <v>849</v>
      </c>
      <c r="K1163" s="2" t="s">
        <v>7</v>
      </c>
      <c r="L1163" s="2" t="s">
        <v>850</v>
      </c>
      <c r="M1163" s="2" t="s">
        <v>37</v>
      </c>
      <c r="N1163" s="2" t="s">
        <v>851</v>
      </c>
    </row>
    <row r="1164" ht="15.75" customHeight="1">
      <c r="A1164" s="7"/>
      <c r="B1164" s="7"/>
      <c r="C1164" s="7"/>
      <c r="D1164" s="7"/>
    </row>
    <row r="1165" ht="15.75" customHeight="1">
      <c r="A1165" s="7"/>
      <c r="B1165" s="7"/>
      <c r="C1165" s="7"/>
      <c r="D1165" s="7"/>
    </row>
    <row r="1166" ht="15.75" customHeight="1">
      <c r="A1166" s="7"/>
      <c r="B1166" s="7"/>
      <c r="C1166" s="7"/>
      <c r="D1166" s="7"/>
    </row>
    <row r="1167" ht="15.75" customHeight="1">
      <c r="A1167" s="7"/>
      <c r="B1167" s="7"/>
      <c r="C1167" s="7"/>
      <c r="D1167" s="7"/>
    </row>
    <row r="1168" ht="15.75" customHeight="1">
      <c r="A1168" s="7"/>
      <c r="B1168" s="7"/>
      <c r="C1168" s="7"/>
      <c r="D1168" s="7"/>
    </row>
    <row r="1169" ht="15.75" customHeight="1">
      <c r="A1169" s="7"/>
      <c r="B1169" s="7"/>
      <c r="C1169" s="7"/>
      <c r="D1169" s="7"/>
    </row>
    <row r="1170" ht="15.75" customHeight="1">
      <c r="A1170" s="7"/>
      <c r="B1170" s="7"/>
      <c r="C1170" s="7"/>
      <c r="D1170" s="7"/>
    </row>
    <row r="1171" ht="15.75" customHeight="1">
      <c r="A1171" s="7"/>
      <c r="B1171" s="7"/>
      <c r="C1171" s="7"/>
      <c r="D1171" s="7"/>
    </row>
    <row r="1172" ht="15.75" customHeight="1">
      <c r="A1172" s="7"/>
      <c r="B1172" s="7"/>
      <c r="C1172" s="5"/>
      <c r="D1172" s="7"/>
      <c r="F1172" s="2" t="s">
        <v>852</v>
      </c>
      <c r="G1172" s="2" t="s">
        <v>853</v>
      </c>
      <c r="H1172" s="2" t="s">
        <v>854</v>
      </c>
      <c r="I1172" s="2" t="s">
        <v>855</v>
      </c>
      <c r="J1172" s="2" t="s">
        <v>936</v>
      </c>
      <c r="K1172" s="2" t="s">
        <v>7</v>
      </c>
      <c r="L1172" s="2" t="s">
        <v>856</v>
      </c>
      <c r="M1172" s="2" t="s">
        <v>37</v>
      </c>
      <c r="N1172" s="2" t="s">
        <v>334</v>
      </c>
    </row>
    <row r="1173" ht="15.75" customHeight="1">
      <c r="A1173" s="7"/>
      <c r="B1173" s="7"/>
      <c r="C1173" s="7"/>
      <c r="D1173" s="7"/>
    </row>
    <row r="1174" ht="15.75" customHeight="1">
      <c r="A1174" s="7"/>
      <c r="B1174" s="7"/>
      <c r="C1174" s="7"/>
      <c r="D1174" s="7"/>
    </row>
    <row r="1175" ht="15.75" customHeight="1">
      <c r="A1175" s="7"/>
      <c r="B1175" s="7"/>
      <c r="C1175" s="7"/>
      <c r="D1175" s="7"/>
    </row>
    <row r="1176" ht="15.75" customHeight="1">
      <c r="A1176" s="7"/>
      <c r="B1176" s="7"/>
      <c r="C1176" s="7"/>
      <c r="D1176" s="7"/>
    </row>
    <row r="1177" ht="15.75" customHeight="1">
      <c r="A1177" s="7"/>
      <c r="B1177" s="7"/>
      <c r="C1177" s="7"/>
      <c r="D1177" s="7"/>
    </row>
    <row r="1178" ht="15.75" customHeight="1">
      <c r="A1178" s="7"/>
      <c r="B1178" s="7"/>
      <c r="C1178" s="7"/>
      <c r="D1178" s="7"/>
    </row>
    <row r="1179" ht="15.75" customHeight="1">
      <c r="A1179" s="7"/>
      <c r="B1179" s="7"/>
      <c r="C1179" s="7"/>
      <c r="D1179" s="7"/>
    </row>
    <row r="1180" ht="15.75" customHeight="1">
      <c r="A1180" s="7"/>
      <c r="B1180" s="7"/>
      <c r="C1180" s="7"/>
      <c r="D1180" s="7"/>
    </row>
    <row r="1181" ht="15.75" customHeight="1">
      <c r="A1181" s="7"/>
      <c r="B1181" s="7"/>
      <c r="C1181" s="5"/>
      <c r="D1181" s="7"/>
      <c r="F1181" s="2" t="s">
        <v>857</v>
      </c>
      <c r="G1181" s="2" t="s">
        <v>858</v>
      </c>
      <c r="H1181" s="2" t="s">
        <v>854</v>
      </c>
      <c r="I1181" s="2" t="s">
        <v>859</v>
      </c>
      <c r="J1181" s="2" t="s">
        <v>860</v>
      </c>
      <c r="K1181" s="2" t="s">
        <v>7</v>
      </c>
      <c r="L1181" s="2" t="s">
        <v>975</v>
      </c>
      <c r="M1181" s="2" t="s">
        <v>37</v>
      </c>
      <c r="N1181" s="2" t="s">
        <v>863</v>
      </c>
    </row>
    <row r="1182" ht="15.75" customHeight="1">
      <c r="A1182" s="7"/>
      <c r="B1182" s="7"/>
      <c r="C1182" s="7"/>
      <c r="D1182" s="7"/>
    </row>
    <row r="1183" ht="15.75" customHeight="1">
      <c r="A1183" s="7"/>
      <c r="B1183" s="7"/>
      <c r="C1183" s="7"/>
      <c r="D1183" s="7"/>
    </row>
    <row r="1184" ht="15.75" customHeight="1">
      <c r="A1184" s="7"/>
      <c r="B1184" s="7"/>
      <c r="C1184" s="7"/>
      <c r="D1184" s="7"/>
    </row>
    <row r="1185" ht="15.75" customHeight="1">
      <c r="A1185" s="7"/>
      <c r="B1185" s="7"/>
      <c r="C1185" s="7"/>
      <c r="D1185" s="7"/>
    </row>
    <row r="1186" ht="15.75" customHeight="1">
      <c r="A1186" s="7"/>
      <c r="B1186" s="7"/>
      <c r="C1186" s="7"/>
      <c r="D1186" s="7"/>
    </row>
    <row r="1187" ht="15.75" customHeight="1">
      <c r="A1187" s="7"/>
      <c r="B1187" s="7"/>
      <c r="C1187" s="7"/>
      <c r="D1187" s="7"/>
    </row>
    <row r="1188" ht="15.75" customHeight="1">
      <c r="A1188" s="7"/>
      <c r="B1188" s="7"/>
      <c r="C1188" s="7"/>
      <c r="D1188" s="7"/>
    </row>
    <row r="1189" ht="15.75" customHeight="1">
      <c r="A1189" s="7"/>
      <c r="B1189" s="7"/>
      <c r="C1189" s="7"/>
      <c r="D1189" s="7"/>
    </row>
    <row r="1190" ht="15.75" customHeight="1">
      <c r="A1190" s="7"/>
      <c r="B1190" s="7"/>
      <c r="C1190" s="5"/>
      <c r="D1190" s="7"/>
      <c r="F1190" s="2" t="s">
        <v>864</v>
      </c>
      <c r="G1190" s="2" t="s">
        <v>865</v>
      </c>
      <c r="H1190" s="2" t="s">
        <v>866</v>
      </c>
      <c r="I1190" s="2" t="s">
        <v>867</v>
      </c>
      <c r="J1190" s="2" t="s">
        <v>868</v>
      </c>
      <c r="K1190" s="2" t="s">
        <v>7</v>
      </c>
      <c r="L1190" s="2" t="s">
        <v>869</v>
      </c>
      <c r="M1190" s="2" t="s">
        <v>37</v>
      </c>
      <c r="N1190" s="2" t="s">
        <v>31</v>
      </c>
    </row>
    <row r="1191" ht="15.75" customHeight="1">
      <c r="A1191" s="7"/>
      <c r="B1191" s="7"/>
      <c r="C1191" s="7"/>
      <c r="D1191" s="7"/>
    </row>
    <row r="1192" ht="15.75" customHeight="1">
      <c r="A1192" s="7"/>
      <c r="B1192" s="7"/>
      <c r="C1192" s="7"/>
      <c r="D1192" s="7"/>
    </row>
    <row r="1193" ht="15.75" customHeight="1">
      <c r="A1193" s="7"/>
      <c r="B1193" s="7"/>
      <c r="C1193" s="7"/>
      <c r="D1193" s="7"/>
    </row>
    <row r="1194" ht="15.75" customHeight="1">
      <c r="A1194" s="7"/>
      <c r="B1194" s="7"/>
      <c r="C1194" s="7"/>
      <c r="D1194" s="7"/>
    </row>
    <row r="1195" ht="15.75" customHeight="1">
      <c r="A1195" s="7"/>
      <c r="B1195" s="7"/>
      <c r="C1195" s="7"/>
      <c r="D1195" s="7"/>
    </row>
    <row r="1196" ht="15.75" customHeight="1">
      <c r="A1196" s="7"/>
      <c r="B1196" s="7"/>
      <c r="C1196" s="7"/>
      <c r="D1196" s="7"/>
    </row>
    <row r="1197" ht="15.75" customHeight="1">
      <c r="A1197" s="7"/>
      <c r="B1197" s="7"/>
      <c r="C1197" s="7"/>
      <c r="D1197" s="7"/>
    </row>
    <row r="1198" ht="15.75" customHeight="1">
      <c r="A1198" s="7"/>
      <c r="B1198" s="7"/>
      <c r="C1198" s="7"/>
      <c r="D1198" s="7"/>
    </row>
    <row r="1199" ht="15.75" customHeight="1">
      <c r="A1199" s="7"/>
      <c r="B1199" s="7"/>
      <c r="C1199" s="5"/>
      <c r="D1199" s="7"/>
      <c r="F1199" s="2" t="s">
        <v>870</v>
      </c>
      <c r="G1199" s="2" t="s">
        <v>871</v>
      </c>
      <c r="H1199" s="2" t="s">
        <v>872</v>
      </c>
      <c r="I1199" s="2" t="s">
        <v>873</v>
      </c>
      <c r="J1199" s="2" t="s">
        <v>874</v>
      </c>
      <c r="K1199" s="2" t="s">
        <v>7</v>
      </c>
      <c r="L1199" s="2" t="s">
        <v>875</v>
      </c>
      <c r="M1199" s="2" t="s">
        <v>37</v>
      </c>
      <c r="N1199" s="2" t="s">
        <v>38</v>
      </c>
    </row>
    <row r="1200" ht="15.75" customHeight="1">
      <c r="A1200" s="7"/>
      <c r="B1200" s="7"/>
      <c r="C1200" s="7"/>
      <c r="D1200" s="7"/>
    </row>
    <row r="1201" ht="15.75" customHeight="1">
      <c r="A1201" s="7"/>
      <c r="B1201" s="7"/>
      <c r="C1201" s="7"/>
      <c r="D1201" s="7"/>
    </row>
    <row r="1202" ht="15.75" customHeight="1">
      <c r="A1202" s="7"/>
      <c r="B1202" s="7"/>
      <c r="C1202" s="7"/>
      <c r="D1202" s="7"/>
    </row>
    <row r="1203" ht="15.75" customHeight="1">
      <c r="A1203" s="7"/>
      <c r="B1203" s="7"/>
      <c r="C1203" s="7"/>
      <c r="D1203" s="7"/>
    </row>
    <row r="1204" ht="15.75" customHeight="1">
      <c r="A1204" s="7"/>
      <c r="B1204" s="7"/>
      <c r="C1204" s="7"/>
      <c r="D1204" s="7"/>
    </row>
    <row r="1205" ht="15.75" customHeight="1">
      <c r="A1205" s="7"/>
      <c r="B1205" s="7"/>
      <c r="C1205" s="7"/>
      <c r="D1205" s="7"/>
    </row>
    <row r="1206" ht="15.75" customHeight="1">
      <c r="A1206" s="7"/>
      <c r="B1206" s="7"/>
      <c r="C1206" s="7"/>
      <c r="D1206" s="7"/>
    </row>
    <row r="1207" ht="15.75" customHeight="1">
      <c r="A1207" s="7"/>
      <c r="B1207" s="7"/>
      <c r="C1207" s="7"/>
      <c r="D1207" s="7"/>
    </row>
    <row r="1208" ht="15.75" customHeight="1">
      <c r="A1208" s="7"/>
      <c r="B1208" s="7"/>
      <c r="C1208" s="5"/>
      <c r="D1208" s="7"/>
      <c r="F1208" s="2" t="s">
        <v>876</v>
      </c>
      <c r="G1208" s="2" t="s">
        <v>784</v>
      </c>
      <c r="H1208" s="2" t="s">
        <v>877</v>
      </c>
      <c r="I1208" s="2" t="s">
        <v>878</v>
      </c>
      <c r="J1208" s="2" t="s">
        <v>936</v>
      </c>
      <c r="K1208" s="2" t="s">
        <v>7</v>
      </c>
      <c r="L1208" s="2" t="s">
        <v>879</v>
      </c>
      <c r="M1208" s="2" t="s">
        <v>37</v>
      </c>
      <c r="N1208" s="2" t="s">
        <v>52</v>
      </c>
    </row>
    <row r="1209" ht="15.75" customHeight="1">
      <c r="A1209" s="7"/>
      <c r="B1209" s="7"/>
      <c r="C1209" s="7"/>
      <c r="D1209" s="7"/>
    </row>
    <row r="1210" ht="15.75" customHeight="1">
      <c r="A1210" s="7"/>
      <c r="B1210" s="7"/>
      <c r="C1210" s="7"/>
      <c r="D1210" s="7"/>
    </row>
    <row r="1211" ht="15.75" customHeight="1">
      <c r="A1211" s="7"/>
      <c r="B1211" s="7"/>
      <c r="C1211" s="7"/>
      <c r="D1211" s="7"/>
    </row>
    <row r="1212" ht="15.75" customHeight="1">
      <c r="A1212" s="7"/>
      <c r="B1212" s="7"/>
      <c r="C1212" s="7"/>
      <c r="D1212" s="7"/>
    </row>
    <row r="1213" ht="15.75" customHeight="1">
      <c r="A1213" s="7"/>
      <c r="B1213" s="7"/>
      <c r="C1213" s="7"/>
      <c r="D1213" s="7"/>
    </row>
    <row r="1214" ht="15.75" customHeight="1">
      <c r="A1214" s="7"/>
      <c r="B1214" s="7"/>
      <c r="C1214" s="7"/>
      <c r="D1214" s="7"/>
    </row>
    <row r="1215" ht="15.75" customHeight="1">
      <c r="A1215" s="7"/>
      <c r="B1215" s="7"/>
      <c r="C1215" s="7"/>
      <c r="D1215" s="7"/>
    </row>
    <row r="1216" ht="15.75" customHeight="1">
      <c r="A1216" s="7"/>
      <c r="B1216" s="7"/>
      <c r="C1216" s="7"/>
      <c r="D1216" s="7"/>
    </row>
    <row r="1217" ht="15.75" customHeight="1">
      <c r="A1217" s="7"/>
      <c r="B1217" s="7"/>
      <c r="C1217" s="5"/>
      <c r="D1217" s="7"/>
      <c r="F1217" s="2" t="s">
        <v>880</v>
      </c>
      <c r="G1217" s="2" t="s">
        <v>881</v>
      </c>
      <c r="H1217" s="2" t="s">
        <v>882</v>
      </c>
      <c r="I1217" s="2" t="s">
        <v>883</v>
      </c>
      <c r="J1217" s="2" t="s">
        <v>884</v>
      </c>
      <c r="K1217" s="2" t="s">
        <v>7</v>
      </c>
      <c r="L1217" s="2" t="s">
        <v>885</v>
      </c>
      <c r="M1217" s="2" t="s">
        <v>37</v>
      </c>
      <c r="N1217" s="2" t="s">
        <v>886</v>
      </c>
    </row>
    <row r="1218" ht="15.75" customHeight="1">
      <c r="A1218" s="7"/>
      <c r="B1218" s="7"/>
      <c r="C1218" s="7"/>
      <c r="D1218" s="7"/>
    </row>
    <row r="1219" ht="15.75" customHeight="1">
      <c r="A1219" s="7"/>
      <c r="B1219" s="7"/>
      <c r="C1219" s="7"/>
      <c r="D1219" s="7"/>
    </row>
    <row r="1220" ht="15.75" customHeight="1">
      <c r="A1220" s="7"/>
      <c r="B1220" s="7"/>
      <c r="C1220" s="7"/>
      <c r="D1220" s="7"/>
    </row>
    <row r="1221" ht="15.75" customHeight="1">
      <c r="A1221" s="7"/>
      <c r="B1221" s="7"/>
      <c r="C1221" s="7"/>
      <c r="D1221" s="7"/>
    </row>
    <row r="1222" ht="15.75" customHeight="1">
      <c r="A1222" s="7"/>
      <c r="B1222" s="7"/>
      <c r="C1222" s="7"/>
      <c r="D1222" s="7"/>
    </row>
    <row r="1223" ht="15.75" customHeight="1">
      <c r="A1223" s="7"/>
      <c r="B1223" s="7"/>
      <c r="C1223" s="7"/>
      <c r="D1223" s="7"/>
    </row>
    <row r="1224" ht="15.75" customHeight="1">
      <c r="A1224" s="7"/>
      <c r="B1224" s="7"/>
      <c r="C1224" s="7"/>
      <c r="D1224" s="7"/>
    </row>
    <row r="1225" ht="15.75" customHeight="1">
      <c r="A1225" s="7"/>
      <c r="B1225" s="7"/>
      <c r="C1225" s="7"/>
      <c r="D1225" s="7"/>
    </row>
    <row r="1226" ht="15.75" customHeight="1">
      <c r="A1226" s="7"/>
      <c r="B1226" s="7"/>
      <c r="C1226" s="5"/>
      <c r="D1226" s="7"/>
      <c r="F1226" s="2" t="s">
        <v>887</v>
      </c>
      <c r="G1226" s="2" t="s">
        <v>888</v>
      </c>
      <c r="H1226" s="2" t="s">
        <v>889</v>
      </c>
      <c r="I1226" s="2" t="s">
        <v>890</v>
      </c>
      <c r="J1226" s="2" t="s">
        <v>50</v>
      </c>
      <c r="K1226" s="2" t="s">
        <v>7</v>
      </c>
      <c r="L1226" s="2" t="s">
        <v>891</v>
      </c>
      <c r="M1226" s="2" t="s">
        <v>37</v>
      </c>
      <c r="N1226" s="2" t="s">
        <v>892</v>
      </c>
    </row>
    <row r="1227" ht="15.75" customHeight="1">
      <c r="A1227" s="7"/>
      <c r="B1227" s="7"/>
      <c r="C1227" s="7"/>
      <c r="D1227" s="7"/>
    </row>
    <row r="1228" ht="15.75" customHeight="1">
      <c r="A1228" s="7"/>
      <c r="B1228" s="7"/>
      <c r="C1228" s="7"/>
      <c r="D1228" s="7"/>
    </row>
    <row r="1229" ht="15.75" customHeight="1">
      <c r="A1229" s="7"/>
      <c r="B1229" s="7"/>
      <c r="C1229" s="7"/>
      <c r="D1229" s="7"/>
    </row>
    <row r="1230" ht="15.75" customHeight="1">
      <c r="A1230" s="7"/>
      <c r="B1230" s="7"/>
      <c r="C1230" s="7"/>
      <c r="D1230" s="7"/>
    </row>
    <row r="1231" ht="15.75" customHeight="1">
      <c r="A1231" s="7"/>
      <c r="B1231" s="7"/>
      <c r="C1231" s="7"/>
      <c r="D1231" s="7"/>
    </row>
    <row r="1232" ht="15.75" customHeight="1">
      <c r="A1232" s="7"/>
      <c r="B1232" s="7"/>
      <c r="C1232" s="7"/>
      <c r="D1232" s="7"/>
    </row>
    <row r="1233" ht="15.75" customHeight="1">
      <c r="A1233" s="7"/>
      <c r="B1233" s="7"/>
      <c r="C1233" s="7"/>
      <c r="D1233" s="7"/>
    </row>
    <row r="1234" ht="15.75" customHeight="1">
      <c r="A1234" s="7"/>
      <c r="B1234" s="7"/>
      <c r="C1234" s="7"/>
      <c r="D1234" s="7"/>
    </row>
    <row r="1235" ht="15.75" customHeight="1">
      <c r="A1235" s="7"/>
      <c r="B1235" s="7"/>
      <c r="C1235" s="5"/>
      <c r="D1235" s="7"/>
      <c r="F1235" s="2" t="s">
        <v>893</v>
      </c>
      <c r="G1235" s="2" t="s">
        <v>894</v>
      </c>
      <c r="H1235" s="2" t="s">
        <v>895</v>
      </c>
      <c r="I1235" s="2" t="s">
        <v>896</v>
      </c>
      <c r="J1235" s="2" t="s">
        <v>936</v>
      </c>
      <c r="K1235" s="2" t="s">
        <v>7</v>
      </c>
      <c r="L1235" s="2" t="s">
        <v>976</v>
      </c>
      <c r="M1235" s="2" t="s">
        <v>37</v>
      </c>
      <c r="N1235" s="2" t="s">
        <v>899</v>
      </c>
    </row>
    <row r="1236" ht="15.75" customHeight="1">
      <c r="A1236" s="7"/>
      <c r="B1236" s="7"/>
      <c r="C1236" s="7"/>
      <c r="D1236" s="7"/>
    </row>
    <row r="1237" ht="15.75" customHeight="1">
      <c r="A1237" s="7"/>
      <c r="B1237" s="7"/>
      <c r="C1237" s="7"/>
      <c r="D1237" s="7"/>
    </row>
    <row r="1238" ht="15.75" customHeight="1">
      <c r="A1238" s="7"/>
      <c r="B1238" s="7"/>
      <c r="C1238" s="7"/>
      <c r="D1238" s="7"/>
    </row>
    <row r="1239" ht="15.75" customHeight="1">
      <c r="A1239" s="7"/>
      <c r="B1239" s="7"/>
      <c r="C1239" s="7"/>
      <c r="D1239" s="7"/>
    </row>
    <row r="1240" ht="15.75" customHeight="1">
      <c r="A1240" s="7"/>
      <c r="B1240" s="7"/>
      <c r="C1240" s="7"/>
      <c r="D1240" s="7"/>
    </row>
    <row r="1241" ht="15.75" customHeight="1">
      <c r="A1241" s="7"/>
      <c r="B1241" s="7"/>
      <c r="C1241" s="7"/>
      <c r="D1241" s="7"/>
    </row>
    <row r="1242" ht="15.75" customHeight="1">
      <c r="A1242" s="7"/>
      <c r="B1242" s="7"/>
      <c r="C1242" s="7"/>
      <c r="D1242" s="7"/>
    </row>
    <row r="1243" ht="15.75" customHeight="1">
      <c r="A1243" s="7"/>
      <c r="B1243" s="7"/>
      <c r="C1243" s="7"/>
      <c r="D1243" s="7"/>
    </row>
    <row r="1244" ht="15.75" customHeight="1">
      <c r="A1244" s="7"/>
      <c r="B1244" s="7"/>
      <c r="C1244" s="5"/>
      <c r="D1244" s="7"/>
      <c r="F1244" s="2" t="s">
        <v>900</v>
      </c>
      <c r="G1244" s="2" t="s">
        <v>901</v>
      </c>
      <c r="H1244" s="2" t="s">
        <v>902</v>
      </c>
      <c r="I1244" s="2" t="s">
        <v>903</v>
      </c>
      <c r="J1244" s="2" t="s">
        <v>289</v>
      </c>
      <c r="K1244" s="2" t="s">
        <v>7</v>
      </c>
      <c r="L1244" s="2" t="s">
        <v>904</v>
      </c>
      <c r="M1244" s="2" t="s">
        <v>37</v>
      </c>
      <c r="N1244" s="2" t="s">
        <v>161</v>
      </c>
    </row>
    <row r="1245" ht="15.75" customHeight="1">
      <c r="A1245" s="7"/>
      <c r="B1245" s="7"/>
      <c r="C1245" s="7"/>
      <c r="D1245" s="7"/>
    </row>
    <row r="1246" ht="15.75" customHeight="1">
      <c r="A1246" s="7"/>
      <c r="B1246" s="7"/>
      <c r="C1246" s="7"/>
      <c r="D1246" s="7"/>
    </row>
    <row r="1247" ht="15.75" customHeight="1">
      <c r="A1247" s="7"/>
      <c r="B1247" s="7"/>
      <c r="C1247" s="7"/>
      <c r="D1247" s="7"/>
    </row>
    <row r="1248" ht="15.75" customHeight="1">
      <c r="A1248" s="7"/>
      <c r="B1248" s="7"/>
      <c r="C1248" s="7"/>
      <c r="D1248" s="7"/>
    </row>
    <row r="1249" ht="15.75" customHeight="1">
      <c r="A1249" s="7"/>
      <c r="B1249" s="7"/>
      <c r="C1249" s="7"/>
      <c r="D1249" s="7"/>
    </row>
    <row r="1250" ht="15.75" customHeight="1">
      <c r="A1250" s="7"/>
      <c r="B1250" s="7"/>
      <c r="C1250" s="7"/>
      <c r="D1250" s="7"/>
    </row>
    <row r="1251" ht="15.75" customHeight="1">
      <c r="A1251" s="7"/>
      <c r="B1251" s="7"/>
      <c r="C1251" s="7"/>
      <c r="D1251" s="7"/>
    </row>
    <row r="1252" ht="15.75" customHeight="1">
      <c r="A1252" s="7"/>
      <c r="B1252" s="7"/>
      <c r="C1252" s="7"/>
      <c r="D1252" s="7"/>
    </row>
    <row r="1253" ht="15.75" customHeight="1">
      <c r="A1253" s="7"/>
      <c r="B1253" s="7"/>
      <c r="C1253" s="5"/>
      <c r="D1253" s="7"/>
      <c r="F1253" s="2" t="s">
        <v>905</v>
      </c>
      <c r="G1253" s="2" t="s">
        <v>771</v>
      </c>
      <c r="H1253" s="2" t="s">
        <v>906</v>
      </c>
      <c r="I1253" s="2" t="s">
        <v>907</v>
      </c>
      <c r="J1253" s="2" t="s">
        <v>908</v>
      </c>
      <c r="K1253" s="2" t="s">
        <v>7</v>
      </c>
      <c r="L1253" s="2" t="s">
        <v>909</v>
      </c>
      <c r="M1253" s="2" t="s">
        <v>37</v>
      </c>
      <c r="N1253" s="2" t="s">
        <v>161</v>
      </c>
    </row>
    <row r="1254" ht="15.75" customHeight="1">
      <c r="A1254" s="7"/>
      <c r="B1254" s="7"/>
      <c r="C1254" s="7"/>
      <c r="D1254" s="7"/>
    </row>
    <row r="1255" ht="15.75" customHeight="1">
      <c r="A1255" s="7"/>
      <c r="B1255" s="7"/>
      <c r="C1255" s="7"/>
      <c r="D1255" s="7"/>
    </row>
    <row r="1256" ht="15.75" customHeight="1">
      <c r="A1256" s="7"/>
      <c r="B1256" s="7"/>
      <c r="C1256" s="7"/>
      <c r="D1256" s="7"/>
    </row>
    <row r="1257" ht="15.75" customHeight="1">
      <c r="A1257" s="7"/>
      <c r="B1257" s="7"/>
      <c r="C1257" s="7"/>
      <c r="D1257" s="7"/>
    </row>
    <row r="1258" ht="15.75" customHeight="1">
      <c r="A1258" s="7"/>
      <c r="B1258" s="7"/>
      <c r="C1258" s="7"/>
      <c r="D1258" s="7"/>
    </row>
    <row r="1259" ht="15.75" customHeight="1">
      <c r="A1259" s="7"/>
      <c r="B1259" s="7"/>
      <c r="C1259" s="7"/>
      <c r="D1259" s="7"/>
    </row>
    <row r="1260" ht="15.75" customHeight="1">
      <c r="A1260" s="7"/>
      <c r="B1260" s="7"/>
      <c r="C1260" s="7"/>
      <c r="D1260" s="7"/>
    </row>
    <row r="1261" ht="15.75" customHeight="1">
      <c r="A1261" s="7"/>
      <c r="B1261" s="7"/>
      <c r="C1261" s="7"/>
      <c r="D1261" s="7"/>
    </row>
    <row r="1262" ht="15.75" customHeight="1">
      <c r="A1262" s="7"/>
      <c r="B1262" s="7"/>
      <c r="C1262" s="5"/>
      <c r="D1262" s="7"/>
      <c r="F1262" s="2" t="s">
        <v>910</v>
      </c>
      <c r="G1262" s="2" t="s">
        <v>911</v>
      </c>
      <c r="H1262" s="2" t="s">
        <v>912</v>
      </c>
      <c r="I1262" s="2" t="s">
        <v>913</v>
      </c>
      <c r="J1262" s="2" t="s">
        <v>289</v>
      </c>
      <c r="K1262" s="2" t="s">
        <v>7</v>
      </c>
      <c r="L1262" s="2" t="s">
        <v>914</v>
      </c>
      <c r="M1262" s="2" t="s">
        <v>37</v>
      </c>
      <c r="N1262" s="2" t="s">
        <v>291</v>
      </c>
    </row>
    <row r="1263" ht="15.75" customHeight="1">
      <c r="A1263" s="7"/>
      <c r="B1263" s="7"/>
      <c r="C1263" s="7"/>
      <c r="D1263" s="7"/>
    </row>
    <row r="1264" ht="15.75" customHeight="1">
      <c r="A1264" s="7"/>
      <c r="B1264" s="7"/>
      <c r="C1264" s="7"/>
      <c r="D1264" s="7"/>
    </row>
    <row r="1265" ht="15.75" customHeight="1">
      <c r="A1265" s="7"/>
      <c r="B1265" s="7"/>
      <c r="C1265" s="7"/>
      <c r="D1265" s="7"/>
    </row>
    <row r="1266" ht="15.75" customHeight="1">
      <c r="A1266" s="7"/>
      <c r="B1266" s="7"/>
      <c r="C1266" s="7"/>
      <c r="D1266" s="7"/>
    </row>
    <row r="1267" ht="15.75" customHeight="1">
      <c r="A1267" s="7"/>
      <c r="B1267" s="7"/>
      <c r="C1267" s="7"/>
      <c r="D1267" s="7"/>
    </row>
    <row r="1268" ht="15.75" customHeight="1">
      <c r="A1268" s="7"/>
      <c r="B1268" s="7"/>
      <c r="C1268" s="7"/>
      <c r="D1268" s="7"/>
    </row>
    <row r="1269" ht="15.75" customHeight="1">
      <c r="A1269" s="7"/>
      <c r="B1269" s="7"/>
      <c r="C1269" s="7"/>
      <c r="D1269" s="7"/>
    </row>
    <row r="1270" ht="15.75" customHeight="1">
      <c r="A1270" s="7"/>
      <c r="B1270" s="7"/>
      <c r="C1270" s="7"/>
      <c r="D1270" s="7"/>
    </row>
    <row r="1271" ht="15.75" customHeight="1">
      <c r="A1271" s="7"/>
      <c r="B1271" s="7"/>
      <c r="C1271" s="5"/>
      <c r="D1271" s="7"/>
      <c r="F1271" s="2" t="s">
        <v>915</v>
      </c>
      <c r="G1271" s="2" t="s">
        <v>916</v>
      </c>
      <c r="H1271" s="2" t="s">
        <v>912</v>
      </c>
      <c r="I1271" s="2" t="s">
        <v>913</v>
      </c>
      <c r="J1271" s="2" t="s">
        <v>289</v>
      </c>
      <c r="K1271" s="2" t="s">
        <v>7</v>
      </c>
      <c r="L1271" s="2" t="s">
        <v>977</v>
      </c>
      <c r="M1271" s="2" t="s">
        <v>37</v>
      </c>
      <c r="N1271" s="2" t="s">
        <v>919</v>
      </c>
    </row>
    <row r="1272" ht="15.75" customHeight="1">
      <c r="A1272" s="7"/>
      <c r="B1272" s="7"/>
      <c r="C1272" s="7"/>
      <c r="D1272" s="7"/>
    </row>
    <row r="1273" ht="15.75" customHeight="1">
      <c r="A1273" s="7"/>
      <c r="B1273" s="7"/>
      <c r="C1273" s="7"/>
      <c r="D1273" s="7"/>
    </row>
    <row r="1274" ht="15.75" customHeight="1">
      <c r="A1274" s="7"/>
      <c r="B1274" s="7"/>
      <c r="C1274" s="7"/>
      <c r="D1274" s="7"/>
    </row>
    <row r="1275" ht="15.75" customHeight="1">
      <c r="A1275" s="7"/>
      <c r="B1275" s="7"/>
      <c r="C1275" s="7"/>
      <c r="D1275" s="7"/>
    </row>
    <row r="1276" ht="15.75" customHeight="1">
      <c r="A1276" s="7"/>
      <c r="B1276" s="7"/>
      <c r="C1276" s="7"/>
      <c r="D1276" s="7"/>
    </row>
    <row r="1277" ht="15.75" customHeight="1">
      <c r="A1277" s="7"/>
      <c r="B1277" s="7"/>
      <c r="C1277" s="7"/>
      <c r="D1277" s="7"/>
    </row>
    <row r="1278" ht="15.75" customHeight="1">
      <c r="A1278" s="7"/>
      <c r="B1278" s="7"/>
      <c r="C1278" s="7"/>
      <c r="D1278" s="7"/>
    </row>
    <row r="1279" ht="15.75" customHeight="1">
      <c r="A1279" s="7"/>
      <c r="B1279" s="7"/>
      <c r="C1279" s="7"/>
      <c r="D1279" s="7"/>
    </row>
  </sheetData>
  <autoFilter ref="$F$1:$N$1279"/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63.13"/>
    <col customWidth="1" min="2" max="4" width="12.63"/>
    <col customWidth="1" min="5" max="5" width="17.25"/>
    <col customWidth="1" min="6" max="6" width="7.75"/>
    <col customWidth="1" min="7" max="8" width="55.25"/>
    <col customWidth="1" min="15" max="15" width="84.63"/>
    <col customWidth="1" min="18" max="18" width="11.63"/>
    <col customWidth="1" min="19" max="19" width="12.38"/>
    <col customWidth="1" min="20" max="20" width="7.88"/>
    <col customWidth="1" min="21" max="21" width="10.75"/>
    <col customWidth="1" min="23" max="23" width="51.75"/>
    <col customWidth="1" min="25" max="25" width="51.75"/>
    <col customWidth="1" min="27" max="27" width="21.25"/>
  </cols>
  <sheetData>
    <row r="1" ht="15.75" customHeight="1">
      <c r="A1" s="8" t="s">
        <v>922</v>
      </c>
      <c r="B1" s="2" t="s">
        <v>978</v>
      </c>
      <c r="C1" s="2" t="s">
        <v>979</v>
      </c>
      <c r="D1" s="2" t="s">
        <v>980</v>
      </c>
      <c r="E1" s="9" t="s">
        <v>981</v>
      </c>
      <c r="F1" s="7"/>
      <c r="G1" s="7"/>
      <c r="H1" s="10" t="s">
        <v>982</v>
      </c>
      <c r="J1" s="2" t="s">
        <v>983</v>
      </c>
      <c r="K1" s="2" t="s">
        <v>983</v>
      </c>
      <c r="O1" s="11" t="s">
        <v>924</v>
      </c>
      <c r="P1" s="2" t="s">
        <v>984</v>
      </c>
      <c r="Q1" s="2" t="s">
        <v>985</v>
      </c>
      <c r="R1" s="2" t="s">
        <v>986</v>
      </c>
      <c r="S1" s="1"/>
      <c r="W1" s="12" t="s">
        <v>987</v>
      </c>
      <c r="X1" s="7"/>
      <c r="Y1" s="7" t="s">
        <v>987</v>
      </c>
      <c r="Z1" s="7"/>
      <c r="AA1" s="7"/>
      <c r="AB1" s="7"/>
    </row>
    <row r="2" ht="15.75" customHeight="1">
      <c r="A2" s="13" t="s">
        <v>708</v>
      </c>
      <c r="B2" s="2">
        <f t="shared" ref="B2:B143" si="1">LEN(A2)</f>
        <v>36</v>
      </c>
      <c r="C2" s="2">
        <f t="shared" ref="C2:C143" si="2">FIND("(",A2,1)</f>
        <v>27</v>
      </c>
      <c r="D2" s="2">
        <f t="shared" ref="D2:D143" si="3">B2-C2</f>
        <v>9</v>
      </c>
      <c r="E2" s="9" t="str">
        <f t="shared" ref="E2:E143" si="4">RIGHT(A2,D2)</f>
        <v>Est-1996)</v>
      </c>
      <c r="F2" s="7" t="str">
        <f t="shared" ref="F2:F37" si="5">MID(E2,FIND("Est-",E2)+4,4)</f>
        <v>1996</v>
      </c>
      <c r="G2" s="7"/>
      <c r="H2" s="10" t="str">
        <f t="shared" ref="H2:H143" si="6">LEFT(A2,C2-1)</f>
        <v>ABASHAN UPODESHTA LIMITED </v>
      </c>
      <c r="J2" s="2" t="s">
        <v>988</v>
      </c>
      <c r="K2" s="2" t="s">
        <v>989</v>
      </c>
      <c r="O2" s="14" t="s">
        <v>990</v>
      </c>
      <c r="P2" s="2">
        <f t="shared" ref="P2:P143" si="7">LEN(O2)</f>
        <v>17</v>
      </c>
      <c r="Q2" s="2" t="str">
        <f t="shared" ref="Q2:Q143" si="8">FIND("C",O2)</f>
        <v>#VALUE!</v>
      </c>
      <c r="S2" s="1" t="str">
        <f>IFERROR(RIGHT(O2,Q2-1),"-")</f>
        <v>-</v>
      </c>
      <c r="U2" s="2" t="s">
        <v>991</v>
      </c>
      <c r="W2" s="15" t="str">
        <f>IFERROR(__xludf.DUMMYFUNCTION("SPLIT(O2,""C)"")")," mail@abashan.com")</f>
        <v> mail@abashan.com</v>
      </c>
      <c r="X2" s="7"/>
      <c r="Y2" s="7" t="s">
        <v>990</v>
      </c>
      <c r="Z2" s="7"/>
      <c r="AA2" s="7"/>
      <c r="AB2" s="7"/>
    </row>
    <row r="3" ht="15.75" customHeight="1">
      <c r="A3" s="13" t="s">
        <v>714</v>
      </c>
      <c r="B3" s="2">
        <f t="shared" si="1"/>
        <v>39</v>
      </c>
      <c r="C3" s="2">
        <f t="shared" si="2"/>
        <v>30</v>
      </c>
      <c r="D3" s="2">
        <f t="shared" si="3"/>
        <v>9</v>
      </c>
      <c r="E3" s="9" t="str">
        <f t="shared" si="4"/>
        <v>Est-2005)</v>
      </c>
      <c r="F3" s="7" t="str">
        <f t="shared" si="5"/>
        <v>2005</v>
      </c>
      <c r="G3" s="7"/>
      <c r="H3" s="10" t="str">
        <f t="shared" si="6"/>
        <v>ADS ARCHITECTS DESIGN STUDIO </v>
      </c>
      <c r="J3" s="2" t="s">
        <v>992</v>
      </c>
      <c r="K3" s="2" t="s">
        <v>993</v>
      </c>
      <c r="O3" s="14" t="s">
        <v>994</v>
      </c>
      <c r="P3" s="2">
        <f t="shared" si="7"/>
        <v>54</v>
      </c>
      <c r="Q3" s="2">
        <f t="shared" si="8"/>
        <v>32</v>
      </c>
      <c r="R3" s="2">
        <f t="shared" ref="R3:R143" si="9">P3-Q3</f>
        <v>22</v>
      </c>
      <c r="S3" s="1" t="str">
        <f t="shared" ref="S3:S143" si="10">RIGHT(O3,R3+1)</f>
        <v>Contact: +88-02-8950536</v>
      </c>
      <c r="U3" s="2" t="s">
        <v>995</v>
      </c>
      <c r="W3" s="15" t="str">
        <f>IFERROR(__xludf.DUMMYFUNCTION("SPLIT(O3,""C)"")")," ads.architectstudio@gmail.com ")</f>
        <v> ads.architectstudio@gmail.com </v>
      </c>
      <c r="X3" s="7" t="str">
        <f>IFERROR(__xludf.DUMMYFUNCTION("""COMPUTED_VALUE"""),"ontact: +88-02-8950536")</f>
        <v>ontact: +88-02-8950536</v>
      </c>
      <c r="Y3" s="7" t="s">
        <v>996</v>
      </c>
      <c r="Z3" s="7"/>
      <c r="AA3" s="7"/>
      <c r="AB3" s="7"/>
    </row>
    <row r="4" ht="15.75" customHeight="1">
      <c r="A4" s="13" t="s">
        <v>720</v>
      </c>
      <c r="B4" s="2">
        <f t="shared" si="1"/>
        <v>17</v>
      </c>
      <c r="C4" s="2">
        <f t="shared" si="2"/>
        <v>8</v>
      </c>
      <c r="D4" s="2">
        <f t="shared" si="3"/>
        <v>9</v>
      </c>
      <c r="E4" s="9" t="str">
        <f t="shared" si="4"/>
        <v>Est-2008)</v>
      </c>
      <c r="F4" s="7" t="str">
        <f t="shared" si="5"/>
        <v>2008</v>
      </c>
      <c r="G4" s="7"/>
      <c r="H4" s="10" t="str">
        <f t="shared" si="6"/>
        <v>AKRITY </v>
      </c>
      <c r="J4" s="2" t="s">
        <v>997</v>
      </c>
      <c r="K4" s="2" t="s">
        <v>998</v>
      </c>
      <c r="O4" s="14" t="s">
        <v>999</v>
      </c>
      <c r="P4" s="2">
        <f t="shared" si="7"/>
        <v>21</v>
      </c>
      <c r="Q4" s="2" t="str">
        <f t="shared" si="8"/>
        <v>#VALUE!</v>
      </c>
      <c r="R4" s="2" t="str">
        <f t="shared" si="9"/>
        <v>#VALUE!</v>
      </c>
      <c r="S4" s="1" t="str">
        <f t="shared" si="10"/>
        <v>#VALUE!</v>
      </c>
      <c r="U4" s="2" t="e">
        <v>#VALUE!</v>
      </c>
      <c r="W4" s="15" t="str">
        <f>IFERROR(__xludf.DUMMYFUNCTION("SPLIT(O4,""C)"")")," akriti.si@gmail.com,")</f>
        <v> akriti.si@gmail.com,</v>
      </c>
      <c r="X4" s="7"/>
      <c r="Y4" s="7" t="s">
        <v>999</v>
      </c>
      <c r="Z4" s="7"/>
      <c r="AA4" s="7"/>
      <c r="AB4" s="7"/>
    </row>
    <row r="5" ht="15.75" customHeight="1">
      <c r="A5" s="13" t="s">
        <v>726</v>
      </c>
      <c r="B5" s="2">
        <f t="shared" si="1"/>
        <v>35</v>
      </c>
      <c r="C5" s="2">
        <f t="shared" si="2"/>
        <v>20</v>
      </c>
      <c r="D5" s="2">
        <f t="shared" si="3"/>
        <v>15</v>
      </c>
      <c r="E5" s="9" t="str">
        <f t="shared" si="4"/>
        <v>Est-25/01/2006)</v>
      </c>
      <c r="F5" s="7" t="str">
        <f t="shared" si="5"/>
        <v>25/0</v>
      </c>
      <c r="G5" s="7"/>
      <c r="H5" s="10" t="str">
        <f t="shared" si="6"/>
        <v>ANWAR &amp; ASSOCIATES </v>
      </c>
      <c r="J5" s="2">
        <v>2006.0</v>
      </c>
      <c r="K5" s="2" t="s">
        <v>1000</v>
      </c>
      <c r="O5" s="14" t="s">
        <v>1001</v>
      </c>
      <c r="P5" s="2">
        <f t="shared" si="7"/>
        <v>41</v>
      </c>
      <c r="Q5" s="2">
        <f t="shared" si="8"/>
        <v>19</v>
      </c>
      <c r="R5" s="2">
        <f t="shared" si="9"/>
        <v>22</v>
      </c>
      <c r="S5" s="1" t="str">
        <f t="shared" si="10"/>
        <v>Contact: +88-02-8837313</v>
      </c>
      <c r="U5" s="2" t="s">
        <v>1002</v>
      </c>
      <c r="W5" s="15" t="str">
        <f>IFERROR(__xludf.DUMMYFUNCTION("SPLIT(O5,""C)"")")," ahaq06@yahoo.com ")</f>
        <v> ahaq06@yahoo.com </v>
      </c>
      <c r="X5" s="7" t="str">
        <f>IFERROR(__xludf.DUMMYFUNCTION("""COMPUTED_VALUE"""),"ontact: +88-02-8837313")</f>
        <v>ontact: +88-02-8837313</v>
      </c>
      <c r="Y5" s="7" t="s">
        <v>1003</v>
      </c>
      <c r="Z5" s="7"/>
      <c r="AA5" s="7"/>
      <c r="AB5" s="7"/>
    </row>
    <row r="6" ht="15.75" customHeight="1">
      <c r="A6" s="13" t="s">
        <v>732</v>
      </c>
      <c r="B6" s="2">
        <f t="shared" si="1"/>
        <v>40</v>
      </c>
      <c r="C6" s="2">
        <f t="shared" si="2"/>
        <v>31</v>
      </c>
      <c r="D6" s="2">
        <f t="shared" si="3"/>
        <v>9</v>
      </c>
      <c r="E6" s="9" t="str">
        <f t="shared" si="4"/>
        <v>Est-1982)</v>
      </c>
      <c r="F6" s="7" t="str">
        <f t="shared" si="5"/>
        <v>1982</v>
      </c>
      <c r="G6" s="7"/>
      <c r="H6" s="10" t="str">
        <f t="shared" si="6"/>
        <v>ARC ARCHITECTURAL CONSULTANTS </v>
      </c>
      <c r="J6" s="2" t="s">
        <v>1004</v>
      </c>
      <c r="K6" s="2" t="s">
        <v>1005</v>
      </c>
      <c r="O6" s="14" t="s">
        <v>1006</v>
      </c>
      <c r="P6" s="2">
        <f t="shared" si="7"/>
        <v>47</v>
      </c>
      <c r="Q6" s="2" t="str">
        <f t="shared" si="8"/>
        <v>#VALUE!</v>
      </c>
      <c r="R6" s="2" t="str">
        <f t="shared" si="9"/>
        <v>#VALUE!</v>
      </c>
      <c r="S6" s="1" t="str">
        <f t="shared" si="10"/>
        <v>#VALUE!</v>
      </c>
      <c r="U6" s="2" t="e">
        <v>#VALUE!</v>
      </c>
      <c r="W6" s="15" t="str">
        <f>IFERROR(__xludf.DUMMYFUNCTION("SPLIT(O6,""C)"")")," arc.architect@gmail.com, nahaskhalil@yahoo.com")</f>
        <v> arc.architect@gmail.com, nahaskhalil@yahoo.com</v>
      </c>
      <c r="X6" s="7"/>
      <c r="Y6" s="7" t="s">
        <v>1006</v>
      </c>
      <c r="Z6" s="7"/>
      <c r="AA6" s="7"/>
      <c r="AB6" s="7"/>
    </row>
    <row r="7" ht="15.75" customHeight="1">
      <c r="A7" s="13" t="s">
        <v>739</v>
      </c>
      <c r="B7" s="2">
        <f t="shared" si="1"/>
        <v>20</v>
      </c>
      <c r="C7" s="2">
        <f t="shared" si="2"/>
        <v>11</v>
      </c>
      <c r="D7" s="2">
        <f t="shared" si="3"/>
        <v>9</v>
      </c>
      <c r="E7" s="9" t="str">
        <f t="shared" si="4"/>
        <v>Est-2012)</v>
      </c>
      <c r="F7" s="7" t="str">
        <f t="shared" si="5"/>
        <v>2012</v>
      </c>
      <c r="G7" s="7"/>
      <c r="H7" s="10" t="str">
        <f t="shared" si="6"/>
        <v>ARCHDOERS </v>
      </c>
      <c r="J7" s="2" t="s">
        <v>1007</v>
      </c>
      <c r="K7" s="2" t="s">
        <v>1008</v>
      </c>
      <c r="O7" s="14" t="s">
        <v>1009</v>
      </c>
      <c r="P7" s="2">
        <f t="shared" si="7"/>
        <v>54</v>
      </c>
      <c r="Q7" s="2">
        <f t="shared" si="8"/>
        <v>22</v>
      </c>
      <c r="R7" s="2">
        <f t="shared" si="9"/>
        <v>32</v>
      </c>
      <c r="S7" s="1" t="str">
        <f t="shared" si="10"/>
        <v>Contact: 01816506988, 01816506989</v>
      </c>
      <c r="U7" s="2" t="s">
        <v>1010</v>
      </c>
      <c r="W7" s="15" t="str">
        <f>IFERROR(__xludf.DUMMYFUNCTION("SPLIT(O7,""C)"")")," archdoers@gmail.com ")</f>
        <v> archdoers@gmail.com </v>
      </c>
      <c r="X7" s="7" t="str">
        <f>IFERROR(__xludf.DUMMYFUNCTION("""COMPUTED_VALUE"""),"ontact: 01816506988, 01816506989")</f>
        <v>ontact: 01816506988, 01816506989</v>
      </c>
      <c r="Y7" s="7" t="s">
        <v>1011</v>
      </c>
      <c r="Z7" s="7"/>
      <c r="AA7" s="7"/>
      <c r="AB7" s="7"/>
    </row>
    <row r="8" ht="15.75" customHeight="1">
      <c r="A8" s="13" t="s">
        <v>745</v>
      </c>
      <c r="B8" s="2">
        <f t="shared" si="1"/>
        <v>27</v>
      </c>
      <c r="C8" s="2">
        <f t="shared" si="2"/>
        <v>18</v>
      </c>
      <c r="D8" s="2">
        <f t="shared" si="3"/>
        <v>9</v>
      </c>
      <c r="E8" s="9" t="str">
        <f t="shared" si="4"/>
        <v>Est-2012)</v>
      </c>
      <c r="F8" s="7" t="str">
        <f t="shared" si="5"/>
        <v>2012</v>
      </c>
      <c r="G8" s="7"/>
      <c r="H8" s="10" t="str">
        <f t="shared" si="6"/>
        <v>ARCHEGROUND LTD. </v>
      </c>
      <c r="J8" s="2" t="s">
        <v>1007</v>
      </c>
      <c r="K8" s="2" t="s">
        <v>1012</v>
      </c>
      <c r="O8" s="14" t="s">
        <v>1013</v>
      </c>
      <c r="P8" s="2">
        <f t="shared" si="7"/>
        <v>47</v>
      </c>
      <c r="Q8" s="2" t="str">
        <f t="shared" si="8"/>
        <v>#VALUE!</v>
      </c>
      <c r="R8" s="2" t="str">
        <f t="shared" si="9"/>
        <v>#VALUE!</v>
      </c>
      <c r="S8" s="1" t="str">
        <f t="shared" si="10"/>
        <v>#VALUE!</v>
      </c>
      <c r="U8" s="2" t="e">
        <v>#VALUE!</v>
      </c>
      <c r="W8" s="15" t="str">
        <f>IFERROR(__xludf.DUMMYFUNCTION("SPLIT(O8,""C)"")")," studio@archeground.com, arche_ground@yahoo.com")</f>
        <v> studio@archeground.com, arche_ground@yahoo.com</v>
      </c>
      <c r="X8" s="7"/>
      <c r="Y8" s="7" t="s">
        <v>1013</v>
      </c>
      <c r="Z8" s="7"/>
      <c r="AA8" s="7"/>
      <c r="AB8" s="7"/>
    </row>
    <row r="9" ht="15.75" customHeight="1">
      <c r="A9" s="13" t="s">
        <v>754</v>
      </c>
      <c r="B9" s="2">
        <f t="shared" si="1"/>
        <v>20</v>
      </c>
      <c r="C9" s="2">
        <f t="shared" si="2"/>
        <v>11</v>
      </c>
      <c r="D9" s="2">
        <f t="shared" si="3"/>
        <v>9</v>
      </c>
      <c r="E9" s="9" t="str">
        <f t="shared" si="4"/>
        <v>Est-2010)</v>
      </c>
      <c r="F9" s="7" t="str">
        <f t="shared" si="5"/>
        <v>2010</v>
      </c>
      <c r="G9" s="7"/>
      <c r="H9" s="10" t="str">
        <f t="shared" si="6"/>
        <v>ARCHFIELD </v>
      </c>
      <c r="J9" s="2" t="s">
        <v>1014</v>
      </c>
      <c r="K9" s="2" t="s">
        <v>1015</v>
      </c>
      <c r="O9" s="14" t="s">
        <v>1016</v>
      </c>
      <c r="P9" s="2">
        <f t="shared" si="7"/>
        <v>58</v>
      </c>
      <c r="Q9" s="2">
        <f t="shared" si="8"/>
        <v>26</v>
      </c>
      <c r="R9" s="2">
        <f t="shared" si="9"/>
        <v>32</v>
      </c>
      <c r="S9" s="1" t="str">
        <f t="shared" si="10"/>
        <v>Contact: 01713338002, 01819117710</v>
      </c>
      <c r="U9" s="2" t="s">
        <v>1017</v>
      </c>
      <c r="W9" s="15" t="str">
        <f>IFERROR(__xludf.DUMMYFUNCTION("SPLIT(O9,""C)"")")," archfield2010@gmail.com ")</f>
        <v> archfield2010@gmail.com </v>
      </c>
      <c r="X9" s="7" t="str">
        <f>IFERROR(__xludf.DUMMYFUNCTION("""COMPUTED_VALUE"""),"ontact: 01713338002, 01819117710")</f>
        <v>ontact: 01713338002, 01819117710</v>
      </c>
      <c r="Y9" s="7" t="s">
        <v>1018</v>
      </c>
      <c r="Z9" s="7"/>
      <c r="AA9" s="7"/>
      <c r="AB9" s="7"/>
    </row>
    <row r="10" ht="15.75" customHeight="1">
      <c r="A10" s="13" t="s">
        <v>761</v>
      </c>
      <c r="B10" s="2">
        <f t="shared" si="1"/>
        <v>50</v>
      </c>
      <c r="C10" s="2">
        <f t="shared" si="2"/>
        <v>35</v>
      </c>
      <c r="D10" s="2">
        <f t="shared" si="3"/>
        <v>15</v>
      </c>
      <c r="E10" s="9" t="str">
        <f t="shared" si="4"/>
        <v>Est-02/04/1998)</v>
      </c>
      <c r="F10" s="7" t="str">
        <f t="shared" si="5"/>
        <v>02/0</v>
      </c>
      <c r="G10" s="7"/>
      <c r="H10" s="10" t="str">
        <f t="shared" si="6"/>
        <v>ARCHITECT HASAN &amp; ASSOCIATES LTD. </v>
      </c>
      <c r="J10" s="2">
        <v>1998.0</v>
      </c>
      <c r="K10" s="2" t="s">
        <v>1019</v>
      </c>
      <c r="O10" s="14" t="s">
        <v>1020</v>
      </c>
      <c r="P10" s="2">
        <f t="shared" si="7"/>
        <v>47</v>
      </c>
      <c r="Q10" s="2">
        <f t="shared" si="8"/>
        <v>25</v>
      </c>
      <c r="R10" s="2">
        <f t="shared" si="9"/>
        <v>22</v>
      </c>
      <c r="S10" s="1" t="str">
        <f t="shared" si="10"/>
        <v>Contact: +88-02-8125830</v>
      </c>
      <c r="U10" s="2" t="s">
        <v>1021</v>
      </c>
      <c r="W10" s="15" t="str">
        <f>IFERROR(__xludf.DUMMYFUNCTION("SPLIT(O10,""C)"")")," cmfoundation@gmail.com ")</f>
        <v> cmfoundation@gmail.com </v>
      </c>
      <c r="X10" s="7" t="str">
        <f>IFERROR(__xludf.DUMMYFUNCTION("""COMPUTED_VALUE"""),"ontact: +88-02-8125830")</f>
        <v>ontact: +88-02-8125830</v>
      </c>
      <c r="Y10" s="7" t="s">
        <v>1022</v>
      </c>
      <c r="Z10" s="7"/>
      <c r="AA10" s="7"/>
      <c r="AB10" s="7"/>
    </row>
    <row r="11" ht="15.75" customHeight="1">
      <c r="A11" s="13" t="s">
        <v>766</v>
      </c>
      <c r="B11" s="2">
        <f t="shared" si="1"/>
        <v>43</v>
      </c>
      <c r="C11" s="2">
        <f t="shared" si="2"/>
        <v>26</v>
      </c>
      <c r="D11" s="2">
        <f t="shared" si="3"/>
        <v>17</v>
      </c>
      <c r="E11" s="9" t="str">
        <f t="shared" si="4"/>
        <v>ARCON) (Est-1996)</v>
      </c>
      <c r="F11" s="7" t="str">
        <f t="shared" si="5"/>
        <v>1996</v>
      </c>
      <c r="G11" s="7"/>
      <c r="H11" s="10" t="str">
        <f t="shared" si="6"/>
        <v>ARCHITECTES CONTEMPORAIN </v>
      </c>
      <c r="J11" s="2" t="s">
        <v>988</v>
      </c>
      <c r="K11" s="2" t="s">
        <v>1023</v>
      </c>
      <c r="O11" s="14" t="s">
        <v>1024</v>
      </c>
      <c r="P11" s="2">
        <f t="shared" si="7"/>
        <v>55</v>
      </c>
      <c r="Q11" s="2">
        <f t="shared" si="8"/>
        <v>21</v>
      </c>
      <c r="R11" s="2">
        <f t="shared" si="9"/>
        <v>34</v>
      </c>
      <c r="S11" s="1" t="str">
        <f t="shared" si="10"/>
        <v>Contact: 044-78004350, 044-78004353</v>
      </c>
      <c r="U11" s="2" t="s">
        <v>1025</v>
      </c>
      <c r="W11" s="15" t="str">
        <f>IFERROR(__xludf.DUMMYFUNCTION("SPLIT(O11,""C)"")")," sazal953@gmail.com ")</f>
        <v> sazal953@gmail.com </v>
      </c>
      <c r="X11" s="7" t="str">
        <f>IFERROR(__xludf.DUMMYFUNCTION("""COMPUTED_VALUE"""),"ontact: 044-78004350, 044-78004353")</f>
        <v>ontact: 044-78004350, 044-78004353</v>
      </c>
      <c r="Y11" s="7" t="s">
        <v>1026</v>
      </c>
      <c r="Z11" s="7"/>
      <c r="AA11" s="7"/>
      <c r="AB11" s="7"/>
    </row>
    <row r="12" ht="15.75" customHeight="1">
      <c r="A12" s="13" t="s">
        <v>771</v>
      </c>
      <c r="B12" s="2">
        <f t="shared" si="1"/>
        <v>33</v>
      </c>
      <c r="C12" s="2">
        <f t="shared" si="2"/>
        <v>24</v>
      </c>
      <c r="D12" s="2">
        <f t="shared" si="3"/>
        <v>9</v>
      </c>
      <c r="E12" s="9" t="str">
        <f t="shared" si="4"/>
        <v>Est-2009)</v>
      </c>
      <c r="F12" s="7" t="str">
        <f t="shared" si="5"/>
        <v>2009</v>
      </c>
      <c r="G12" s="7"/>
      <c r="H12" s="10" t="str">
        <f t="shared" si="6"/>
        <v>ARCHIWORKS CONSULTANTS </v>
      </c>
      <c r="J12" s="2" t="s">
        <v>1027</v>
      </c>
      <c r="K12" s="2" t="s">
        <v>1028</v>
      </c>
      <c r="O12" s="14" t="s">
        <v>1029</v>
      </c>
      <c r="P12" s="2">
        <f t="shared" si="7"/>
        <v>26</v>
      </c>
      <c r="Q12" s="2" t="str">
        <f t="shared" si="8"/>
        <v>#VALUE!</v>
      </c>
      <c r="R12" s="2" t="str">
        <f t="shared" si="9"/>
        <v>#VALUE!</v>
      </c>
      <c r="S12" s="1" t="str">
        <f t="shared" si="10"/>
        <v>#VALUE!</v>
      </c>
      <c r="U12" s="2" t="e">
        <v>#VALUE!</v>
      </c>
      <c r="W12" s="15" t="str">
        <f>IFERROR(__xludf.DUMMYFUNCTION("SPLIT(O12,""C)"")")," archiworks.bd@hotmail.com")</f>
        <v> archiworks.bd@hotmail.com</v>
      </c>
      <c r="X12" s="7"/>
      <c r="Y12" s="7" t="s">
        <v>1029</v>
      </c>
      <c r="Z12" s="7"/>
      <c r="AA12" s="7"/>
      <c r="AB12" s="7"/>
    </row>
    <row r="13" ht="15.75" customHeight="1">
      <c r="A13" s="13" t="s">
        <v>777</v>
      </c>
      <c r="B13" s="2">
        <f t="shared" si="1"/>
        <v>18</v>
      </c>
      <c r="C13" s="2">
        <f t="shared" si="2"/>
        <v>9</v>
      </c>
      <c r="D13" s="2">
        <f t="shared" si="3"/>
        <v>9</v>
      </c>
      <c r="E13" s="9" t="str">
        <f t="shared" si="4"/>
        <v>Est-1997)</v>
      </c>
      <c r="F13" s="7" t="str">
        <f t="shared" si="5"/>
        <v>1997</v>
      </c>
      <c r="G13" s="7"/>
      <c r="H13" s="10" t="str">
        <f t="shared" si="6"/>
        <v>ARCHSEL </v>
      </c>
      <c r="J13" s="2" t="s">
        <v>1030</v>
      </c>
      <c r="K13" s="2" t="s">
        <v>1031</v>
      </c>
      <c r="O13" s="14" t="s">
        <v>1032</v>
      </c>
      <c r="P13" s="2">
        <f t="shared" si="7"/>
        <v>17</v>
      </c>
      <c r="Q13" s="2" t="str">
        <f t="shared" si="8"/>
        <v>#VALUE!</v>
      </c>
      <c r="R13" s="2" t="str">
        <f t="shared" si="9"/>
        <v>#VALUE!</v>
      </c>
      <c r="S13" s="1" t="str">
        <f t="shared" si="10"/>
        <v>#VALUE!</v>
      </c>
      <c r="U13" s="2" t="e">
        <v>#VALUE!</v>
      </c>
      <c r="W13" s="15" t="str">
        <f>IFERROR(__xludf.DUMMYFUNCTION("SPLIT(O13,""C)"")")," mail@archsel.com")</f>
        <v> mail@archsel.com</v>
      </c>
      <c r="X13" s="7"/>
      <c r="Y13" s="7" t="s">
        <v>1032</v>
      </c>
      <c r="Z13" s="7"/>
      <c r="AA13" s="7"/>
      <c r="AB13" s="7"/>
    </row>
    <row r="14" ht="15.75" customHeight="1">
      <c r="A14" s="13" t="s">
        <v>784</v>
      </c>
      <c r="B14" s="2">
        <f t="shared" si="1"/>
        <v>29</v>
      </c>
      <c r="C14" s="2">
        <f t="shared" si="2"/>
        <v>20</v>
      </c>
      <c r="D14" s="2">
        <f t="shared" si="3"/>
        <v>9</v>
      </c>
      <c r="E14" s="9" t="str">
        <f t="shared" si="4"/>
        <v>Est-2004)</v>
      </c>
      <c r="F14" s="7" t="str">
        <f t="shared" si="5"/>
        <v>2004</v>
      </c>
      <c r="G14" s="7"/>
      <c r="H14" s="10" t="str">
        <f t="shared" si="6"/>
        <v>ARESCON CONSULTANT </v>
      </c>
      <c r="J14" s="2" t="s">
        <v>1033</v>
      </c>
      <c r="K14" s="2" t="s">
        <v>1034</v>
      </c>
      <c r="O14" s="14" t="s">
        <v>1035</v>
      </c>
      <c r="P14" s="2">
        <f t="shared" si="7"/>
        <v>42</v>
      </c>
      <c r="Q14" s="2">
        <f t="shared" si="8"/>
        <v>20</v>
      </c>
      <c r="R14" s="2">
        <f t="shared" si="9"/>
        <v>22</v>
      </c>
      <c r="S14" s="1" t="str">
        <f t="shared" si="10"/>
        <v>Contact: +88-02-8151121</v>
      </c>
      <c r="U14" s="2" t="s">
        <v>1036</v>
      </c>
      <c r="W14" s="15" t="str">
        <f>IFERROR(__xludf.DUMMYFUNCTION("SPLIT(O14,""C)"")")," arescon@gmail.com ")</f>
        <v> arescon@gmail.com </v>
      </c>
      <c r="X14" s="7" t="str">
        <f>IFERROR(__xludf.DUMMYFUNCTION("""COMPUTED_VALUE"""),"ontact: +88-02-8151121")</f>
        <v>ontact: +88-02-8151121</v>
      </c>
      <c r="Y14" s="7" t="s">
        <v>1037</v>
      </c>
      <c r="Z14" s="7"/>
      <c r="AA14" s="7"/>
      <c r="AB14" s="7"/>
    </row>
    <row r="15" ht="15.75" customHeight="1">
      <c r="A15" s="13" t="s">
        <v>789</v>
      </c>
      <c r="B15" s="2">
        <f t="shared" si="1"/>
        <v>56</v>
      </c>
      <c r="C15" s="2">
        <f t="shared" si="2"/>
        <v>50</v>
      </c>
      <c r="D15" s="2">
        <f t="shared" si="3"/>
        <v>6</v>
      </c>
      <c r="E15" s="9" t="str">
        <f t="shared" si="4"/>
        <v>Est- )</v>
      </c>
      <c r="F15" s="7" t="str">
        <f t="shared" si="5"/>
        <v> )</v>
      </c>
      <c r="G15" s="7"/>
      <c r="H15" s="10" t="str">
        <f t="shared" si="6"/>
        <v>ARTISAN ARCHITECTS ENGINEERS &amp; DEVELOPMENTS LTD. </v>
      </c>
      <c r="K15" s="2" t="s">
        <v>1038</v>
      </c>
      <c r="O15" s="14" t="s">
        <v>1039</v>
      </c>
      <c r="P15" s="2">
        <f t="shared" si="7"/>
        <v>19</v>
      </c>
      <c r="Q15" s="2" t="str">
        <f t="shared" si="8"/>
        <v>#VALUE!</v>
      </c>
      <c r="R15" s="2" t="str">
        <f t="shared" si="9"/>
        <v>#VALUE!</v>
      </c>
      <c r="S15" s="1" t="str">
        <f t="shared" si="10"/>
        <v>#VALUE!</v>
      </c>
      <c r="U15" s="2" t="e">
        <v>#VALUE!</v>
      </c>
      <c r="W15" s="15" t="str">
        <f>IFERROR(__xludf.DUMMYFUNCTION("SPLIT(O15,""C)"")")," info@artisanbd.com")</f>
        <v> info@artisanbd.com</v>
      </c>
      <c r="X15" s="7"/>
      <c r="Y15" s="7" t="s">
        <v>1039</v>
      </c>
      <c r="Z15" s="7"/>
      <c r="AA15" s="7"/>
      <c r="AB15" s="7"/>
    </row>
    <row r="16" ht="15.75" customHeight="1">
      <c r="A16" s="13" t="s">
        <v>795</v>
      </c>
      <c r="B16" s="2">
        <f t="shared" si="1"/>
        <v>34</v>
      </c>
      <c r="C16" s="2">
        <f t="shared" si="2"/>
        <v>25</v>
      </c>
      <c r="D16" s="2">
        <f t="shared" si="3"/>
        <v>9</v>
      </c>
      <c r="E16" s="9" t="str">
        <f t="shared" si="4"/>
        <v>Est-2010)</v>
      </c>
      <c r="F16" s="7" t="str">
        <f t="shared" si="5"/>
        <v>2010</v>
      </c>
      <c r="G16" s="7"/>
      <c r="H16" s="10" t="str">
        <f t="shared" si="6"/>
        <v>ARTYSPACE DESIGN STUDIO </v>
      </c>
      <c r="J16" s="2" t="s">
        <v>1014</v>
      </c>
      <c r="K16" s="2" t="s">
        <v>1040</v>
      </c>
      <c r="O16" s="14" t="s">
        <v>1041</v>
      </c>
      <c r="P16" s="2">
        <f t="shared" si="7"/>
        <v>58</v>
      </c>
      <c r="Q16" s="2">
        <f t="shared" si="8"/>
        <v>35</v>
      </c>
      <c r="R16" s="2">
        <f t="shared" si="9"/>
        <v>23</v>
      </c>
      <c r="S16" s="1" t="str">
        <f t="shared" si="10"/>
        <v>Contact: +88-031-2867388</v>
      </c>
      <c r="U16" s="2" t="s">
        <v>1042</v>
      </c>
      <c r="W16" s="15" t="str">
        <f>IFERROR(__xludf.DUMMYFUNCTION("SPLIT(O16,""C)"")")," artyspace.designstudio@gmail.com ")</f>
        <v> artyspace.designstudio@gmail.com </v>
      </c>
      <c r="X16" s="7" t="str">
        <f>IFERROR(__xludf.DUMMYFUNCTION("""COMPUTED_VALUE"""),"ontact: +88-031-2867388")</f>
        <v>ontact: +88-031-2867388</v>
      </c>
      <c r="Y16" s="7" t="s">
        <v>1043</v>
      </c>
      <c r="Z16" s="7"/>
      <c r="AA16" s="7"/>
      <c r="AB16" s="7"/>
    </row>
    <row r="17" ht="15.75" customHeight="1">
      <c r="A17" s="13" t="s">
        <v>800</v>
      </c>
      <c r="B17" s="2">
        <f t="shared" si="1"/>
        <v>50</v>
      </c>
      <c r="C17" s="2">
        <f t="shared" si="2"/>
        <v>41</v>
      </c>
      <c r="D17" s="2">
        <f t="shared" si="3"/>
        <v>9</v>
      </c>
      <c r="E17" s="9" t="str">
        <f t="shared" si="4"/>
        <v>Est-2009)</v>
      </c>
      <c r="F17" s="7" t="str">
        <f t="shared" si="5"/>
        <v>2009</v>
      </c>
      <c r="G17" s="7"/>
      <c r="H17" s="10" t="str">
        <f t="shared" si="6"/>
        <v>AHMED HOSSAIN ARCHITECTS AND ASSOCIATES </v>
      </c>
      <c r="J17" s="2" t="s">
        <v>1027</v>
      </c>
      <c r="K17" s="2" t="s">
        <v>1044</v>
      </c>
      <c r="O17" s="14" t="s">
        <v>1045</v>
      </c>
      <c r="P17" s="2">
        <f t="shared" si="7"/>
        <v>82</v>
      </c>
      <c r="Q17" s="2">
        <f t="shared" si="8"/>
        <v>43</v>
      </c>
      <c r="R17" s="2">
        <f t="shared" si="9"/>
        <v>39</v>
      </c>
      <c r="S17" s="1" t="str">
        <f t="shared" si="10"/>
        <v>Contact: +88016179672992, +8801727672992</v>
      </c>
      <c r="U17" s="2" t="s">
        <v>1046</v>
      </c>
      <c r="W17" s="15" t="str">
        <f>IFERROR(__xludf.DUMMYFUNCTION("SPLIT(O17,""C)"")")," ahaaabd17@gmail.com, ashraf303@yahoo.com ")</f>
        <v> ahaaabd17@gmail.com, ashraf303@yahoo.com </v>
      </c>
      <c r="X17" s="7" t="str">
        <f>IFERROR(__xludf.DUMMYFUNCTION("""COMPUTED_VALUE"""),"ontact: +88016179672992, +8801727672992")</f>
        <v>ontact: +88016179672992, +8801727672992</v>
      </c>
      <c r="Y17" s="7" t="s">
        <v>1047</v>
      </c>
      <c r="Z17" s="7"/>
      <c r="AA17" s="7"/>
      <c r="AB17" s="7"/>
    </row>
    <row r="18" ht="15.75" customHeight="1">
      <c r="A18" s="13" t="s">
        <v>806</v>
      </c>
      <c r="B18" s="2">
        <f t="shared" si="1"/>
        <v>27</v>
      </c>
      <c r="C18" s="2">
        <f t="shared" si="2"/>
        <v>18</v>
      </c>
      <c r="D18" s="2">
        <f t="shared" si="3"/>
        <v>9</v>
      </c>
      <c r="E18" s="9" t="str">
        <f t="shared" si="4"/>
        <v>Est-2010)</v>
      </c>
      <c r="F18" s="7" t="str">
        <f t="shared" si="5"/>
        <v>2010</v>
      </c>
      <c r="G18" s="7"/>
      <c r="H18" s="10" t="str">
        <f t="shared" si="6"/>
        <v>ALIGN ARCHITECTS </v>
      </c>
      <c r="J18" s="2" t="s">
        <v>1014</v>
      </c>
      <c r="K18" s="2" t="s">
        <v>1048</v>
      </c>
      <c r="O18" s="14" t="s">
        <v>1049</v>
      </c>
      <c r="P18" s="2">
        <f t="shared" si="7"/>
        <v>23</v>
      </c>
      <c r="Q18" s="2" t="str">
        <f t="shared" si="8"/>
        <v>#VALUE!</v>
      </c>
      <c r="R18" s="2" t="str">
        <f t="shared" si="9"/>
        <v>#VALUE!</v>
      </c>
      <c r="S18" s="1" t="str">
        <f t="shared" si="10"/>
        <v>#VALUE!</v>
      </c>
      <c r="U18" s="2" t="e">
        <v>#VALUE!</v>
      </c>
      <c r="W18" s="15" t="str">
        <f>IFERROR(__xludf.DUMMYFUNCTION("SPLIT(O18,""C)"")")," hossan_0047@yahioo.com")</f>
        <v> hossan_0047@yahioo.com</v>
      </c>
      <c r="X18" s="7"/>
      <c r="Y18" s="7" t="s">
        <v>1049</v>
      </c>
      <c r="Z18" s="7"/>
      <c r="AA18" s="7"/>
      <c r="AB18" s="7"/>
    </row>
    <row r="19" ht="15.75" customHeight="1">
      <c r="A19" s="13" t="s">
        <v>812</v>
      </c>
      <c r="B19" s="2">
        <f t="shared" si="1"/>
        <v>19</v>
      </c>
      <c r="C19" s="2">
        <f t="shared" si="2"/>
        <v>10</v>
      </c>
      <c r="D19" s="2">
        <f t="shared" si="3"/>
        <v>9</v>
      </c>
      <c r="E19" s="9" t="str">
        <f t="shared" si="4"/>
        <v>Est-1996)</v>
      </c>
      <c r="F19" s="7" t="str">
        <f t="shared" si="5"/>
        <v>1996</v>
      </c>
      <c r="G19" s="7"/>
      <c r="H19" s="10" t="str">
        <f t="shared" si="6"/>
        <v>ARC.IN.D </v>
      </c>
      <c r="J19" s="2" t="s">
        <v>988</v>
      </c>
      <c r="K19" s="2" t="s">
        <v>1050</v>
      </c>
      <c r="O19" s="14" t="s">
        <v>1051</v>
      </c>
      <c r="P19" s="2">
        <f t="shared" si="7"/>
        <v>46</v>
      </c>
      <c r="Q19" s="2">
        <f t="shared" si="8"/>
        <v>24</v>
      </c>
      <c r="R19" s="2">
        <f t="shared" si="9"/>
        <v>22</v>
      </c>
      <c r="S19" s="1" t="str">
        <f t="shared" si="10"/>
        <v>Contact: +88-02-9890855</v>
      </c>
      <c r="U19" s="2" t="s">
        <v>1052</v>
      </c>
      <c r="W19" s="15" t="str">
        <f>IFERROR(__xludf.DUMMYFUNCTION("SPLIT(O19,""C)"")")," arcindexind@gmail.com ")</f>
        <v> arcindexind@gmail.com </v>
      </c>
      <c r="X19" s="7" t="str">
        <f>IFERROR(__xludf.DUMMYFUNCTION("""COMPUTED_VALUE"""),"ontact: +88-02-9890855")</f>
        <v>ontact: +88-02-9890855</v>
      </c>
      <c r="Y19" s="7" t="s">
        <v>1053</v>
      </c>
      <c r="Z19" s="7"/>
      <c r="AA19" s="7"/>
      <c r="AB19" s="7"/>
    </row>
    <row r="20" ht="15.75" customHeight="1">
      <c r="A20" s="13" t="s">
        <v>817</v>
      </c>
      <c r="B20" s="2">
        <f t="shared" si="1"/>
        <v>19</v>
      </c>
      <c r="C20" s="2">
        <f t="shared" si="2"/>
        <v>10</v>
      </c>
      <c r="D20" s="2">
        <f t="shared" si="3"/>
        <v>9</v>
      </c>
      <c r="E20" s="9" t="str">
        <f t="shared" si="4"/>
        <v>Est-2018)</v>
      </c>
      <c r="F20" s="7" t="str">
        <f t="shared" si="5"/>
        <v>2018</v>
      </c>
      <c r="G20" s="7"/>
      <c r="H20" s="10" t="str">
        <f t="shared" si="6"/>
        <v>ARCH.PMC </v>
      </c>
      <c r="J20" s="2" t="s">
        <v>1054</v>
      </c>
      <c r="K20" s="2" t="s">
        <v>1055</v>
      </c>
      <c r="O20" s="14" t="s">
        <v>1056</v>
      </c>
      <c r="P20" s="2">
        <f t="shared" si="7"/>
        <v>47</v>
      </c>
      <c r="Q20" s="2" t="str">
        <f t="shared" si="8"/>
        <v>#VALUE!</v>
      </c>
      <c r="R20" s="2" t="str">
        <f t="shared" si="9"/>
        <v>#VALUE!</v>
      </c>
      <c r="S20" s="1" t="str">
        <f t="shared" si="10"/>
        <v>#VALUE!</v>
      </c>
      <c r="U20" s="2" t="e">
        <v>#VALUE!</v>
      </c>
      <c r="W20" s="15" t="str">
        <f>IFERROR(__xludf.DUMMYFUNCTION("SPLIT(O20,""C)"")")," masiarchitect@gmail.com, arch.pmc.bd@gmail.com")</f>
        <v> masiarchitect@gmail.com, arch.pmc.bd@gmail.com</v>
      </c>
      <c r="X20" s="7"/>
      <c r="Y20" s="7" t="s">
        <v>1056</v>
      </c>
      <c r="Z20" s="7"/>
      <c r="AA20" s="7"/>
      <c r="AB20" s="7"/>
    </row>
    <row r="21" ht="15.75" customHeight="1">
      <c r="A21" s="13" t="s">
        <v>823</v>
      </c>
      <c r="B21" s="2">
        <f t="shared" si="1"/>
        <v>30</v>
      </c>
      <c r="C21" s="2">
        <f t="shared" si="2"/>
        <v>21</v>
      </c>
      <c r="D21" s="2">
        <f t="shared" si="3"/>
        <v>9</v>
      </c>
      <c r="E21" s="9" t="str">
        <f t="shared" si="4"/>
        <v>Est-2014)</v>
      </c>
      <c r="F21" s="7" t="str">
        <f t="shared" si="5"/>
        <v>2014</v>
      </c>
      <c r="G21" s="7"/>
      <c r="H21" s="10" t="str">
        <f t="shared" si="6"/>
        <v>ARCHIAAN ARCHITECTS </v>
      </c>
      <c r="J21" s="2" t="s">
        <v>1057</v>
      </c>
      <c r="K21" s="2" t="s">
        <v>1058</v>
      </c>
      <c r="O21" s="14" t="s">
        <v>1059</v>
      </c>
      <c r="P21" s="2">
        <f t="shared" si="7"/>
        <v>45</v>
      </c>
      <c r="Q21" s="2">
        <f t="shared" si="8"/>
        <v>23</v>
      </c>
      <c r="R21" s="2">
        <f t="shared" si="9"/>
        <v>22</v>
      </c>
      <c r="S21" s="1" t="str">
        <f t="shared" si="10"/>
        <v>Contact: +8801679224304</v>
      </c>
      <c r="U21" s="2" t="s">
        <v>1060</v>
      </c>
      <c r="W21" s="15" t="str">
        <f>IFERROR(__xludf.DUMMYFUNCTION("SPLIT(O21,""C)"")")," archiaan07@gmail.com ")</f>
        <v> archiaan07@gmail.com </v>
      </c>
      <c r="X21" s="7" t="str">
        <f>IFERROR(__xludf.DUMMYFUNCTION("""COMPUTED_VALUE"""),"ontact: +8801679224304")</f>
        <v>ontact: +8801679224304</v>
      </c>
      <c r="Y21" s="7" t="s">
        <v>1061</v>
      </c>
      <c r="Z21" s="7"/>
      <c r="AA21" s="7"/>
      <c r="AB21" s="7"/>
    </row>
    <row r="22" ht="15.75" customHeight="1">
      <c r="A22" s="13" t="s">
        <v>828</v>
      </c>
      <c r="B22" s="2">
        <f t="shared" si="1"/>
        <v>42</v>
      </c>
      <c r="C22" s="2">
        <f t="shared" si="2"/>
        <v>33</v>
      </c>
      <c r="D22" s="2">
        <f t="shared" si="3"/>
        <v>9</v>
      </c>
      <c r="E22" s="9" t="str">
        <f t="shared" si="4"/>
        <v>Est-2010)</v>
      </c>
      <c r="F22" s="7" t="str">
        <f t="shared" si="5"/>
        <v>2010</v>
      </c>
      <c r="G22" s="7"/>
      <c r="H22" s="10" t="str">
        <f t="shared" si="6"/>
        <v>ARCHINET ARCHITECTS &amp; ENGINEERS </v>
      </c>
      <c r="J22" s="2" t="s">
        <v>1014</v>
      </c>
      <c r="K22" s="2" t="s">
        <v>1062</v>
      </c>
      <c r="O22" s="14" t="s">
        <v>1063</v>
      </c>
      <c r="P22" s="2">
        <f t="shared" si="7"/>
        <v>47</v>
      </c>
      <c r="Q22" s="2">
        <f t="shared" si="8"/>
        <v>25</v>
      </c>
      <c r="R22" s="2">
        <f t="shared" si="9"/>
        <v>22</v>
      </c>
      <c r="S22" s="1" t="str">
        <f t="shared" si="10"/>
        <v>Contact: +8801712228469</v>
      </c>
      <c r="U22" s="2" t="s">
        <v>1064</v>
      </c>
      <c r="W22" s="15" t="str">
        <f>IFERROR(__xludf.DUMMYFUNCTION("SPLIT(O22,""C)"")")," archinet2008@gmail.com ")</f>
        <v> archinet2008@gmail.com </v>
      </c>
      <c r="X22" s="7" t="str">
        <f>IFERROR(__xludf.DUMMYFUNCTION("""COMPUTED_VALUE"""),"ontact: +8801712228469")</f>
        <v>ontact: +8801712228469</v>
      </c>
      <c r="Y22" s="7" t="s">
        <v>1065</v>
      </c>
      <c r="Z22" s="7"/>
      <c r="AA22" s="7"/>
      <c r="AB22" s="7"/>
    </row>
    <row r="23" ht="15.75" customHeight="1">
      <c r="A23" s="13" t="s">
        <v>834</v>
      </c>
      <c r="B23" s="2">
        <f t="shared" si="1"/>
        <v>34</v>
      </c>
      <c r="C23" s="2">
        <f t="shared" si="2"/>
        <v>13</v>
      </c>
      <c r="D23" s="2">
        <f t="shared" si="3"/>
        <v>21</v>
      </c>
      <c r="E23" s="9" t="str">
        <f t="shared" si="4"/>
        <v>PVT.) LTD. (Est-1995)</v>
      </c>
      <c r="F23" s="7" t="str">
        <f t="shared" si="5"/>
        <v>1995</v>
      </c>
      <c r="G23" s="7"/>
      <c r="H23" s="10" t="str">
        <f t="shared" si="6"/>
        <v>ARCHITEKTON </v>
      </c>
      <c r="J23" s="2" t="s">
        <v>1066</v>
      </c>
      <c r="K23" s="2" t="s">
        <v>1067</v>
      </c>
      <c r="O23" s="14" t="s">
        <v>1068</v>
      </c>
      <c r="P23" s="2">
        <f t="shared" si="7"/>
        <v>101</v>
      </c>
      <c r="Q23" s="2">
        <f t="shared" si="8"/>
        <v>63</v>
      </c>
      <c r="R23" s="2">
        <f t="shared" si="9"/>
        <v>38</v>
      </c>
      <c r="S23" s="1" t="str">
        <f t="shared" si="10"/>
        <v>Contact: +88-02-9862930, +8801711520963</v>
      </c>
      <c r="U23" s="2" t="s">
        <v>1069</v>
      </c>
      <c r="W23" s="15" t="str">
        <f>IFERROR(__xludf.DUMMYFUNCTION("SPLIT(O23,""C)"")")," architekton_bd@yahoo.com, minhas.rahman@architekton.com.bd , ")</f>
        <v> architekton_bd@yahoo.com, minhas.rahman@architekton.com.bd , </v>
      </c>
      <c r="X23" s="7" t="str">
        <f>IFERROR(__xludf.DUMMYFUNCTION("""COMPUTED_VALUE"""),"ontact: +88-02-9862930, +8801711520963")</f>
        <v>ontact: +88-02-9862930, +8801711520963</v>
      </c>
      <c r="Y23" s="7" t="s">
        <v>1070</v>
      </c>
      <c r="Z23" s="7"/>
      <c r="AA23" s="7"/>
      <c r="AB23" s="7"/>
    </row>
    <row r="24" ht="15.75" customHeight="1">
      <c r="A24" s="13" t="s">
        <v>840</v>
      </c>
      <c r="B24" s="2">
        <f t="shared" si="1"/>
        <v>21</v>
      </c>
      <c r="C24" s="2">
        <f t="shared" si="2"/>
        <v>12</v>
      </c>
      <c r="D24" s="2">
        <f t="shared" si="3"/>
        <v>9</v>
      </c>
      <c r="E24" s="9" t="str">
        <f t="shared" si="4"/>
        <v>Est-2018)</v>
      </c>
      <c r="F24" s="7" t="str">
        <f t="shared" si="5"/>
        <v>2018</v>
      </c>
      <c r="G24" s="7"/>
      <c r="H24" s="10" t="str">
        <f t="shared" si="6"/>
        <v>ARCHSTUDIO </v>
      </c>
      <c r="J24" s="2" t="s">
        <v>1054</v>
      </c>
      <c r="K24" s="2" t="s">
        <v>1071</v>
      </c>
      <c r="O24" s="14" t="s">
        <v>1072</v>
      </c>
      <c r="P24" s="2">
        <f t="shared" si="7"/>
        <v>44</v>
      </c>
      <c r="Q24" s="2">
        <f t="shared" si="8"/>
        <v>22</v>
      </c>
      <c r="R24" s="2">
        <f t="shared" si="9"/>
        <v>22</v>
      </c>
      <c r="S24" s="1" t="str">
        <f t="shared" si="10"/>
        <v>Contact: +8801716897632</v>
      </c>
      <c r="U24" s="2" t="s">
        <v>1073</v>
      </c>
      <c r="W24" s="15" t="str">
        <f>IFERROR(__xludf.DUMMYFUNCTION("SPLIT(O24,""C)"")")," samabegum@gmail.com ")</f>
        <v> samabegum@gmail.com </v>
      </c>
      <c r="X24" s="7" t="str">
        <f>IFERROR(__xludf.DUMMYFUNCTION("""COMPUTED_VALUE"""),"ontact: +8801716897632")</f>
        <v>ontact: +8801716897632</v>
      </c>
      <c r="Y24" s="7" t="s">
        <v>1074</v>
      </c>
      <c r="Z24" s="7"/>
      <c r="AA24" s="7"/>
      <c r="AB24" s="7"/>
    </row>
    <row r="25" ht="15.75" customHeight="1">
      <c r="A25" s="13" t="s">
        <v>846</v>
      </c>
      <c r="B25" s="2">
        <f t="shared" si="1"/>
        <v>27</v>
      </c>
      <c r="C25" s="2">
        <f t="shared" si="2"/>
        <v>18</v>
      </c>
      <c r="D25" s="2">
        <f t="shared" si="3"/>
        <v>9</v>
      </c>
      <c r="E25" s="9" t="str">
        <f t="shared" si="4"/>
        <v>Est-2014)</v>
      </c>
      <c r="F25" s="7" t="str">
        <f t="shared" si="5"/>
        <v>2014</v>
      </c>
      <c r="G25" s="7"/>
      <c r="H25" s="10" t="str">
        <f t="shared" si="6"/>
        <v>ARCHYTAS LIMITED </v>
      </c>
      <c r="J25" s="2" t="s">
        <v>1057</v>
      </c>
      <c r="K25" s="2" t="s">
        <v>1075</v>
      </c>
      <c r="O25" s="14" t="s">
        <v>1076</v>
      </c>
      <c r="P25" s="2">
        <f t="shared" si="7"/>
        <v>21</v>
      </c>
      <c r="Q25" s="2" t="str">
        <f t="shared" si="8"/>
        <v>#VALUE!</v>
      </c>
      <c r="R25" s="2" t="str">
        <f t="shared" si="9"/>
        <v>#VALUE!</v>
      </c>
      <c r="S25" s="1" t="str">
        <f t="shared" si="10"/>
        <v>#VALUE!</v>
      </c>
      <c r="U25" s="2" t="e">
        <v>#VALUE!</v>
      </c>
      <c r="W25" s="15" t="str">
        <f>IFERROR(__xludf.DUMMYFUNCTION("SPLIT(O25,""C)"")")," archytas.s@gmail.com")</f>
        <v> archytas.s@gmail.com</v>
      </c>
      <c r="X25" s="7"/>
      <c r="Y25" s="7" t="s">
        <v>1076</v>
      </c>
      <c r="Z25" s="7"/>
      <c r="AA25" s="7"/>
      <c r="AB25" s="7"/>
    </row>
    <row r="26" ht="15.75" customHeight="1">
      <c r="A26" s="13" t="s">
        <v>853</v>
      </c>
      <c r="B26" s="2">
        <f t="shared" si="1"/>
        <v>37</v>
      </c>
      <c r="C26" s="2">
        <f t="shared" si="2"/>
        <v>27</v>
      </c>
      <c r="D26" s="2">
        <f t="shared" si="3"/>
        <v>10</v>
      </c>
      <c r="E26" s="9" t="str">
        <f t="shared" si="4"/>
        <v>Est- 2015)</v>
      </c>
      <c r="F26" s="7" t="str">
        <f t="shared" si="5"/>
        <v> 201</v>
      </c>
      <c r="G26" s="7"/>
      <c r="H26" s="10" t="str">
        <f t="shared" si="6"/>
        <v>ARQUITECTURA DESIGN STUDIO</v>
      </c>
      <c r="J26" s="2">
        <v>2015.0</v>
      </c>
      <c r="K26" s="2" t="s">
        <v>1077</v>
      </c>
      <c r="O26" s="14" t="s">
        <v>1078</v>
      </c>
      <c r="P26" s="2">
        <f t="shared" si="7"/>
        <v>41</v>
      </c>
      <c r="Q26" s="2">
        <f t="shared" si="8"/>
        <v>20</v>
      </c>
      <c r="R26" s="2">
        <f t="shared" si="9"/>
        <v>21</v>
      </c>
      <c r="S26" s="1" t="str">
        <f t="shared" si="10"/>
        <v>Contact: +880241021810</v>
      </c>
      <c r="U26" s="2" t="s">
        <v>1079</v>
      </c>
      <c r="W26" s="15" t="str">
        <f>IFERROR(__xludf.DUMMYFUNCTION("SPLIT(O26,""C)"")")," faiahsa@gmail.com ")</f>
        <v> faiahsa@gmail.com </v>
      </c>
      <c r="X26" s="7" t="str">
        <f>IFERROR(__xludf.DUMMYFUNCTION("""COMPUTED_VALUE"""),"ontact: +880241021810")</f>
        <v>ontact: +880241021810</v>
      </c>
      <c r="Y26" s="7" t="s">
        <v>1080</v>
      </c>
      <c r="Z26" s="7"/>
      <c r="AA26" s="7"/>
      <c r="AB26" s="7"/>
    </row>
    <row r="27" ht="15.75" customHeight="1">
      <c r="A27" s="13" t="s">
        <v>858</v>
      </c>
      <c r="B27" s="2">
        <f t="shared" si="1"/>
        <v>35</v>
      </c>
      <c r="C27" s="2">
        <f t="shared" si="2"/>
        <v>14</v>
      </c>
      <c r="D27" s="2">
        <f t="shared" si="3"/>
        <v>21</v>
      </c>
      <c r="E27" s="9" t="str">
        <f t="shared" si="4"/>
        <v>PVT.) LTD. (Est-2017)</v>
      </c>
      <c r="F27" s="7" t="str">
        <f t="shared" si="5"/>
        <v>2017</v>
      </c>
      <c r="G27" s="7"/>
      <c r="H27" s="10" t="str">
        <f t="shared" si="6"/>
        <v>ARQUITECTURA </v>
      </c>
      <c r="J27" s="2" t="s">
        <v>1081</v>
      </c>
      <c r="K27" s="2" t="s">
        <v>1082</v>
      </c>
      <c r="O27" s="14" t="s">
        <v>1083</v>
      </c>
      <c r="P27" s="2">
        <f t="shared" si="7"/>
        <v>24</v>
      </c>
      <c r="Q27" s="2" t="str">
        <f t="shared" si="8"/>
        <v>#VALUE!</v>
      </c>
      <c r="R27" s="2" t="str">
        <f t="shared" si="9"/>
        <v>#VALUE!</v>
      </c>
      <c r="S27" s="1" t="str">
        <f t="shared" si="10"/>
        <v>#VALUE!</v>
      </c>
      <c r="U27" s="2" t="e">
        <v>#VALUE!</v>
      </c>
      <c r="W27" s="15" t="str">
        <f>IFERROR(__xludf.DUMMYFUNCTION("SPLIT(O27,""C)"")")," mail@arquitecturabd.com")</f>
        <v> mail@arquitecturabd.com</v>
      </c>
      <c r="X27" s="7"/>
      <c r="Y27" s="7" t="s">
        <v>1083</v>
      </c>
      <c r="Z27" s="7"/>
      <c r="AA27" s="7"/>
      <c r="AB27" s="7"/>
    </row>
    <row r="28" ht="15.75" customHeight="1">
      <c r="A28" s="13" t="s">
        <v>865</v>
      </c>
      <c r="B28" s="2">
        <f t="shared" si="1"/>
        <v>18</v>
      </c>
      <c r="C28" s="2">
        <f t="shared" si="2"/>
        <v>9</v>
      </c>
      <c r="D28" s="2">
        <f t="shared" si="3"/>
        <v>9</v>
      </c>
      <c r="E28" s="9" t="str">
        <f t="shared" si="4"/>
        <v>Est-2016)</v>
      </c>
      <c r="F28" s="7" t="str">
        <f t="shared" si="5"/>
        <v>2016</v>
      </c>
      <c r="G28" s="7"/>
      <c r="H28" s="10" t="str">
        <f t="shared" si="6"/>
        <v>AYOTEEK </v>
      </c>
      <c r="J28" s="2" t="s">
        <v>1084</v>
      </c>
      <c r="K28" s="2" t="s">
        <v>1085</v>
      </c>
      <c r="O28" s="14" t="s">
        <v>1086</v>
      </c>
      <c r="P28" s="2">
        <f t="shared" si="7"/>
        <v>77</v>
      </c>
      <c r="Q28" s="2">
        <f t="shared" si="8"/>
        <v>39</v>
      </c>
      <c r="R28" s="2">
        <f t="shared" si="9"/>
        <v>38</v>
      </c>
      <c r="S28" s="1" t="str">
        <f t="shared" si="10"/>
        <v>Contact: +88-02-9882689, +8801712511535</v>
      </c>
      <c r="U28" s="2" t="s">
        <v>1087</v>
      </c>
      <c r="W28" s="15" t="str">
        <f>IFERROR(__xludf.DUMMYFUNCTION("SPLIT(O28,""C)"")")," kasif@ayoteek.com, ayoteek@gmail.com ")</f>
        <v> kasif@ayoteek.com, ayoteek@gmail.com </v>
      </c>
      <c r="X28" s="7" t="str">
        <f>IFERROR(__xludf.DUMMYFUNCTION("""COMPUTED_VALUE"""),"ontact: +88-02-9882689, +8801712511535")</f>
        <v>ontact: +88-02-9882689, +8801712511535</v>
      </c>
      <c r="Y28" s="7" t="s">
        <v>1088</v>
      </c>
      <c r="Z28" s="7"/>
      <c r="AA28" s="7"/>
      <c r="AB28" s="7"/>
    </row>
    <row r="29" ht="15.75" customHeight="1">
      <c r="A29" s="13" t="s">
        <v>871</v>
      </c>
      <c r="B29" s="2">
        <f t="shared" si="1"/>
        <v>32</v>
      </c>
      <c r="C29" s="2">
        <f t="shared" si="2"/>
        <v>23</v>
      </c>
      <c r="D29" s="2">
        <f t="shared" si="3"/>
        <v>9</v>
      </c>
      <c r="E29" s="9" t="str">
        <f t="shared" si="4"/>
        <v>Est-2013)</v>
      </c>
      <c r="F29" s="7" t="str">
        <f t="shared" si="5"/>
        <v>2013</v>
      </c>
      <c r="G29" s="7"/>
      <c r="H29" s="10" t="str">
        <f t="shared" si="6"/>
        <v>ARCHITECTURE TOMORROW </v>
      </c>
      <c r="J29" s="2" t="s">
        <v>1089</v>
      </c>
      <c r="K29" s="2" t="s">
        <v>1090</v>
      </c>
      <c r="O29" s="14" t="s">
        <v>1091</v>
      </c>
      <c r="P29" s="2">
        <f t="shared" si="7"/>
        <v>65</v>
      </c>
      <c r="Q29" s="2">
        <f t="shared" si="8"/>
        <v>27</v>
      </c>
      <c r="R29" s="2">
        <f t="shared" si="9"/>
        <v>38</v>
      </c>
      <c r="S29" s="1" t="str">
        <f t="shared" si="10"/>
        <v>Contact: +88-02-8080884, +8801716526915</v>
      </c>
      <c r="U29" s="2" t="s">
        <v>1092</v>
      </c>
      <c r="W29" s="15" t="str">
        <f>IFERROR(__xludf.DUMMYFUNCTION("SPLIT(O29,""C)"")")," zaman_arch1122@yahoo.com ")</f>
        <v> zaman_arch1122@yahoo.com </v>
      </c>
      <c r="X29" s="7" t="str">
        <f>IFERROR(__xludf.DUMMYFUNCTION("""COMPUTED_VALUE"""),"ontact: +88-02-8080884, +8801716526915")</f>
        <v>ontact: +88-02-8080884, +8801716526915</v>
      </c>
      <c r="Y29" s="7" t="s">
        <v>1093</v>
      </c>
      <c r="Z29" s="7"/>
      <c r="AA29" s="7"/>
      <c r="AB29" s="7"/>
    </row>
    <row r="30" ht="15.75" customHeight="1">
      <c r="A30" s="13" t="s">
        <v>784</v>
      </c>
      <c r="B30" s="2">
        <f t="shared" si="1"/>
        <v>29</v>
      </c>
      <c r="C30" s="2">
        <f t="shared" si="2"/>
        <v>20</v>
      </c>
      <c r="D30" s="2">
        <f t="shared" si="3"/>
        <v>9</v>
      </c>
      <c r="E30" s="9" t="str">
        <f t="shared" si="4"/>
        <v>Est-2004)</v>
      </c>
      <c r="F30" s="7" t="str">
        <f t="shared" si="5"/>
        <v>2004</v>
      </c>
      <c r="G30" s="7"/>
      <c r="H30" s="10" t="str">
        <f t="shared" si="6"/>
        <v>ARESCON CONSULTANT </v>
      </c>
      <c r="J30" s="2" t="s">
        <v>1033</v>
      </c>
      <c r="K30" s="2" t="s">
        <v>1034</v>
      </c>
      <c r="O30" s="14" t="s">
        <v>1094</v>
      </c>
      <c r="P30" s="2">
        <f t="shared" si="7"/>
        <v>84</v>
      </c>
      <c r="Q30" s="2">
        <f t="shared" si="8"/>
        <v>46</v>
      </c>
      <c r="R30" s="2">
        <f t="shared" si="9"/>
        <v>38</v>
      </c>
      <c r="S30" s="1" t="str">
        <f t="shared" si="10"/>
        <v>Contact: +88-02-8151121, +8801713037260</v>
      </c>
      <c r="U30" s="2" t="s">
        <v>1095</v>
      </c>
      <c r="W30" s="15" t="str">
        <f>IFERROR(__xludf.DUMMYFUNCTION("SPLIT(O30,""C)"")")," helal201@hotmail.com, arescon1984@gmail.com ")</f>
        <v> helal201@hotmail.com, arescon1984@gmail.com </v>
      </c>
      <c r="X30" s="7" t="str">
        <f>IFERROR(__xludf.DUMMYFUNCTION("""COMPUTED_VALUE"""),"ontact: +88-02-8151121, +8801713037260")</f>
        <v>ontact: +88-02-8151121, +8801713037260</v>
      </c>
      <c r="Y30" s="7" t="s">
        <v>1096</v>
      </c>
      <c r="Z30" s="7"/>
      <c r="AA30" s="7"/>
      <c r="AB30" s="7"/>
    </row>
    <row r="31" ht="15.75" customHeight="1">
      <c r="A31" s="13" t="s">
        <v>881</v>
      </c>
      <c r="B31" s="2">
        <f t="shared" si="1"/>
        <v>30</v>
      </c>
      <c r="C31" s="2">
        <f t="shared" si="2"/>
        <v>21</v>
      </c>
      <c r="D31" s="2">
        <f t="shared" si="3"/>
        <v>9</v>
      </c>
      <c r="E31" s="9" t="str">
        <f t="shared" si="4"/>
        <v>Est-2017)</v>
      </c>
      <c r="F31" s="7" t="str">
        <f t="shared" si="5"/>
        <v>2017</v>
      </c>
      <c r="G31" s="7"/>
      <c r="H31" s="10" t="str">
        <f t="shared" si="6"/>
        <v>ARCHITECTS’ HORIZON </v>
      </c>
      <c r="J31" s="2" t="s">
        <v>1081</v>
      </c>
      <c r="K31" s="2" t="s">
        <v>1097</v>
      </c>
      <c r="O31" s="14" t="s">
        <v>1098</v>
      </c>
      <c r="P31" s="2">
        <f t="shared" si="7"/>
        <v>64</v>
      </c>
      <c r="Q31" s="2">
        <f t="shared" si="8"/>
        <v>25</v>
      </c>
      <c r="R31" s="2">
        <f t="shared" si="9"/>
        <v>39</v>
      </c>
      <c r="S31" s="1" t="str">
        <f t="shared" si="10"/>
        <v>Contact: +88-02-55098138, +8801755599208</v>
      </c>
      <c r="U31" s="2" t="s">
        <v>1099</v>
      </c>
      <c r="W31" s="15" t="str">
        <f>IFERROR(__xludf.DUMMYFUNCTION("SPLIT(O31,""C)"")")," biplob.azone@gmail.com ")</f>
        <v> biplob.azone@gmail.com </v>
      </c>
      <c r="X31" s="7" t="str">
        <f>IFERROR(__xludf.DUMMYFUNCTION("""COMPUTED_VALUE"""),"ontact: +88-02-55098138, +8801755599208")</f>
        <v>ontact: +88-02-55098138, +8801755599208</v>
      </c>
      <c r="Y31" s="7" t="s">
        <v>1100</v>
      </c>
      <c r="Z31" s="7"/>
      <c r="AA31" s="7"/>
      <c r="AB31" s="7"/>
    </row>
    <row r="32" ht="15.75" customHeight="1">
      <c r="A32" s="13" t="s">
        <v>888</v>
      </c>
      <c r="B32" s="2">
        <f t="shared" si="1"/>
        <v>27</v>
      </c>
      <c r="C32" s="2">
        <f t="shared" si="2"/>
        <v>18</v>
      </c>
      <c r="D32" s="2">
        <f t="shared" si="3"/>
        <v>9</v>
      </c>
      <c r="E32" s="9" t="str">
        <f t="shared" si="4"/>
        <v>Est-1985)</v>
      </c>
      <c r="F32" s="7" t="str">
        <f t="shared" si="5"/>
        <v>1985</v>
      </c>
      <c r="G32" s="7"/>
      <c r="H32" s="10" t="str">
        <f t="shared" si="6"/>
        <v>ASSOCONSULT LTD. </v>
      </c>
      <c r="J32" s="2" t="s">
        <v>1101</v>
      </c>
      <c r="K32" s="2" t="s">
        <v>1102</v>
      </c>
      <c r="O32" s="14" t="s">
        <v>1103</v>
      </c>
      <c r="P32" s="2">
        <f t="shared" si="7"/>
        <v>64</v>
      </c>
      <c r="Q32" s="2">
        <f t="shared" si="8"/>
        <v>26</v>
      </c>
      <c r="R32" s="2">
        <f t="shared" si="9"/>
        <v>38</v>
      </c>
      <c r="S32" s="1" t="str">
        <f t="shared" si="10"/>
        <v>Contact: +88-02-9004662, +88-02-9004663</v>
      </c>
      <c r="U32" s="2" t="s">
        <v>1104</v>
      </c>
      <c r="W32" s="15" t="str">
        <f>IFERROR(__xludf.DUMMYFUNCTION("SPLIT(O32,""C)"")")," assoconbangla@yahoo.com ")</f>
        <v> assoconbangla@yahoo.com </v>
      </c>
      <c r="X32" s="7" t="str">
        <f>IFERROR(__xludf.DUMMYFUNCTION("""COMPUTED_VALUE"""),"ontact: +88-02-9004662, +88-02-9004663")</f>
        <v>ontact: +88-02-9004662, +88-02-9004663</v>
      </c>
      <c r="Y32" s="7" t="s">
        <v>1105</v>
      </c>
      <c r="Z32" s="7"/>
      <c r="AA32" s="7"/>
      <c r="AB32" s="7"/>
    </row>
    <row r="33" ht="15.75" customHeight="1">
      <c r="A33" s="13" t="s">
        <v>894</v>
      </c>
      <c r="B33" s="2">
        <f t="shared" si="1"/>
        <v>29</v>
      </c>
      <c r="C33" s="2">
        <f t="shared" si="2"/>
        <v>20</v>
      </c>
      <c r="D33" s="2">
        <f t="shared" si="3"/>
        <v>9</v>
      </c>
      <c r="E33" s="9" t="str">
        <f t="shared" si="4"/>
        <v>Est-2014)</v>
      </c>
      <c r="F33" s="7" t="str">
        <f t="shared" si="5"/>
        <v>2014</v>
      </c>
      <c r="G33" s="7"/>
      <c r="H33" s="10" t="str">
        <f t="shared" si="6"/>
        <v>AURITRO ARCHITECTS </v>
      </c>
      <c r="J33" s="2" t="s">
        <v>1057</v>
      </c>
      <c r="K33" s="2" t="s">
        <v>1106</v>
      </c>
      <c r="O33" s="14" t="s">
        <v>1107</v>
      </c>
      <c r="P33" s="2">
        <f t="shared" si="7"/>
        <v>45</v>
      </c>
      <c r="Q33" s="2">
        <f t="shared" si="8"/>
        <v>22</v>
      </c>
      <c r="R33" s="2">
        <f t="shared" si="9"/>
        <v>23</v>
      </c>
      <c r="S33" s="1" t="str">
        <f t="shared" si="10"/>
        <v>Contact: +88 01815258257</v>
      </c>
      <c r="U33" s="2" t="s">
        <v>1108</v>
      </c>
      <c r="W33" s="15" t="str">
        <f>IFERROR(__xludf.DUMMYFUNCTION("SPLIT(O33,""C)"")")," aupee0061@gmail.com ")</f>
        <v> aupee0061@gmail.com </v>
      </c>
      <c r="X33" s="7" t="str">
        <f>IFERROR(__xludf.DUMMYFUNCTION("""COMPUTED_VALUE"""),"ontact: +88 01815258257")</f>
        <v>ontact: +88 01815258257</v>
      </c>
      <c r="Y33" s="7" t="s">
        <v>1109</v>
      </c>
      <c r="Z33" s="7"/>
      <c r="AA33" s="7"/>
      <c r="AB33" s="7"/>
    </row>
    <row r="34" ht="15.75" customHeight="1">
      <c r="A34" s="13" t="s">
        <v>901</v>
      </c>
      <c r="B34" s="2">
        <f t="shared" si="1"/>
        <v>34</v>
      </c>
      <c r="C34" s="2">
        <f t="shared" si="2"/>
        <v>29</v>
      </c>
      <c r="D34" s="2">
        <f t="shared" si="3"/>
        <v>5</v>
      </c>
      <c r="E34" s="9" t="str">
        <f t="shared" si="4"/>
        <v>Est-)</v>
      </c>
      <c r="F34" s="7" t="str">
        <f t="shared" si="5"/>
        <v>)</v>
      </c>
      <c r="G34" s="7"/>
      <c r="H34" s="10" t="str">
        <f t="shared" si="6"/>
        <v>ARCHITECTS &amp; ASSOCIATES LTD </v>
      </c>
      <c r="K34" s="2" t="s">
        <v>1110</v>
      </c>
      <c r="O34" s="14" t="s">
        <v>1111</v>
      </c>
      <c r="P34" s="2">
        <f t="shared" si="7"/>
        <v>61</v>
      </c>
      <c r="Q34" s="2">
        <f t="shared" si="8"/>
        <v>21</v>
      </c>
      <c r="R34" s="2">
        <f t="shared" si="9"/>
        <v>40</v>
      </c>
      <c r="S34" s="1" t="str">
        <f t="shared" si="10"/>
        <v>Contact: +88 01758742536, +88 02-47215613</v>
      </c>
      <c r="U34" s="2" t="s">
        <v>1112</v>
      </c>
      <c r="W34" s="15" t="str">
        <f>IFERROR(__xludf.DUMMYFUNCTION("SPLIT(O34,""C)"")")," arch@aaaltd.com.bd ")</f>
        <v> arch@aaaltd.com.bd </v>
      </c>
      <c r="X34" s="7" t="str">
        <f>IFERROR(__xludf.DUMMYFUNCTION("""COMPUTED_VALUE"""),"ontact: +88 01758742536, +88 02-47215613")</f>
        <v>ontact: +88 01758742536, +88 02-47215613</v>
      </c>
      <c r="Y34" s="7" t="s">
        <v>1113</v>
      </c>
      <c r="Z34" s="7"/>
      <c r="AA34" s="7"/>
      <c r="AB34" s="7"/>
    </row>
    <row r="35" ht="15.75" customHeight="1">
      <c r="A35" s="13" t="s">
        <v>771</v>
      </c>
      <c r="B35" s="2">
        <f t="shared" si="1"/>
        <v>33</v>
      </c>
      <c r="C35" s="2">
        <f t="shared" si="2"/>
        <v>24</v>
      </c>
      <c r="D35" s="2">
        <f t="shared" si="3"/>
        <v>9</v>
      </c>
      <c r="E35" s="9" t="str">
        <f t="shared" si="4"/>
        <v>Est-2009)</v>
      </c>
      <c r="F35" s="7" t="str">
        <f t="shared" si="5"/>
        <v>2009</v>
      </c>
      <c r="G35" s="7"/>
      <c r="H35" s="10" t="str">
        <f t="shared" si="6"/>
        <v>ARCHIWORKS CONSULTANTS </v>
      </c>
      <c r="J35" s="2" t="s">
        <v>1027</v>
      </c>
      <c r="K35" s="2" t="s">
        <v>1028</v>
      </c>
      <c r="O35" s="14" t="s">
        <v>1114</v>
      </c>
      <c r="P35" s="2">
        <f t="shared" si="7"/>
        <v>51</v>
      </c>
      <c r="Q35" s="2">
        <f t="shared" si="8"/>
        <v>28</v>
      </c>
      <c r="R35" s="2">
        <f t="shared" si="9"/>
        <v>23</v>
      </c>
      <c r="S35" s="1" t="str">
        <f t="shared" si="10"/>
        <v>Contact: +88 01715035772</v>
      </c>
      <c r="U35" s="2" t="s">
        <v>1115</v>
      </c>
      <c r="W35" s="15" t="str">
        <f>IFERROR(__xludf.DUMMYFUNCTION("SPLIT(O35,""C)"")")," archiworks.bd@hotmail.com ")</f>
        <v> archiworks.bd@hotmail.com </v>
      </c>
      <c r="X35" s="7" t="str">
        <f>IFERROR(__xludf.DUMMYFUNCTION("""COMPUTED_VALUE"""),"ontact: +88 01715035772")</f>
        <v>ontact: +88 01715035772</v>
      </c>
      <c r="Y35" s="7" t="s">
        <v>1116</v>
      </c>
      <c r="Z35" s="7"/>
      <c r="AA35" s="7"/>
      <c r="AB35" s="7"/>
    </row>
    <row r="36" ht="15.75" customHeight="1">
      <c r="A36" s="13" t="s">
        <v>911</v>
      </c>
      <c r="B36" s="2">
        <f t="shared" si="1"/>
        <v>27</v>
      </c>
      <c r="C36" s="2">
        <f t="shared" si="2"/>
        <v>18</v>
      </c>
      <c r="D36" s="2">
        <f t="shared" si="3"/>
        <v>9</v>
      </c>
      <c r="E36" s="9" t="str">
        <f t="shared" si="4"/>
        <v>Est-2017)</v>
      </c>
      <c r="F36" s="7" t="str">
        <f t="shared" si="5"/>
        <v>2017</v>
      </c>
      <c r="G36" s="7"/>
      <c r="H36" s="10" t="str">
        <f t="shared" si="6"/>
        <v>ANGON ARCHITECTS </v>
      </c>
      <c r="J36" s="2" t="s">
        <v>1081</v>
      </c>
      <c r="K36" s="2" t="s">
        <v>1117</v>
      </c>
      <c r="O36" s="14" t="s">
        <v>1118</v>
      </c>
      <c r="P36" s="2">
        <f t="shared" si="7"/>
        <v>42</v>
      </c>
      <c r="Q36" s="2">
        <f t="shared" si="8"/>
        <v>19</v>
      </c>
      <c r="R36" s="2">
        <f t="shared" si="9"/>
        <v>23</v>
      </c>
      <c r="S36" s="1" t="str">
        <f t="shared" si="10"/>
        <v>Contact: +88 01711829295</v>
      </c>
      <c r="U36" s="2" t="s">
        <v>1119</v>
      </c>
      <c r="W36" s="15" t="str">
        <f>IFERROR(__xludf.DUMMYFUNCTION("SPLIT(O36,""C)"")")," emun97@gmail.com ")</f>
        <v> emun97@gmail.com </v>
      </c>
      <c r="X36" s="7" t="str">
        <f>IFERROR(__xludf.DUMMYFUNCTION("""COMPUTED_VALUE"""),"ontact: +88 01711829295")</f>
        <v>ontact: +88 01711829295</v>
      </c>
      <c r="Y36" s="7" t="s">
        <v>1120</v>
      </c>
      <c r="Z36" s="7"/>
      <c r="AA36" s="7"/>
      <c r="AB36" s="7"/>
    </row>
    <row r="37" ht="15.75" customHeight="1">
      <c r="A37" s="13" t="s">
        <v>916</v>
      </c>
      <c r="B37" s="2">
        <f t="shared" si="1"/>
        <v>31</v>
      </c>
      <c r="C37" s="2">
        <f t="shared" si="2"/>
        <v>22</v>
      </c>
      <c r="D37" s="2">
        <f t="shared" si="3"/>
        <v>9</v>
      </c>
      <c r="E37" s="9" t="str">
        <f t="shared" si="4"/>
        <v>Est-2017)</v>
      </c>
      <c r="F37" s="7" t="str">
        <f t="shared" si="5"/>
        <v>2017</v>
      </c>
      <c r="G37" s="7"/>
      <c r="H37" s="10" t="str">
        <f t="shared" si="6"/>
        <v>ARC ANGON CONSORTIUM </v>
      </c>
      <c r="J37" s="2" t="s">
        <v>1081</v>
      </c>
      <c r="K37" s="2" t="s">
        <v>1121</v>
      </c>
      <c r="O37" s="14" t="s">
        <v>1118</v>
      </c>
      <c r="P37" s="2">
        <f t="shared" si="7"/>
        <v>42</v>
      </c>
      <c r="Q37" s="2">
        <f t="shared" si="8"/>
        <v>19</v>
      </c>
      <c r="R37" s="2">
        <f t="shared" si="9"/>
        <v>23</v>
      </c>
      <c r="S37" s="1" t="str">
        <f t="shared" si="10"/>
        <v>Contact: +88 01711829295</v>
      </c>
      <c r="U37" s="2" t="s">
        <v>1119</v>
      </c>
      <c r="W37" s="15" t="str">
        <f>IFERROR(__xludf.DUMMYFUNCTION("SPLIT(O37,""C)"")")," emun97@gmail.com ")</f>
        <v> emun97@gmail.com </v>
      </c>
      <c r="X37" s="7" t="str">
        <f>IFERROR(__xludf.DUMMYFUNCTION("""COMPUTED_VALUE"""),"ontact: +88 01711829295")</f>
        <v>ontact: +88 01711829295</v>
      </c>
      <c r="Y37" s="7" t="s">
        <v>1120</v>
      </c>
      <c r="Z37" s="7"/>
      <c r="AA37" s="7"/>
      <c r="AB37" s="7"/>
    </row>
    <row r="38" ht="15.75" customHeight="1">
      <c r="A38" s="13" t="s">
        <v>3</v>
      </c>
      <c r="B38" s="2">
        <f t="shared" si="1"/>
        <v>22</v>
      </c>
      <c r="C38" s="2">
        <f t="shared" si="2"/>
        <v>13</v>
      </c>
      <c r="D38" s="2">
        <f t="shared" si="3"/>
        <v>9</v>
      </c>
      <c r="E38" s="9" t="str">
        <f t="shared" si="4"/>
        <v>Est‐1988)</v>
      </c>
      <c r="F38" s="7" t="str">
        <f t="shared" ref="F38:F142" si="11">MID(E38,FIND("Est‐",E38)+4,4)</f>
        <v>1988</v>
      </c>
      <c r="G38" s="7"/>
      <c r="H38" s="10" t="str">
        <f t="shared" si="6"/>
        <v>BASATIKALPA </v>
      </c>
      <c r="J38" s="2">
        <v>1988.0</v>
      </c>
      <c r="K38" s="2" t="s">
        <v>1122</v>
      </c>
      <c r="O38" s="14" t="s">
        <v>1123</v>
      </c>
      <c r="P38" s="2">
        <f t="shared" si="7"/>
        <v>21</v>
      </c>
      <c r="Q38" s="2" t="str">
        <f t="shared" si="8"/>
        <v>#VALUE!</v>
      </c>
      <c r="R38" s="2" t="str">
        <f t="shared" si="9"/>
        <v>#VALUE!</v>
      </c>
      <c r="S38" s="1" t="str">
        <f t="shared" si="10"/>
        <v>#VALUE!</v>
      </c>
      <c r="U38" s="2" t="e">
        <v>#VALUE!</v>
      </c>
      <c r="W38" s="15" t="str">
        <f>IFERROR(__xludf.DUMMYFUNCTION("SPLIT(O38,""C)"")")," asfar@global‐bd.net,")</f>
        <v> asfar@global‐bd.net,</v>
      </c>
      <c r="X38" s="7"/>
      <c r="Y38" s="7" t="s">
        <v>1123</v>
      </c>
      <c r="Z38" s="7"/>
      <c r="AA38" s="7"/>
      <c r="AB38" s="7"/>
    </row>
    <row r="39" ht="15.75" customHeight="1">
      <c r="A39" s="13" t="s">
        <v>12</v>
      </c>
      <c r="B39" s="2">
        <f t="shared" si="1"/>
        <v>26</v>
      </c>
      <c r="C39" s="2">
        <f t="shared" si="2"/>
        <v>17</v>
      </c>
      <c r="D39" s="2">
        <f t="shared" si="3"/>
        <v>9</v>
      </c>
      <c r="E39" s="9" t="str">
        <f t="shared" si="4"/>
        <v>Est‐2013)</v>
      </c>
      <c r="F39" s="7" t="str">
        <f t="shared" si="11"/>
        <v>2013</v>
      </c>
      <c r="G39" s="7"/>
      <c r="H39" s="10" t="str">
        <f t="shared" si="6"/>
        <v>BESTEC INFOTECH </v>
      </c>
      <c r="J39" s="2" t="s">
        <v>1089</v>
      </c>
      <c r="K39" s="2" t="s">
        <v>1124</v>
      </c>
      <c r="O39" s="14" t="s">
        <v>1125</v>
      </c>
      <c r="P39" s="2">
        <f t="shared" si="7"/>
        <v>47</v>
      </c>
      <c r="Q39" s="2">
        <f t="shared" si="8"/>
        <v>26</v>
      </c>
      <c r="R39" s="2">
        <f t="shared" si="9"/>
        <v>21</v>
      </c>
      <c r="S39" s="1" t="str">
        <f t="shared" si="10"/>
        <v>Contact: 09611689575‐6</v>
      </c>
      <c r="U39" s="2" t="s">
        <v>1126</v>
      </c>
      <c r="W39" s="15" t="str">
        <f>IFERROR(__xludf.DUMMYFUNCTION("SPLIT(O39,""C)"")")," tariqul@bestecgroup.com ")</f>
        <v> tariqul@bestecgroup.com </v>
      </c>
      <c r="X39" s="7" t="str">
        <f>IFERROR(__xludf.DUMMYFUNCTION("""COMPUTED_VALUE"""),"ontact: 09611689575‐6")</f>
        <v>ontact: 09611689575‐6</v>
      </c>
      <c r="Y39" s="7" t="s">
        <v>1127</v>
      </c>
      <c r="Z39" s="7"/>
      <c r="AA39" s="7"/>
      <c r="AB39" s="7"/>
    </row>
    <row r="40" ht="15.75" customHeight="1">
      <c r="A40" s="13" t="s">
        <v>18</v>
      </c>
      <c r="B40" s="2">
        <f t="shared" si="1"/>
        <v>18</v>
      </c>
      <c r="C40" s="2">
        <f t="shared" si="2"/>
        <v>9</v>
      </c>
      <c r="D40" s="2">
        <f t="shared" si="3"/>
        <v>9</v>
      </c>
      <c r="E40" s="9" t="str">
        <f t="shared" si="4"/>
        <v>Est‐2005)</v>
      </c>
      <c r="F40" s="7" t="str">
        <f t="shared" si="11"/>
        <v>2005</v>
      </c>
      <c r="G40" s="7"/>
      <c r="H40" s="10" t="str">
        <f t="shared" si="6"/>
        <v>BINYASH </v>
      </c>
      <c r="J40" s="2" t="s">
        <v>992</v>
      </c>
      <c r="K40" s="2" t="s">
        <v>1128</v>
      </c>
      <c r="O40" s="14" t="s">
        <v>1129</v>
      </c>
      <c r="P40" s="2">
        <f t="shared" si="7"/>
        <v>21</v>
      </c>
      <c r="Q40" s="2" t="str">
        <f t="shared" si="8"/>
        <v>#VALUE!</v>
      </c>
      <c r="R40" s="2" t="str">
        <f t="shared" si="9"/>
        <v>#VALUE!</v>
      </c>
      <c r="S40" s="1" t="str">
        <f t="shared" si="10"/>
        <v>#VALUE!</v>
      </c>
      <c r="U40" s="2" t="e">
        <v>#VALUE!</v>
      </c>
      <c r="W40" s="15" t="str">
        <f>IFERROR(__xludf.DUMMYFUNCTION("SPLIT(O40,""C)"")")," rahat.niaz@gmail.com")</f>
        <v> rahat.niaz@gmail.com</v>
      </c>
      <c r="X40" s="7"/>
      <c r="Y40" s="7" t="s">
        <v>1129</v>
      </c>
      <c r="Z40" s="7"/>
      <c r="AA40" s="7"/>
      <c r="AB40" s="7"/>
    </row>
    <row r="41" ht="15.75" customHeight="1">
      <c r="A41" s="13" t="s">
        <v>26</v>
      </c>
      <c r="B41" s="2">
        <f t="shared" si="1"/>
        <v>27</v>
      </c>
      <c r="C41" s="2">
        <f t="shared" si="2"/>
        <v>18</v>
      </c>
      <c r="D41" s="2">
        <f t="shared" si="3"/>
        <v>9</v>
      </c>
      <c r="E41" s="9" t="str">
        <f t="shared" si="4"/>
        <v>Est‐2008)</v>
      </c>
      <c r="F41" s="7" t="str">
        <f t="shared" si="11"/>
        <v>2008</v>
      </c>
      <c r="G41" s="7"/>
      <c r="H41" s="10" t="str">
        <f t="shared" si="6"/>
        <v>BKS &amp; ASSOCIATES </v>
      </c>
      <c r="J41" s="2" t="s">
        <v>997</v>
      </c>
      <c r="K41" s="2" t="s">
        <v>1130</v>
      </c>
      <c r="O41" s="14" t="s">
        <v>1131</v>
      </c>
      <c r="P41" s="2">
        <f t="shared" si="7"/>
        <v>30</v>
      </c>
      <c r="Q41" s="2" t="str">
        <f t="shared" si="8"/>
        <v>#VALUE!</v>
      </c>
      <c r="R41" s="2" t="str">
        <f t="shared" si="9"/>
        <v>#VALUE!</v>
      </c>
      <c r="S41" s="1" t="str">
        <f t="shared" si="10"/>
        <v>#VALUE!</v>
      </c>
      <c r="U41" s="2" t="e">
        <v>#VALUE!</v>
      </c>
      <c r="W41" s="15" t="str">
        <f>IFERROR(__xludf.DUMMYFUNCTION("SPLIT(O41,""C)"")")," marathon_architects@yahoo.com")</f>
        <v> marathon_architects@yahoo.com</v>
      </c>
      <c r="X41" s="7"/>
      <c r="Y41" s="7" t="s">
        <v>1131</v>
      </c>
      <c r="Z41" s="7"/>
      <c r="AA41" s="7"/>
      <c r="AB41" s="7"/>
    </row>
    <row r="42" ht="15.75" customHeight="1">
      <c r="A42" s="13" t="s">
        <v>33</v>
      </c>
      <c r="B42" s="2">
        <f t="shared" si="1"/>
        <v>50</v>
      </c>
      <c r="C42" s="2">
        <f t="shared" si="2"/>
        <v>41</v>
      </c>
      <c r="D42" s="2">
        <f t="shared" si="3"/>
        <v>9</v>
      </c>
      <c r="E42" s="9" t="str">
        <f t="shared" si="4"/>
        <v>Est‐2013)</v>
      </c>
      <c r="F42" s="7" t="str">
        <f t="shared" si="11"/>
        <v>2013</v>
      </c>
      <c r="G42" s="7"/>
      <c r="H42" s="10" t="str">
        <f t="shared" si="6"/>
        <v>BABUIBASHA: A SUSTAINABLE ARCHITECTURE. </v>
      </c>
      <c r="J42" s="2" t="s">
        <v>1089</v>
      </c>
      <c r="K42" s="2" t="s">
        <v>1132</v>
      </c>
      <c r="O42" s="14" t="s">
        <v>1133</v>
      </c>
      <c r="P42" s="2">
        <f t="shared" si="7"/>
        <v>60</v>
      </c>
      <c r="Q42" s="2">
        <f t="shared" si="8"/>
        <v>23</v>
      </c>
      <c r="R42" s="2">
        <f t="shared" si="9"/>
        <v>37</v>
      </c>
      <c r="S42" s="1" t="str">
        <f t="shared" si="10"/>
        <v>Contact: +8801711593658, 8801713453239</v>
      </c>
      <c r="U42" s="2" t="s">
        <v>1134</v>
      </c>
      <c r="W42" s="15" t="str">
        <f>IFERROR(__xludf.DUMMYFUNCTION("SPLIT(O42,""C)"")")," babuibasha@gmail.com ")</f>
        <v> babuibasha@gmail.com </v>
      </c>
      <c r="X42" s="7" t="str">
        <f>IFERROR(__xludf.DUMMYFUNCTION("""COMPUTED_VALUE"""),"ontact: +8801711593658, 8801713453239")</f>
        <v>ontact: +8801711593658, 8801713453239</v>
      </c>
      <c r="Y42" s="7" t="s">
        <v>1135</v>
      </c>
      <c r="Z42" s="7"/>
      <c r="AA42" s="7"/>
      <c r="AB42" s="7"/>
    </row>
    <row r="43" ht="15.75" customHeight="1">
      <c r="A43" s="13" t="s">
        <v>40</v>
      </c>
      <c r="B43" s="2">
        <f t="shared" si="1"/>
        <v>20</v>
      </c>
      <c r="C43" s="2">
        <f t="shared" si="2"/>
        <v>11</v>
      </c>
      <c r="D43" s="2">
        <f t="shared" si="3"/>
        <v>9</v>
      </c>
      <c r="E43" s="9" t="str">
        <f t="shared" si="4"/>
        <v>Est‐2009)</v>
      </c>
      <c r="F43" s="7" t="str">
        <f t="shared" si="11"/>
        <v>2009</v>
      </c>
      <c r="G43" s="7"/>
      <c r="H43" s="10" t="str">
        <f t="shared" si="6"/>
        <v>37 BRIDGE </v>
      </c>
      <c r="J43" s="2" t="s">
        <v>1027</v>
      </c>
      <c r="K43" s="2" t="s">
        <v>1136</v>
      </c>
      <c r="O43" s="14" t="s">
        <v>1137</v>
      </c>
      <c r="P43" s="2">
        <f t="shared" si="7"/>
        <v>21</v>
      </c>
      <c r="Q43" s="2" t="str">
        <f t="shared" si="8"/>
        <v>#VALUE!</v>
      </c>
      <c r="R43" s="2" t="str">
        <f t="shared" si="9"/>
        <v>#VALUE!</v>
      </c>
      <c r="S43" s="1" t="str">
        <f t="shared" si="10"/>
        <v>#VALUE!</v>
      </c>
      <c r="U43" s="2" t="e">
        <v>#VALUE!</v>
      </c>
      <c r="W43" s="15" t="str">
        <f>IFERROR(__xludf.DUMMYFUNCTION("SPLIT(O43,""C)"")")," contact@37bridge.net")</f>
        <v> contact@37bridge.net</v>
      </c>
      <c r="X43" s="7"/>
      <c r="Y43" s="7" t="s">
        <v>1137</v>
      </c>
      <c r="Z43" s="7"/>
      <c r="AA43" s="7"/>
      <c r="AB43" s="7"/>
    </row>
    <row r="44" ht="15.75" customHeight="1">
      <c r="A44" s="13" t="s">
        <v>47</v>
      </c>
      <c r="B44" s="2">
        <f t="shared" si="1"/>
        <v>26</v>
      </c>
      <c r="C44" s="2">
        <f t="shared" si="2"/>
        <v>17</v>
      </c>
      <c r="D44" s="2">
        <f t="shared" si="3"/>
        <v>9</v>
      </c>
      <c r="E44" s="9" t="str">
        <f t="shared" si="4"/>
        <v>Est‐2012)</v>
      </c>
      <c r="F44" s="7" t="str">
        <f t="shared" si="11"/>
        <v>2012</v>
      </c>
      <c r="G44" s="7"/>
      <c r="H44" s="10" t="str">
        <f t="shared" si="6"/>
        <v>BASHA BARI LTD. </v>
      </c>
      <c r="J44" s="2" t="s">
        <v>1007</v>
      </c>
      <c r="K44" s="2" t="s">
        <v>1138</v>
      </c>
      <c r="O44" s="14" t="s">
        <v>1139</v>
      </c>
      <c r="P44" s="2">
        <f t="shared" si="7"/>
        <v>56</v>
      </c>
      <c r="Q44" s="2">
        <f t="shared" si="8"/>
        <v>33</v>
      </c>
      <c r="R44" s="2">
        <f t="shared" si="9"/>
        <v>23</v>
      </c>
      <c r="S44" s="1" t="str">
        <f t="shared" si="10"/>
        <v>Contact: +88‐01711534290</v>
      </c>
      <c r="U44" s="2" t="s">
        <v>1140</v>
      </c>
      <c r="W44" s="15" t="str">
        <f>IFERROR(__xludf.DUMMYFUNCTION("SPLIT(O44,""C)"")")," bashabari.architects@gmail.com ")</f>
        <v> bashabari.architects@gmail.com </v>
      </c>
      <c r="X44" s="7" t="str">
        <f>IFERROR(__xludf.DUMMYFUNCTION("""COMPUTED_VALUE"""),"ontact: +88‐01711534290")</f>
        <v>ontact: +88‐01711534290</v>
      </c>
      <c r="Y44" s="7" t="s">
        <v>1141</v>
      </c>
      <c r="Z44" s="7"/>
      <c r="AA44" s="7"/>
      <c r="AB44" s="7"/>
    </row>
    <row r="45" ht="15.75" customHeight="1">
      <c r="A45" s="13" t="s">
        <v>55</v>
      </c>
      <c r="B45" s="2">
        <f t="shared" si="1"/>
        <v>18</v>
      </c>
      <c r="C45" s="2">
        <f t="shared" si="2"/>
        <v>9</v>
      </c>
      <c r="D45" s="2">
        <f t="shared" si="3"/>
        <v>9</v>
      </c>
      <c r="E45" s="9" t="str">
        <f t="shared" si="4"/>
        <v>Est‐1986)</v>
      </c>
      <c r="F45" s="7" t="str">
        <f t="shared" si="11"/>
        <v>1986</v>
      </c>
      <c r="G45" s="7"/>
      <c r="H45" s="10" t="str">
        <f t="shared" si="6"/>
        <v>CAD LTD </v>
      </c>
      <c r="J45" s="2" t="s">
        <v>1142</v>
      </c>
      <c r="K45" s="2" t="s">
        <v>1143</v>
      </c>
      <c r="O45" s="14" t="s">
        <v>1144</v>
      </c>
      <c r="P45" s="2">
        <f t="shared" si="7"/>
        <v>63</v>
      </c>
      <c r="Q45" s="2">
        <f t="shared" si="8"/>
        <v>41</v>
      </c>
      <c r="R45" s="2">
        <f t="shared" si="9"/>
        <v>22</v>
      </c>
      <c r="S45" s="1" t="str">
        <f t="shared" si="10"/>
        <v>Contact: +8801671119933</v>
      </c>
      <c r="U45" s="2" t="s">
        <v>1145</v>
      </c>
      <c r="W45" s="15" t="str">
        <f>IFERROR(__xludf.DUMMYFUNCTION("SPLIT(O45,""C)"")")," cadinan@gmail.com, cadsayeda@gmail.com ")</f>
        <v> cadinan@gmail.com, cadsayeda@gmail.com </v>
      </c>
      <c r="X45" s="7" t="str">
        <f>IFERROR(__xludf.DUMMYFUNCTION("""COMPUTED_VALUE"""),"ontact: +8801671119933")</f>
        <v>ontact: +8801671119933</v>
      </c>
      <c r="Y45" s="7" t="s">
        <v>1146</v>
      </c>
      <c r="Z45" s="7"/>
      <c r="AA45" s="7"/>
      <c r="AB45" s="7"/>
    </row>
    <row r="46" ht="15.75" customHeight="1">
      <c r="A46" s="13" t="s">
        <v>62</v>
      </c>
      <c r="B46" s="2">
        <f t="shared" si="1"/>
        <v>26</v>
      </c>
      <c r="C46" s="2">
        <f t="shared" si="2"/>
        <v>17</v>
      </c>
      <c r="D46" s="2">
        <f t="shared" si="3"/>
        <v>9</v>
      </c>
      <c r="E46" s="9" t="str">
        <f t="shared" si="4"/>
        <v>Est‐2018)</v>
      </c>
      <c r="F46" s="7" t="str">
        <f t="shared" si="11"/>
        <v>2018</v>
      </c>
      <c r="G46" s="7"/>
      <c r="H46" s="10" t="str">
        <f t="shared" si="6"/>
        <v>COCREATE STUDIO </v>
      </c>
      <c r="J46" s="2" t="s">
        <v>1054</v>
      </c>
      <c r="K46" s="2" t="s">
        <v>1147</v>
      </c>
      <c r="O46" s="14" t="s">
        <v>1148</v>
      </c>
      <c r="P46" s="2">
        <f t="shared" si="7"/>
        <v>48</v>
      </c>
      <c r="Q46" s="2">
        <f t="shared" si="8"/>
        <v>26</v>
      </c>
      <c r="R46" s="2">
        <f t="shared" si="9"/>
        <v>22</v>
      </c>
      <c r="S46" s="1" t="str">
        <f t="shared" si="10"/>
        <v>Contact: +8801819272915</v>
      </c>
      <c r="U46" s="2" t="s">
        <v>1149</v>
      </c>
      <c r="W46" s="15" t="str">
        <f>IFERROR(__xludf.DUMMYFUNCTION("SPLIT(O46,""C)"")")," cocreate@suvastu.com.bd ")</f>
        <v> cocreate@suvastu.com.bd </v>
      </c>
      <c r="X46" s="7" t="str">
        <f>IFERROR(__xludf.DUMMYFUNCTION("""COMPUTED_VALUE"""),"ontact: +8801819272915")</f>
        <v>ontact: +8801819272915</v>
      </c>
      <c r="Y46" s="7" t="s">
        <v>1150</v>
      </c>
      <c r="Z46" s="7"/>
      <c r="AA46" s="7"/>
      <c r="AB46" s="7"/>
    </row>
    <row r="47" ht="15.75" customHeight="1">
      <c r="A47" s="13" t="s">
        <v>68</v>
      </c>
      <c r="B47" s="2">
        <f t="shared" si="1"/>
        <v>33</v>
      </c>
      <c r="C47" s="2">
        <f t="shared" si="2"/>
        <v>24</v>
      </c>
      <c r="D47" s="2">
        <f t="shared" si="3"/>
        <v>9</v>
      </c>
      <c r="E47" s="9" t="str">
        <f t="shared" si="4"/>
        <v>Est‐2009)</v>
      </c>
      <c r="F47" s="7" t="str">
        <f t="shared" si="11"/>
        <v>2009</v>
      </c>
      <c r="G47" s="7"/>
      <c r="H47" s="10" t="str">
        <f t="shared" si="6"/>
        <v>CUBEINSIDE DESIGN LTD. </v>
      </c>
      <c r="J47" s="2" t="s">
        <v>1027</v>
      </c>
      <c r="K47" s="2" t="s">
        <v>1151</v>
      </c>
      <c r="O47" s="14" t="s">
        <v>1152</v>
      </c>
      <c r="P47" s="2">
        <f t="shared" si="7"/>
        <v>21</v>
      </c>
      <c r="Q47" s="2" t="str">
        <f t="shared" si="8"/>
        <v>#VALUE!</v>
      </c>
      <c r="R47" s="2" t="str">
        <f t="shared" si="9"/>
        <v>#VALUE!</v>
      </c>
      <c r="S47" s="1" t="str">
        <f t="shared" si="10"/>
        <v>#VALUE!</v>
      </c>
      <c r="U47" s="2" t="e">
        <v>#VALUE!</v>
      </c>
      <c r="W47" s="15" t="str">
        <f>IFERROR(__xludf.DUMMYFUNCTION("SPLIT(O47,""C)"")")," cubeinside@gmail.com")</f>
        <v> cubeinside@gmail.com</v>
      </c>
      <c r="X47" s="7"/>
      <c r="Y47" s="7" t="s">
        <v>1152</v>
      </c>
      <c r="Z47" s="7"/>
      <c r="AA47" s="7"/>
      <c r="AB47" s="7"/>
    </row>
    <row r="48" ht="15.75" customHeight="1">
      <c r="A48" s="13" t="s">
        <v>77</v>
      </c>
      <c r="B48" s="2">
        <f t="shared" si="1"/>
        <v>26</v>
      </c>
      <c r="C48" s="2">
        <f t="shared" si="2"/>
        <v>17</v>
      </c>
      <c r="D48" s="2">
        <f t="shared" si="3"/>
        <v>9</v>
      </c>
      <c r="E48" s="9" t="str">
        <f t="shared" si="4"/>
        <v>Est‐1978)</v>
      </c>
      <c r="F48" s="7" t="str">
        <f t="shared" si="11"/>
        <v>1978</v>
      </c>
      <c r="G48" s="7"/>
      <c r="H48" s="10" t="str">
        <f t="shared" si="6"/>
        <v>DESH UPODESH LTD</v>
      </c>
      <c r="J48" s="2" t="s">
        <v>1153</v>
      </c>
      <c r="K48" s="2" t="s">
        <v>1154</v>
      </c>
      <c r="O48" s="14" t="s">
        <v>1155</v>
      </c>
      <c r="P48" s="2">
        <f t="shared" si="7"/>
        <v>47</v>
      </c>
      <c r="Q48" s="2" t="str">
        <f t="shared" si="8"/>
        <v>#VALUE!</v>
      </c>
      <c r="R48" s="2" t="str">
        <f t="shared" si="9"/>
        <v>#VALUE!</v>
      </c>
      <c r="S48" s="1" t="str">
        <f t="shared" si="10"/>
        <v>#VALUE!</v>
      </c>
      <c r="U48" s="2" t="e">
        <v>#VALUE!</v>
      </c>
      <c r="W48" s="15" t="str">
        <f>IFERROR(__xludf.DUMMYFUNCTION("SPLIT(O48,""C)"")")," munirullah@gmail.com, alfaz.hossain1@gmail.com")</f>
        <v> munirullah@gmail.com, alfaz.hossain1@gmail.com</v>
      </c>
      <c r="X48" s="7"/>
      <c r="Y48" s="7" t="s">
        <v>1155</v>
      </c>
      <c r="Z48" s="7"/>
      <c r="AA48" s="7"/>
      <c r="AB48" s="7"/>
    </row>
    <row r="49" ht="15.75" customHeight="1">
      <c r="A49" s="13" t="s">
        <v>85</v>
      </c>
      <c r="B49" s="2">
        <f t="shared" si="1"/>
        <v>19</v>
      </c>
      <c r="C49" s="2">
        <f t="shared" si="2"/>
        <v>13</v>
      </c>
      <c r="D49" s="2">
        <f t="shared" si="3"/>
        <v>6</v>
      </c>
      <c r="E49" s="9" t="str">
        <f t="shared" si="4"/>
        <v>Est‐ )</v>
      </c>
      <c r="F49" s="7" t="str">
        <f t="shared" si="11"/>
        <v> )</v>
      </c>
      <c r="G49" s="7"/>
      <c r="H49" s="10" t="str">
        <f t="shared" si="6"/>
        <v>DESIGN CELL </v>
      </c>
      <c r="K49" s="2" t="s">
        <v>1156</v>
      </c>
      <c r="O49" s="14" t="s">
        <v>1157</v>
      </c>
      <c r="P49" s="2">
        <f t="shared" si="7"/>
        <v>51</v>
      </c>
      <c r="Q49" s="2">
        <f t="shared" si="8"/>
        <v>28</v>
      </c>
      <c r="R49" s="2">
        <f t="shared" si="9"/>
        <v>23</v>
      </c>
      <c r="S49" s="1" t="str">
        <f t="shared" si="10"/>
        <v>Contact: +88‐02‐ 8150612</v>
      </c>
      <c r="U49" s="2" t="s">
        <v>1158</v>
      </c>
      <c r="W49" s="15" t="str">
        <f>IFERROR(__xludf.DUMMYFUNCTION("SPLIT(O49,""C)"")")," designcell.cell@gmail.com ")</f>
        <v> designcell.cell@gmail.com </v>
      </c>
      <c r="X49" s="7" t="str">
        <f>IFERROR(__xludf.DUMMYFUNCTION("""COMPUTED_VALUE"""),"ontact: +88‐02‐ 8150612")</f>
        <v>ontact: +88‐02‐ 8150612</v>
      </c>
      <c r="Y49" s="7" t="s">
        <v>1159</v>
      </c>
      <c r="Z49" s="7"/>
      <c r="AA49" s="7"/>
      <c r="AB49" s="7"/>
    </row>
    <row r="50" ht="15.75" customHeight="1">
      <c r="A50" s="13" t="s">
        <v>91</v>
      </c>
      <c r="B50" s="2">
        <f t="shared" si="1"/>
        <v>40</v>
      </c>
      <c r="C50" s="2">
        <f t="shared" si="2"/>
        <v>31</v>
      </c>
      <c r="D50" s="2">
        <f t="shared" si="3"/>
        <v>9</v>
      </c>
      <c r="E50" s="9" t="str">
        <f t="shared" si="4"/>
        <v>Est‐1992)</v>
      </c>
      <c r="F50" s="7" t="str">
        <f t="shared" si="11"/>
        <v>1992</v>
      </c>
      <c r="G50" s="7"/>
      <c r="H50" s="10" t="str">
        <f t="shared" si="6"/>
        <v>DESIGN ENGINEERS &amp; ARCHITECTS </v>
      </c>
      <c r="J50" s="2" t="s">
        <v>1160</v>
      </c>
      <c r="K50" s="2" t="s">
        <v>1161</v>
      </c>
      <c r="O50" s="14" t="s">
        <v>1162</v>
      </c>
      <c r="P50" s="2">
        <f t="shared" si="7"/>
        <v>42</v>
      </c>
      <c r="Q50" s="2">
        <f t="shared" si="8"/>
        <v>20</v>
      </c>
      <c r="R50" s="2">
        <f t="shared" si="9"/>
        <v>22</v>
      </c>
      <c r="S50" s="1" t="str">
        <f t="shared" si="10"/>
        <v>Contact: +88‐02‐9886055</v>
      </c>
      <c r="U50" s="2" t="s">
        <v>1163</v>
      </c>
      <c r="W50" s="15" t="str">
        <f>IFERROR(__xludf.DUMMYFUNCTION("SPLIT(O50,""C)"")")," tjl_slm@yahoo.com ")</f>
        <v> tjl_slm@yahoo.com </v>
      </c>
      <c r="X50" s="7" t="str">
        <f>IFERROR(__xludf.DUMMYFUNCTION("""COMPUTED_VALUE"""),"ontact: +88‐02‐9886055")</f>
        <v>ontact: +88‐02‐9886055</v>
      </c>
      <c r="Y50" s="7" t="s">
        <v>1164</v>
      </c>
      <c r="Z50" s="7"/>
      <c r="AA50" s="7"/>
      <c r="AB50" s="7"/>
    </row>
    <row r="51" ht="15.75" customHeight="1">
      <c r="A51" s="13" t="s">
        <v>97</v>
      </c>
      <c r="B51" s="2">
        <f t="shared" si="1"/>
        <v>39</v>
      </c>
      <c r="C51" s="2">
        <f t="shared" si="2"/>
        <v>30</v>
      </c>
      <c r="D51" s="2">
        <f t="shared" si="3"/>
        <v>9</v>
      </c>
      <c r="E51" s="9" t="str">
        <f t="shared" si="4"/>
        <v>Est‐1998)</v>
      </c>
      <c r="F51" s="7" t="str">
        <f t="shared" si="11"/>
        <v>1998</v>
      </c>
      <c r="G51" s="7"/>
      <c r="H51" s="10" t="str">
        <f t="shared" si="6"/>
        <v>DESIGN VISION ASSOCIATES LTD </v>
      </c>
      <c r="J51" s="2" t="s">
        <v>1165</v>
      </c>
      <c r="K51" s="2" t="s">
        <v>1166</v>
      </c>
      <c r="O51" s="14" t="s">
        <v>1167</v>
      </c>
      <c r="P51" s="2">
        <f t="shared" si="7"/>
        <v>25</v>
      </c>
      <c r="Q51" s="2" t="str">
        <f t="shared" si="8"/>
        <v>#VALUE!</v>
      </c>
      <c r="R51" s="2" t="str">
        <f t="shared" si="9"/>
        <v>#VALUE!</v>
      </c>
      <c r="S51" s="1" t="str">
        <f t="shared" si="10"/>
        <v>#VALUE!</v>
      </c>
      <c r="U51" s="2" t="e">
        <v>#VALUE!</v>
      </c>
      <c r="W51" s="15" t="str">
        <f>IFERROR(__xludf.DUMMYFUNCTION("SPLIT(O51,""C)"")")," info@designvision.com.bd")</f>
        <v> info@designvision.com.bd</v>
      </c>
      <c r="X51" s="7"/>
      <c r="Y51" s="7" t="s">
        <v>1167</v>
      </c>
      <c r="Z51" s="7"/>
      <c r="AA51" s="7"/>
      <c r="AB51" s="7"/>
    </row>
    <row r="52" ht="15.75" customHeight="1">
      <c r="A52" s="13" t="s">
        <v>105</v>
      </c>
      <c r="B52" s="2">
        <f t="shared" si="1"/>
        <v>20</v>
      </c>
      <c r="C52" s="2">
        <f t="shared" si="2"/>
        <v>7</v>
      </c>
      <c r="D52" s="2">
        <f t="shared" si="3"/>
        <v>13</v>
      </c>
      <c r="E52" s="9" t="str">
        <f t="shared" si="4"/>
        <v>Est‐may 1977)</v>
      </c>
      <c r="F52" s="7" t="str">
        <f t="shared" si="11"/>
        <v>may </v>
      </c>
      <c r="G52" s="7"/>
      <c r="H52" s="10" t="str">
        <f t="shared" si="6"/>
        <v>DOMUS </v>
      </c>
      <c r="J52" s="2">
        <v>1977.0</v>
      </c>
      <c r="K52" s="2" t="s">
        <v>1168</v>
      </c>
      <c r="O52" s="14" t="s">
        <v>1169</v>
      </c>
      <c r="P52" s="2">
        <f t="shared" si="7"/>
        <v>42</v>
      </c>
      <c r="Q52" s="2" t="str">
        <f t="shared" si="8"/>
        <v>#VALUE!</v>
      </c>
      <c r="R52" s="2" t="str">
        <f t="shared" si="9"/>
        <v>#VALUE!</v>
      </c>
      <c r="S52" s="1" t="str">
        <f t="shared" si="10"/>
        <v>#VALUE!</v>
      </c>
      <c r="U52" s="2" t="e">
        <v>#VALUE!</v>
      </c>
      <c r="W52" s="15" t="str">
        <f>IFERROR(__xludf.DUMMYFUNCTION("SPLIT(O52,""C)"")")," domus@accesstel.net , domusdesk@gmail.com")</f>
        <v> domus@accesstel.net , domusdesk@gmail.com</v>
      </c>
      <c r="X52" s="7"/>
      <c r="Y52" s="7" t="s">
        <v>1169</v>
      </c>
      <c r="Z52" s="7"/>
      <c r="AA52" s="7"/>
      <c r="AB52" s="7"/>
    </row>
    <row r="53" ht="15.75" customHeight="1">
      <c r="A53" s="13" t="s">
        <v>112</v>
      </c>
      <c r="B53" s="2">
        <f t="shared" si="1"/>
        <v>29</v>
      </c>
      <c r="C53" s="2">
        <f t="shared" si="2"/>
        <v>20</v>
      </c>
      <c r="D53" s="2">
        <f t="shared" si="3"/>
        <v>9</v>
      </c>
      <c r="E53" s="9" t="str">
        <f t="shared" si="4"/>
        <v>Est‐2005)</v>
      </c>
      <c r="F53" s="7" t="str">
        <f t="shared" si="11"/>
        <v>2005</v>
      </c>
      <c r="G53" s="7"/>
      <c r="H53" s="10" t="str">
        <f t="shared" si="6"/>
        <v>DCON DESIGN STUDIO </v>
      </c>
      <c r="J53" s="2" t="s">
        <v>992</v>
      </c>
      <c r="K53" s="2" t="s">
        <v>1170</v>
      </c>
      <c r="O53" s="14" t="s">
        <v>1171</v>
      </c>
      <c r="P53" s="2">
        <f t="shared" si="7"/>
        <v>72</v>
      </c>
      <c r="Q53" s="2">
        <f t="shared" si="8"/>
        <v>48</v>
      </c>
      <c r="R53" s="2">
        <f t="shared" si="9"/>
        <v>24</v>
      </c>
      <c r="S53" s="1" t="str">
        <f t="shared" si="10"/>
        <v>Contact: : +8801711614551</v>
      </c>
      <c r="U53" s="2" t="s">
        <v>1172</v>
      </c>
      <c r="W53" s="15" t="str">
        <f>IFERROR(__xludf.DUMMYFUNCTION("SPLIT(O53,""C)"")")," dcon.design@gmail.com, faisal2395@hotmail.com ")</f>
        <v> dcon.design@gmail.com, faisal2395@hotmail.com </v>
      </c>
      <c r="X53" s="7" t="str">
        <f>IFERROR(__xludf.DUMMYFUNCTION("""COMPUTED_VALUE"""),"ontact: : +8801711614551")</f>
        <v>ontact: : +8801711614551</v>
      </c>
      <c r="Y53" s="7" t="s">
        <v>1173</v>
      </c>
      <c r="Z53" s="7"/>
      <c r="AA53" s="7"/>
      <c r="AB53" s="7"/>
    </row>
    <row r="54" ht="15.75" customHeight="1">
      <c r="A54" s="13" t="s">
        <v>118</v>
      </c>
      <c r="B54" s="2">
        <f t="shared" si="1"/>
        <v>23</v>
      </c>
      <c r="C54" s="2">
        <f t="shared" si="2"/>
        <v>14</v>
      </c>
      <c r="D54" s="2">
        <f t="shared" si="3"/>
        <v>9</v>
      </c>
      <c r="E54" s="9" t="str">
        <f t="shared" si="4"/>
        <v>Est‐2015)</v>
      </c>
      <c r="F54" s="7" t="str">
        <f t="shared" si="11"/>
        <v>2015</v>
      </c>
      <c r="G54" s="7"/>
      <c r="H54" s="10" t="str">
        <f t="shared" si="6"/>
        <v>DEHSAR WORKS </v>
      </c>
      <c r="J54" s="2" t="s">
        <v>1174</v>
      </c>
      <c r="K54" s="2" t="s">
        <v>1175</v>
      </c>
      <c r="O54" s="14" t="s">
        <v>1176</v>
      </c>
      <c r="P54" s="2">
        <f t="shared" si="7"/>
        <v>23</v>
      </c>
      <c r="Q54" s="2" t="str">
        <f t="shared" si="8"/>
        <v>#VALUE!</v>
      </c>
      <c r="R54" s="2" t="str">
        <f t="shared" si="9"/>
        <v>#VALUE!</v>
      </c>
      <c r="S54" s="1" t="str">
        <f t="shared" si="10"/>
        <v>#VALUE!</v>
      </c>
      <c r="U54" s="2" t="e">
        <v>#VALUE!</v>
      </c>
      <c r="W54" s="15" t="str">
        <f>IFERROR(__xludf.DUMMYFUNCTION("SPLIT(O54,""C)"")")," rashed@dehsarworks.com")</f>
        <v> rashed@dehsarworks.com</v>
      </c>
      <c r="X54" s="7"/>
      <c r="Y54" s="7" t="s">
        <v>1176</v>
      </c>
      <c r="Z54" s="7"/>
      <c r="AA54" s="7"/>
      <c r="AB54" s="7"/>
    </row>
    <row r="55" ht="15.75" customHeight="1">
      <c r="A55" s="13" t="s">
        <v>125</v>
      </c>
      <c r="B55" s="2">
        <f t="shared" si="1"/>
        <v>30</v>
      </c>
      <c r="C55" s="2">
        <f t="shared" si="2"/>
        <v>21</v>
      </c>
      <c r="D55" s="2">
        <f t="shared" si="3"/>
        <v>9</v>
      </c>
      <c r="E55" s="9" t="str">
        <f t="shared" si="4"/>
        <v>Est‐2014)</v>
      </c>
      <c r="F55" s="7" t="str">
        <f t="shared" si="11"/>
        <v>2014</v>
      </c>
      <c r="G55" s="7"/>
      <c r="H55" s="10" t="str">
        <f t="shared" si="6"/>
        <v>DIAGONAL ARCHITECTS </v>
      </c>
      <c r="J55" s="2" t="s">
        <v>1057</v>
      </c>
      <c r="K55" s="2" t="s">
        <v>1177</v>
      </c>
      <c r="O55" s="14" t="s">
        <v>1178</v>
      </c>
      <c r="P55" s="2">
        <f t="shared" si="7"/>
        <v>73</v>
      </c>
      <c r="Q55" s="2">
        <f t="shared" si="8"/>
        <v>36</v>
      </c>
      <c r="R55" s="2">
        <f t="shared" si="9"/>
        <v>37</v>
      </c>
      <c r="S55" s="1" t="str">
        <f t="shared" si="10"/>
        <v>Contact: +88‐02‐9126473, 8801766490119</v>
      </c>
      <c r="U55" s="2" t="s">
        <v>1179</v>
      </c>
      <c r="W55" s="15" t="str">
        <f>IFERROR(__xludf.DUMMYFUNCTION("SPLIT(O55,""C)"")")," fairoze@diagonalarchitects‐bd.com ")</f>
        <v> fairoze@diagonalarchitects‐bd.com </v>
      </c>
      <c r="X55" s="7" t="str">
        <f>IFERROR(__xludf.DUMMYFUNCTION("""COMPUTED_VALUE"""),"ontact: +88‐02‐9126473, 8801766490119")</f>
        <v>ontact: +88‐02‐9126473, 8801766490119</v>
      </c>
      <c r="Y55" s="7" t="s">
        <v>1180</v>
      </c>
      <c r="Z55" s="7"/>
      <c r="AA55" s="7"/>
      <c r="AB55" s="7"/>
    </row>
    <row r="56" ht="15.75" customHeight="1">
      <c r="A56" s="13" t="s">
        <v>132</v>
      </c>
      <c r="B56" s="2">
        <f t="shared" si="1"/>
        <v>25</v>
      </c>
      <c r="C56" s="2">
        <f t="shared" si="2"/>
        <v>16</v>
      </c>
      <c r="D56" s="2">
        <f t="shared" si="3"/>
        <v>9</v>
      </c>
      <c r="E56" s="9" t="str">
        <f t="shared" si="4"/>
        <v>Est‐2014)</v>
      </c>
      <c r="F56" s="7" t="str">
        <f t="shared" si="11"/>
        <v>2014</v>
      </c>
      <c r="G56" s="7"/>
      <c r="H56" s="10" t="str">
        <f t="shared" si="6"/>
        <v>DOT ARCHITECTS </v>
      </c>
      <c r="J56" s="2" t="s">
        <v>1057</v>
      </c>
      <c r="K56" s="2" t="s">
        <v>1181</v>
      </c>
      <c r="O56" s="14" t="s">
        <v>1182</v>
      </c>
      <c r="P56" s="2">
        <f t="shared" si="7"/>
        <v>67</v>
      </c>
      <c r="Q56" s="2">
        <f t="shared" si="8"/>
        <v>29</v>
      </c>
      <c r="R56" s="2">
        <f t="shared" si="9"/>
        <v>38</v>
      </c>
      <c r="S56" s="1" t="str">
        <f t="shared" si="10"/>
        <v>Contact: +8801612880595, +8801965370464</v>
      </c>
      <c r="U56" s="2" t="s">
        <v>1183</v>
      </c>
      <c r="W56" s="15" t="str">
        <f>IFERROR(__xludf.DUMMYFUNCTION("SPLIT(O56,""C)"")")," Dot.architects@hotmail.com ")</f>
        <v> Dot.architects@hotmail.com </v>
      </c>
      <c r="X56" s="7" t="str">
        <f>IFERROR(__xludf.DUMMYFUNCTION("""COMPUTED_VALUE"""),"ontact: +8801612880595, +8801965370464")</f>
        <v>ontact: +8801612880595, +8801965370464</v>
      </c>
      <c r="Y56" s="7" t="s">
        <v>1184</v>
      </c>
      <c r="Z56" s="7"/>
      <c r="AA56" s="7"/>
      <c r="AB56" s="7"/>
    </row>
    <row r="57" ht="15.75" customHeight="1">
      <c r="A57" s="13" t="s">
        <v>140</v>
      </c>
      <c r="B57" s="2">
        <f t="shared" si="1"/>
        <v>14</v>
      </c>
      <c r="C57" s="2">
        <f t="shared" si="2"/>
        <v>5</v>
      </c>
      <c r="D57" s="2">
        <f t="shared" si="3"/>
        <v>9</v>
      </c>
      <c r="E57" s="9" t="str">
        <f t="shared" si="4"/>
        <v>Est‐2008)</v>
      </c>
      <c r="F57" s="7" t="str">
        <f t="shared" si="11"/>
        <v>2008</v>
      </c>
      <c r="G57" s="7"/>
      <c r="H57" s="10" t="str">
        <f t="shared" si="6"/>
        <v>DWG </v>
      </c>
      <c r="J57" s="2" t="s">
        <v>997</v>
      </c>
      <c r="K57" s="2" t="s">
        <v>1185</v>
      </c>
      <c r="O57" s="14" t="s">
        <v>1186</v>
      </c>
      <c r="P57" s="2">
        <f t="shared" si="7"/>
        <v>20</v>
      </c>
      <c r="Q57" s="2" t="str">
        <f t="shared" si="8"/>
        <v>#VALUE!</v>
      </c>
      <c r="R57" s="2" t="str">
        <f t="shared" si="9"/>
        <v>#VALUE!</v>
      </c>
      <c r="S57" s="1" t="str">
        <f t="shared" si="10"/>
        <v>#VALUE!</v>
      </c>
      <c r="U57" s="2" t="e">
        <v>#VALUE!</v>
      </c>
      <c r="W57" s="15" t="str">
        <f>IFERROR(__xludf.DUMMYFUNCTION("SPLIT(O57,""C)"")")," info@dwg‐office.com")</f>
        <v> info@dwg‐office.com</v>
      </c>
      <c r="X57" s="7"/>
      <c r="Y57" s="7" t="s">
        <v>1186</v>
      </c>
      <c r="Z57" s="7"/>
      <c r="AA57" s="7"/>
      <c r="AB57" s="7"/>
    </row>
    <row r="58" ht="15.75" customHeight="1">
      <c r="A58" s="13" t="s">
        <v>148</v>
      </c>
      <c r="B58" s="2">
        <f t="shared" si="1"/>
        <v>29</v>
      </c>
      <c r="C58" s="2">
        <f t="shared" si="2"/>
        <v>20</v>
      </c>
      <c r="D58" s="2">
        <f t="shared" si="3"/>
        <v>9</v>
      </c>
      <c r="E58" s="9" t="str">
        <f t="shared" si="4"/>
        <v>Est‐2004)</v>
      </c>
      <c r="F58" s="7" t="str">
        <f t="shared" si="11"/>
        <v>2004</v>
      </c>
      <c r="G58" s="7"/>
      <c r="H58" s="10" t="str">
        <f t="shared" si="6"/>
        <v>DA‐SEIN ARCHITECTS </v>
      </c>
      <c r="J58" s="2" t="s">
        <v>1033</v>
      </c>
      <c r="K58" s="2" t="s">
        <v>1187</v>
      </c>
      <c r="O58" s="14" t="s">
        <v>1188</v>
      </c>
      <c r="P58" s="2">
        <f t="shared" si="7"/>
        <v>65</v>
      </c>
      <c r="Q58" s="2">
        <f t="shared" si="8"/>
        <v>26</v>
      </c>
      <c r="R58" s="2">
        <f t="shared" si="9"/>
        <v>39</v>
      </c>
      <c r="S58" s="1" t="str">
        <f t="shared" si="10"/>
        <v>Contact: +88 01711937254, +88 02‐9125596</v>
      </c>
      <c r="U58" s="2" t="s">
        <v>1189</v>
      </c>
      <c r="W58" s="15" t="str">
        <f>IFERROR(__xludf.DUMMYFUNCTION("SPLIT(O58,""C)"")")," shawon.dasein@gmail.com ")</f>
        <v> shawon.dasein@gmail.com </v>
      </c>
      <c r="X58" s="7" t="str">
        <f>IFERROR(__xludf.DUMMYFUNCTION("""COMPUTED_VALUE"""),"ontact: +88 01711937254, +88 02‐9125596")</f>
        <v>ontact: +88 01711937254, +88 02‐9125596</v>
      </c>
      <c r="Y58" s="7" t="s">
        <v>1190</v>
      </c>
      <c r="Z58" s="7"/>
      <c r="AA58" s="7"/>
      <c r="AB58" s="7"/>
    </row>
    <row r="59" ht="15.75" customHeight="1">
      <c r="A59" s="13" t="s">
        <v>155</v>
      </c>
      <c r="B59" s="2">
        <f t="shared" si="1"/>
        <v>26</v>
      </c>
      <c r="C59" s="2">
        <f t="shared" si="2"/>
        <v>17</v>
      </c>
      <c r="D59" s="2">
        <f t="shared" si="3"/>
        <v>9</v>
      </c>
      <c r="E59" s="9" t="str">
        <f t="shared" si="4"/>
        <v>Est‐1995)</v>
      </c>
      <c r="F59" s="7" t="str">
        <f t="shared" si="11"/>
        <v>1995</v>
      </c>
      <c r="G59" s="7"/>
      <c r="H59" s="10" t="str">
        <f t="shared" si="6"/>
        <v>DWm4 ARCHITECTS </v>
      </c>
      <c r="J59" s="2" t="s">
        <v>1066</v>
      </c>
      <c r="K59" s="2" t="s">
        <v>1191</v>
      </c>
      <c r="O59" s="14" t="s">
        <v>1192</v>
      </c>
      <c r="P59" s="2">
        <f t="shared" si="7"/>
        <v>41</v>
      </c>
      <c r="Q59" s="2">
        <f t="shared" si="8"/>
        <v>2</v>
      </c>
      <c r="R59" s="2">
        <f t="shared" si="9"/>
        <v>39</v>
      </c>
      <c r="S59" s="1" t="str">
        <f t="shared" si="10"/>
        <v>Contact: +88 01712921323, +88 02‐9885564</v>
      </c>
      <c r="U59" s="2" t="s">
        <v>1193</v>
      </c>
      <c r="W59" s="15" t="str">
        <f>IFERROR(__xludf.DUMMYFUNCTION("SPLIT(O59,""C)"")")," ")</f>
        <v> </v>
      </c>
      <c r="X59" s="7" t="str">
        <f>IFERROR(__xludf.DUMMYFUNCTION("""COMPUTED_VALUE"""),"ontact: +88 01712921323, +88 02‐9885564")</f>
        <v>ontact: +88 01712921323, +88 02‐9885564</v>
      </c>
      <c r="Y59" s="7" t="s">
        <v>1194</v>
      </c>
      <c r="Z59" s="7"/>
      <c r="AA59" s="7"/>
      <c r="AB59" s="7"/>
    </row>
    <row r="60" ht="15.75" customHeight="1">
      <c r="A60" s="13" t="s">
        <v>163</v>
      </c>
      <c r="B60" s="2">
        <f t="shared" si="1"/>
        <v>29</v>
      </c>
      <c r="C60" s="2">
        <f t="shared" si="2"/>
        <v>20</v>
      </c>
      <c r="D60" s="2">
        <f t="shared" si="3"/>
        <v>9</v>
      </c>
      <c r="E60" s="9" t="str">
        <f t="shared" si="4"/>
        <v>Est‐2014)</v>
      </c>
      <c r="F60" s="7" t="str">
        <f t="shared" si="11"/>
        <v>2014</v>
      </c>
      <c r="G60" s="7"/>
      <c r="H60" s="10" t="str">
        <f t="shared" si="6"/>
        <v>DWm4 INTRENDS LTD. </v>
      </c>
      <c r="J60" s="2" t="s">
        <v>1057</v>
      </c>
      <c r="K60" s="2" t="s">
        <v>1195</v>
      </c>
      <c r="O60" s="14" t="s">
        <v>1196</v>
      </c>
      <c r="P60" s="2">
        <f t="shared" si="7"/>
        <v>48</v>
      </c>
      <c r="Q60" s="2">
        <f t="shared" si="8"/>
        <v>24</v>
      </c>
      <c r="R60" s="2">
        <f t="shared" si="9"/>
        <v>24</v>
      </c>
      <c r="S60" s="1" t="str">
        <f t="shared" si="10"/>
        <v>Contact: +88 02‐222280802</v>
      </c>
      <c r="U60" s="2" t="s">
        <v>1197</v>
      </c>
      <c r="W60" s="15" t="str">
        <f>IFERROR(__xludf.DUMMYFUNCTION("SPLIT(O60,""C)"")")," info@dwm4intrends.com ")</f>
        <v> info@dwm4intrends.com </v>
      </c>
      <c r="X60" s="7" t="str">
        <f>IFERROR(__xludf.DUMMYFUNCTION("""COMPUTED_VALUE"""),"ontact: +88 02‐222280802")</f>
        <v>ontact: +88 02‐222280802</v>
      </c>
      <c r="Y60" s="7" t="s">
        <v>1198</v>
      </c>
      <c r="Z60" s="7"/>
      <c r="AA60" s="7"/>
      <c r="AB60" s="7"/>
    </row>
    <row r="61" ht="15.75" customHeight="1">
      <c r="A61" s="13" t="s">
        <v>170</v>
      </c>
      <c r="B61" s="2">
        <f t="shared" si="1"/>
        <v>33</v>
      </c>
      <c r="C61" s="2">
        <f t="shared" si="2"/>
        <v>24</v>
      </c>
      <c r="D61" s="2">
        <f t="shared" si="3"/>
        <v>9</v>
      </c>
      <c r="E61" s="9" t="str">
        <f t="shared" si="4"/>
        <v>Est‐1989)</v>
      </c>
      <c r="F61" s="7" t="str">
        <f t="shared" si="11"/>
        <v>1989</v>
      </c>
      <c r="G61" s="7"/>
      <c r="H61" s="10" t="str">
        <f t="shared" si="6"/>
        <v>ENVIRON STRUCTURE LTD. </v>
      </c>
      <c r="J61" s="2" t="s">
        <v>1199</v>
      </c>
      <c r="K61" s="2" t="s">
        <v>1200</v>
      </c>
      <c r="O61" s="14" t="s">
        <v>1201</v>
      </c>
      <c r="P61" s="2">
        <f t="shared" si="7"/>
        <v>52</v>
      </c>
      <c r="Q61" s="2">
        <f t="shared" si="8"/>
        <v>21</v>
      </c>
      <c r="R61" s="2">
        <f t="shared" si="9"/>
        <v>31</v>
      </c>
      <c r="S61" s="1" t="str">
        <f t="shared" si="10"/>
        <v>Contact: +88‐02‐9660876, 9660851</v>
      </c>
      <c r="U61" s="2" t="s">
        <v>1202</v>
      </c>
      <c r="W61" s="15" t="str">
        <f>IFERROR(__xludf.DUMMYFUNCTION("SPLIT(O61,""C)"")")," esl_arch@yahoo.com ")</f>
        <v> esl_arch@yahoo.com </v>
      </c>
      <c r="X61" s="7" t="str">
        <f>IFERROR(__xludf.DUMMYFUNCTION("""COMPUTED_VALUE"""),"ontact: +88‐02‐9660876, 9660851")</f>
        <v>ontact: +88‐02‐9660876, 9660851</v>
      </c>
      <c r="Y61" s="7" t="s">
        <v>1203</v>
      </c>
      <c r="Z61" s="7"/>
      <c r="AA61" s="7"/>
      <c r="AB61" s="7"/>
    </row>
    <row r="62" ht="15.75" customHeight="1">
      <c r="A62" s="13" t="s">
        <v>176</v>
      </c>
      <c r="B62" s="2">
        <f t="shared" si="1"/>
        <v>19</v>
      </c>
      <c r="C62" s="2">
        <f t="shared" si="2"/>
        <v>10</v>
      </c>
      <c r="D62" s="2">
        <f t="shared" si="3"/>
        <v>9</v>
      </c>
      <c r="E62" s="9" t="str">
        <f t="shared" si="4"/>
        <v>Est‐2009)</v>
      </c>
      <c r="F62" s="7" t="str">
        <f t="shared" si="11"/>
        <v>2009</v>
      </c>
      <c r="G62" s="7"/>
      <c r="H62" s="10" t="str">
        <f t="shared" si="6"/>
        <v>ECLIPTIC </v>
      </c>
      <c r="J62" s="2" t="s">
        <v>1027</v>
      </c>
      <c r="K62" s="2" t="s">
        <v>1204</v>
      </c>
      <c r="O62" s="14" t="s">
        <v>1205</v>
      </c>
      <c r="P62" s="2">
        <f t="shared" si="7"/>
        <v>61</v>
      </c>
      <c r="Q62" s="2">
        <f t="shared" si="8"/>
        <v>23</v>
      </c>
      <c r="R62" s="2">
        <f t="shared" si="9"/>
        <v>38</v>
      </c>
      <c r="S62" s="1" t="str">
        <f t="shared" si="10"/>
        <v>Contact: +88‐02‐9145364, +8801819244544</v>
      </c>
      <c r="U62" s="2" t="s">
        <v>1206</v>
      </c>
      <c r="W62" s="15" t="str">
        <f>IFERROR(__xludf.DUMMYFUNCTION("SPLIT(O62,""C)"")")," eclipticbd@gmail.com ")</f>
        <v> eclipticbd@gmail.com </v>
      </c>
      <c r="X62" s="7" t="str">
        <f>IFERROR(__xludf.DUMMYFUNCTION("""COMPUTED_VALUE"""),"ontact: +88‐02‐9145364, +8801819244544")</f>
        <v>ontact: +88‐02‐9145364, +8801819244544</v>
      </c>
      <c r="Y62" s="7" t="s">
        <v>1207</v>
      </c>
      <c r="Z62" s="7"/>
      <c r="AA62" s="7"/>
      <c r="AB62" s="7"/>
    </row>
    <row r="63" ht="15.75" customHeight="1">
      <c r="A63" s="13" t="s">
        <v>181</v>
      </c>
      <c r="B63" s="2">
        <f t="shared" si="1"/>
        <v>37</v>
      </c>
      <c r="C63" s="2">
        <f t="shared" si="2"/>
        <v>28</v>
      </c>
      <c r="D63" s="2">
        <f t="shared" si="3"/>
        <v>9</v>
      </c>
      <c r="E63" s="9" t="str">
        <f t="shared" si="4"/>
        <v>Est‐2010)</v>
      </c>
      <c r="F63" s="7" t="str">
        <f t="shared" si="11"/>
        <v>2010</v>
      </c>
      <c r="G63" s="7"/>
      <c r="H63" s="10" t="str">
        <f t="shared" si="6"/>
        <v>EHSAN KHAN ARCHITECTS LTD. </v>
      </c>
      <c r="J63" s="2" t="s">
        <v>1014</v>
      </c>
      <c r="K63" s="2" t="s">
        <v>1208</v>
      </c>
      <c r="O63" s="14" t="s">
        <v>1209</v>
      </c>
      <c r="P63" s="2">
        <f t="shared" si="7"/>
        <v>77</v>
      </c>
      <c r="Q63" s="2">
        <f t="shared" si="8"/>
        <v>55</v>
      </c>
      <c r="R63" s="2">
        <f t="shared" si="9"/>
        <v>22</v>
      </c>
      <c r="S63" s="1" t="str">
        <f t="shared" si="10"/>
        <v>Contact: +88‐02‐9890855</v>
      </c>
      <c r="U63" s="2" t="s">
        <v>1210</v>
      </c>
      <c r="W63" s="15" t="str">
        <f>IFERROR(__xludf.DUMMYFUNCTION("SPLIT(O63,""C)"")")," ehsan@ekarchitects.com.bd, admin@ekarchitects.com.bd ")</f>
        <v> ehsan@ekarchitects.com.bd, admin@ekarchitects.com.bd </v>
      </c>
      <c r="X63" s="7" t="str">
        <f>IFERROR(__xludf.DUMMYFUNCTION("""COMPUTED_VALUE"""),"ontact: +88‐02‐9890855")</f>
        <v>ontact: +88‐02‐9890855</v>
      </c>
      <c r="Y63" s="7" t="s">
        <v>1211</v>
      </c>
      <c r="Z63" s="7"/>
      <c r="AA63" s="7"/>
      <c r="AB63" s="7"/>
    </row>
    <row r="64" ht="15.75" customHeight="1">
      <c r="A64" s="13" t="s">
        <v>187</v>
      </c>
      <c r="B64" s="2">
        <f t="shared" si="1"/>
        <v>30</v>
      </c>
      <c r="C64" s="2">
        <f t="shared" si="2"/>
        <v>21</v>
      </c>
      <c r="D64" s="2">
        <f t="shared" si="3"/>
        <v>9</v>
      </c>
      <c r="E64" s="9" t="str">
        <f t="shared" si="4"/>
        <v>Est‐1999)</v>
      </c>
      <c r="F64" s="7" t="str">
        <f t="shared" si="11"/>
        <v>1999</v>
      </c>
      <c r="G64" s="7"/>
      <c r="H64" s="10" t="str">
        <f t="shared" si="6"/>
        <v>ENVISION ARCHITECTS </v>
      </c>
      <c r="J64" s="2" t="s">
        <v>1212</v>
      </c>
      <c r="K64" s="2" t="s">
        <v>1213</v>
      </c>
      <c r="O64" s="14" t="s">
        <v>1214</v>
      </c>
      <c r="P64" s="2">
        <f t="shared" si="7"/>
        <v>78</v>
      </c>
      <c r="Q64" s="2">
        <f t="shared" si="8"/>
        <v>55</v>
      </c>
      <c r="R64" s="2">
        <f t="shared" si="9"/>
        <v>23</v>
      </c>
      <c r="S64" s="1" t="str">
        <f t="shared" si="10"/>
        <v>Contact: +88‐02‐58151763</v>
      </c>
      <c r="U64" s="2" t="s">
        <v>1215</v>
      </c>
      <c r="W64" s="15" t="str">
        <f>IFERROR(__xludf.DUMMYFUNCTION("SPLIT(O64,""C)"")")," qazimarif2012@gmail.com, principal@envision‐arch.org ")</f>
        <v> qazimarif2012@gmail.com, principal@envision‐arch.org </v>
      </c>
      <c r="X64" s="7" t="str">
        <f>IFERROR(__xludf.DUMMYFUNCTION("""COMPUTED_VALUE"""),"ontact: +88‐02‐58151763")</f>
        <v>ontact: +88‐02‐58151763</v>
      </c>
      <c r="Y64" s="7" t="s">
        <v>1216</v>
      </c>
      <c r="Z64" s="7"/>
      <c r="AA64" s="7"/>
      <c r="AB64" s="7"/>
    </row>
    <row r="65" ht="15.75" customHeight="1">
      <c r="A65" s="13" t="s">
        <v>193</v>
      </c>
      <c r="B65" s="2">
        <f t="shared" si="1"/>
        <v>27</v>
      </c>
      <c r="C65" s="2">
        <f t="shared" si="2"/>
        <v>18</v>
      </c>
      <c r="D65" s="2">
        <f t="shared" si="3"/>
        <v>9</v>
      </c>
      <c r="E65" s="9" t="str">
        <f t="shared" si="4"/>
        <v>Est‐2007)</v>
      </c>
      <c r="F65" s="7" t="str">
        <f t="shared" si="11"/>
        <v>2007</v>
      </c>
      <c r="G65" s="7"/>
      <c r="H65" s="10" t="str">
        <f t="shared" si="6"/>
        <v>FOURTH DIMENSION </v>
      </c>
      <c r="J65" s="2" t="s">
        <v>1217</v>
      </c>
      <c r="K65" s="2" t="s">
        <v>1218</v>
      </c>
      <c r="O65" s="14" t="s">
        <v>1219</v>
      </c>
      <c r="P65" s="2">
        <f t="shared" si="7"/>
        <v>23</v>
      </c>
      <c r="Q65" s="2" t="str">
        <f t="shared" si="8"/>
        <v>#VALUE!</v>
      </c>
      <c r="R65" s="2" t="str">
        <f t="shared" si="9"/>
        <v>#VALUE!</v>
      </c>
      <c r="S65" s="1" t="str">
        <f t="shared" si="10"/>
        <v>#VALUE!</v>
      </c>
      <c r="U65" s="2" t="e">
        <v>#VALUE!</v>
      </c>
      <c r="W65" s="15" t="str">
        <f>IFERROR(__xludf.DUMMYFUNCTION("SPLIT(O65,""C)"")")," turjo_96inte@yahoo.com")</f>
        <v> turjo_96inte@yahoo.com</v>
      </c>
      <c r="X65" s="7"/>
      <c r="Y65" s="7" t="s">
        <v>1219</v>
      </c>
      <c r="Z65" s="7"/>
      <c r="AA65" s="7"/>
      <c r="AB65" s="7"/>
    </row>
    <row r="66" ht="15.75" customHeight="1">
      <c r="A66" s="13" t="s">
        <v>200</v>
      </c>
      <c r="B66" s="2">
        <f t="shared" si="1"/>
        <v>40</v>
      </c>
      <c r="C66" s="2">
        <f t="shared" si="2"/>
        <v>30</v>
      </c>
      <c r="D66" s="2">
        <f t="shared" si="3"/>
        <v>10</v>
      </c>
      <c r="E66" s="9" t="str">
        <f t="shared" si="4"/>
        <v>Est‐ 2011)</v>
      </c>
      <c r="F66" s="7" t="str">
        <f t="shared" si="11"/>
        <v> 201</v>
      </c>
      <c r="G66" s="7"/>
      <c r="H66" s="10" t="str">
        <f t="shared" si="6"/>
        <v>FALGUNI MALLICK &amp; ASSOCIATES </v>
      </c>
      <c r="J66" s="2">
        <v>2011.0</v>
      </c>
      <c r="K66" s="2" t="s">
        <v>1220</v>
      </c>
      <c r="O66" s="14" t="s">
        <v>1221</v>
      </c>
      <c r="P66" s="2">
        <f t="shared" si="7"/>
        <v>71</v>
      </c>
      <c r="Q66" s="2">
        <f t="shared" si="8"/>
        <v>49</v>
      </c>
      <c r="R66" s="2">
        <f t="shared" si="9"/>
        <v>22</v>
      </c>
      <c r="S66" s="1" t="str">
        <f t="shared" si="10"/>
        <v>Contact: +8801970112299</v>
      </c>
      <c r="U66" s="2" t="s">
        <v>1222</v>
      </c>
      <c r="W66" s="15" t="str">
        <f>IFERROR(__xludf.DUMMYFUNCTION("SPLIT(O66,""C)"")")," fma_architects@yahoo.com, fmallick74@gmail.com ")</f>
        <v> fma_architects@yahoo.com, fmallick74@gmail.com </v>
      </c>
      <c r="X66" s="7" t="str">
        <f>IFERROR(__xludf.DUMMYFUNCTION("""COMPUTED_VALUE"""),"ontact: +8801970112299")</f>
        <v>ontact: +8801970112299</v>
      </c>
      <c r="Y66" s="7" t="s">
        <v>1223</v>
      </c>
      <c r="Z66" s="7"/>
      <c r="AA66" s="7"/>
      <c r="AB66" s="7"/>
    </row>
    <row r="67" ht="15.75" customHeight="1">
      <c r="A67" s="13" t="s">
        <v>206</v>
      </c>
      <c r="B67" s="2">
        <f t="shared" si="1"/>
        <v>17</v>
      </c>
      <c r="C67" s="2">
        <f t="shared" si="2"/>
        <v>8</v>
      </c>
      <c r="D67" s="2">
        <f t="shared" si="3"/>
        <v>9</v>
      </c>
      <c r="E67" s="9" t="str">
        <f t="shared" si="4"/>
        <v>Est‐1999)</v>
      </c>
      <c r="F67" s="7" t="str">
        <f t="shared" si="11"/>
        <v>1999</v>
      </c>
      <c r="G67" s="7"/>
      <c r="H67" s="10" t="str">
        <f t="shared" si="6"/>
        <v>FIALKA </v>
      </c>
      <c r="J67" s="2" t="s">
        <v>1212</v>
      </c>
      <c r="K67" s="2" t="s">
        <v>1224</v>
      </c>
      <c r="O67" s="14" t="s">
        <v>1225</v>
      </c>
      <c r="P67" s="2">
        <f t="shared" si="7"/>
        <v>64</v>
      </c>
      <c r="Q67" s="2">
        <f t="shared" si="8"/>
        <v>25</v>
      </c>
      <c r="R67" s="2">
        <f t="shared" si="9"/>
        <v>39</v>
      </c>
      <c r="S67" s="1" t="str">
        <f t="shared" si="10"/>
        <v>Contact: +88‐031‐618599, +88‐031‐2863269</v>
      </c>
      <c r="U67" s="2" t="s">
        <v>1226</v>
      </c>
      <c r="W67" s="15" t="str">
        <f>IFERROR(__xludf.DUMMYFUNCTION("SPLIT(O67,""C)"")")," ashiq.fialka@gmail.com ")</f>
        <v> ashiq.fialka@gmail.com </v>
      </c>
      <c r="X67" s="7" t="str">
        <f>IFERROR(__xludf.DUMMYFUNCTION("""COMPUTED_VALUE"""),"ontact: +88‐031‐618599, +88‐031‐2863269")</f>
        <v>ontact: +88‐031‐618599, +88‐031‐2863269</v>
      </c>
      <c r="Y67" s="7" t="s">
        <v>1227</v>
      </c>
      <c r="Z67" s="7"/>
      <c r="AA67" s="7"/>
      <c r="AB67" s="7"/>
    </row>
    <row r="68" ht="15.75" customHeight="1">
      <c r="A68" s="13" t="s">
        <v>211</v>
      </c>
      <c r="B68" s="2">
        <f t="shared" si="1"/>
        <v>31</v>
      </c>
      <c r="C68" s="2">
        <f t="shared" si="2"/>
        <v>18</v>
      </c>
      <c r="D68" s="2">
        <f t="shared" si="3"/>
        <v>13</v>
      </c>
      <c r="E68" s="9" t="str">
        <f t="shared" si="4"/>
        <v>Est‐may 2009)</v>
      </c>
      <c r="F68" s="7" t="str">
        <f t="shared" si="11"/>
        <v>may </v>
      </c>
      <c r="G68" s="7"/>
      <c r="H68" s="10" t="str">
        <f t="shared" si="6"/>
        <v>GKA &amp; ASSOCIATES </v>
      </c>
      <c r="J68" s="2">
        <v>2009.0</v>
      </c>
      <c r="K68" s="2" t="s">
        <v>1228</v>
      </c>
      <c r="O68" s="14" t="s">
        <v>1229</v>
      </c>
      <c r="P68" s="2">
        <f t="shared" si="7"/>
        <v>21</v>
      </c>
      <c r="Q68" s="2" t="str">
        <f t="shared" si="8"/>
        <v>#VALUE!</v>
      </c>
      <c r="R68" s="2" t="str">
        <f t="shared" si="9"/>
        <v>#VALUE!</v>
      </c>
      <c r="S68" s="1" t="str">
        <f t="shared" si="10"/>
        <v>#VALUE!</v>
      </c>
      <c r="U68" s="2" t="e">
        <v>#VALUE!</v>
      </c>
      <c r="W68" s="15" t="str">
        <f>IFERROR(__xludf.DUMMYFUNCTION("SPLIT(O68,""C)"")")," gakhan0306@yahoo.com")</f>
        <v> gakhan0306@yahoo.com</v>
      </c>
      <c r="X68" s="7"/>
      <c r="Y68" s="7" t="s">
        <v>1229</v>
      </c>
      <c r="Z68" s="7"/>
      <c r="AA68" s="7"/>
      <c r="AB68" s="7"/>
    </row>
    <row r="69" ht="15.75" customHeight="1">
      <c r="A69" s="13" t="s">
        <v>218</v>
      </c>
      <c r="B69" s="2">
        <f t="shared" si="1"/>
        <v>29</v>
      </c>
      <c r="C69" s="2">
        <f t="shared" si="2"/>
        <v>20</v>
      </c>
      <c r="D69" s="2">
        <f t="shared" si="3"/>
        <v>9</v>
      </c>
      <c r="E69" s="9" t="str">
        <f t="shared" si="4"/>
        <v>Est‐2017)</v>
      </c>
      <c r="F69" s="7" t="str">
        <f t="shared" si="11"/>
        <v>2017</v>
      </c>
      <c r="G69" s="7"/>
      <c r="H69" s="10" t="str">
        <f t="shared" si="6"/>
        <v>GENESIS ARCHITECTS </v>
      </c>
      <c r="J69" s="2" t="s">
        <v>1081</v>
      </c>
      <c r="K69" s="2" t="s">
        <v>1230</v>
      </c>
      <c r="O69" s="14" t="s">
        <v>1231</v>
      </c>
      <c r="P69" s="2">
        <f t="shared" si="7"/>
        <v>43</v>
      </c>
      <c r="Q69" s="2">
        <f t="shared" si="8"/>
        <v>21</v>
      </c>
      <c r="R69" s="2">
        <f t="shared" si="9"/>
        <v>22</v>
      </c>
      <c r="S69" s="1" t="str">
        <f t="shared" si="10"/>
        <v>Contact: +8801812807687</v>
      </c>
      <c r="U69" s="2" t="s">
        <v>1232</v>
      </c>
      <c r="W69" s="15" t="str">
        <f>IFERROR(__xludf.DUMMYFUNCTION("SPLIT(O69,""C)"")")," info@genesis.archi ")</f>
        <v> info@genesis.archi </v>
      </c>
      <c r="X69" s="7" t="str">
        <f>IFERROR(__xludf.DUMMYFUNCTION("""COMPUTED_VALUE"""),"ontact: +8801812807687")</f>
        <v>ontact: +8801812807687</v>
      </c>
      <c r="Y69" s="7" t="s">
        <v>1233</v>
      </c>
      <c r="Z69" s="7"/>
      <c r="AA69" s="7"/>
      <c r="AB69" s="7"/>
    </row>
    <row r="70" ht="15.75" customHeight="1">
      <c r="A70" s="13" t="s">
        <v>224</v>
      </c>
      <c r="B70" s="2">
        <f t="shared" si="1"/>
        <v>38</v>
      </c>
      <c r="C70" s="2">
        <f t="shared" si="2"/>
        <v>29</v>
      </c>
      <c r="D70" s="2">
        <f t="shared" si="3"/>
        <v>9</v>
      </c>
      <c r="E70" s="9" t="str">
        <f t="shared" si="4"/>
        <v>Est‐2017)</v>
      </c>
      <c r="F70" s="7" t="str">
        <f t="shared" si="11"/>
        <v>2017</v>
      </c>
      <c r="G70" s="7"/>
      <c r="H70" s="10" t="str">
        <f t="shared" si="6"/>
        <v>GRAVITY ARCHITECTURE STUDIO </v>
      </c>
      <c r="J70" s="2" t="s">
        <v>1081</v>
      </c>
      <c r="K70" s="2" t="s">
        <v>1234</v>
      </c>
      <c r="O70" s="14" t="s">
        <v>1235</v>
      </c>
      <c r="P70" s="2">
        <f t="shared" si="7"/>
        <v>65</v>
      </c>
      <c r="Q70" s="2">
        <f t="shared" si="8"/>
        <v>25</v>
      </c>
      <c r="R70" s="2">
        <f t="shared" si="9"/>
        <v>40</v>
      </c>
      <c r="S70" s="1" t="str">
        <f t="shared" si="10"/>
        <v>Contact: +88 01730096986, +88 01676057570</v>
      </c>
      <c r="U70" s="2" t="s">
        <v>1236</v>
      </c>
      <c r="W70" s="15" t="str">
        <f>IFERROR(__xludf.DUMMYFUNCTION("SPLIT(O70,""C)"")")," gravity.asbd@gmail.com ")</f>
        <v> gravity.asbd@gmail.com </v>
      </c>
      <c r="X70" s="7" t="str">
        <f>IFERROR(__xludf.DUMMYFUNCTION("""COMPUTED_VALUE"""),"ontact: +88 01730096986, +88 01676057570")</f>
        <v>ontact: +88 01730096986, +88 01676057570</v>
      </c>
      <c r="Y70" s="7" t="s">
        <v>1237</v>
      </c>
      <c r="Z70" s="7"/>
      <c r="AA70" s="7"/>
      <c r="AB70" s="7"/>
    </row>
    <row r="71" ht="15.75" customHeight="1">
      <c r="A71" s="13" t="s">
        <v>233</v>
      </c>
      <c r="B71" s="2">
        <f t="shared" si="1"/>
        <v>25</v>
      </c>
      <c r="C71" s="2">
        <f t="shared" si="2"/>
        <v>16</v>
      </c>
      <c r="D71" s="2">
        <f t="shared" si="3"/>
        <v>9</v>
      </c>
      <c r="E71" s="9" t="str">
        <f t="shared" si="4"/>
        <v>Est‐2019)</v>
      </c>
      <c r="F71" s="7" t="str">
        <f t="shared" si="11"/>
        <v>2019</v>
      </c>
      <c r="G71" s="7"/>
      <c r="H71" s="10" t="str">
        <f t="shared" si="6"/>
        <v>H I ARCHITECTS </v>
      </c>
      <c r="J71" s="2" t="s">
        <v>1238</v>
      </c>
      <c r="K71" s="2" t="s">
        <v>1239</v>
      </c>
      <c r="O71" s="14" t="s">
        <v>1240</v>
      </c>
      <c r="P71" s="2">
        <f t="shared" si="7"/>
        <v>51</v>
      </c>
      <c r="Q71" s="2">
        <f t="shared" si="8"/>
        <v>28</v>
      </c>
      <c r="R71" s="2">
        <f t="shared" si="9"/>
        <v>23</v>
      </c>
      <c r="S71" s="1" t="str">
        <f t="shared" si="10"/>
        <v>Contact: +88 01714110471</v>
      </c>
      <c r="U71" s="2" t="s">
        <v>1241</v>
      </c>
      <c r="W71" s="15" t="str">
        <f>IFERROR(__xludf.DUMMYFUNCTION("SPLIT(O71,""C)"")")," md.hasan.imam23@gmail.com ")</f>
        <v> md.hasan.imam23@gmail.com </v>
      </c>
      <c r="X71" s="7" t="str">
        <f>IFERROR(__xludf.DUMMYFUNCTION("""COMPUTED_VALUE"""),"ontact: +88 01714110471")</f>
        <v>ontact: +88 01714110471</v>
      </c>
      <c r="Y71" s="7" t="s">
        <v>1242</v>
      </c>
      <c r="Z71" s="7"/>
      <c r="AA71" s="7"/>
      <c r="AB71" s="7"/>
    </row>
    <row r="72" ht="15.75" customHeight="1">
      <c r="A72" s="13" t="s">
        <v>238</v>
      </c>
      <c r="B72" s="2">
        <f t="shared" si="1"/>
        <v>15</v>
      </c>
      <c r="C72" s="2">
        <f t="shared" si="2"/>
        <v>6</v>
      </c>
      <c r="D72" s="2">
        <f t="shared" si="3"/>
        <v>9</v>
      </c>
      <c r="E72" s="9" t="str">
        <f t="shared" si="4"/>
        <v>Est‐2003)</v>
      </c>
      <c r="F72" s="7" t="str">
        <f t="shared" si="11"/>
        <v>2003</v>
      </c>
      <c r="G72" s="7"/>
      <c r="H72" s="10" t="str">
        <f t="shared" si="6"/>
        <v>IDEA </v>
      </c>
      <c r="J72" s="2" t="s">
        <v>1243</v>
      </c>
      <c r="K72" s="2" t="s">
        <v>1244</v>
      </c>
      <c r="O72" s="14" t="s">
        <v>1245</v>
      </c>
      <c r="P72" s="2">
        <f t="shared" si="7"/>
        <v>42</v>
      </c>
      <c r="Q72" s="2">
        <f t="shared" si="8"/>
        <v>20</v>
      </c>
      <c r="R72" s="2">
        <f t="shared" si="9"/>
        <v>22</v>
      </c>
      <c r="S72" s="1" t="str">
        <f t="shared" si="10"/>
        <v>Contact: +88‐02‐9144347</v>
      </c>
      <c r="U72" s="2" t="s">
        <v>1246</v>
      </c>
      <c r="W72" s="15" t="str">
        <f>IFERROR(__xludf.DUMMYFUNCTION("SPLIT(O72,""C)"")")," idea@enstudio.org ")</f>
        <v> idea@enstudio.org </v>
      </c>
      <c r="X72" s="7" t="str">
        <f>IFERROR(__xludf.DUMMYFUNCTION("""COMPUTED_VALUE"""),"ontact: +88‐02‐9144347")</f>
        <v>ontact: +88‐02‐9144347</v>
      </c>
      <c r="Y72" s="7" t="s">
        <v>1247</v>
      </c>
      <c r="Z72" s="7"/>
      <c r="AA72" s="7"/>
      <c r="AB72" s="7"/>
    </row>
    <row r="73" ht="15.75" customHeight="1">
      <c r="A73" s="13" t="s">
        <v>243</v>
      </c>
      <c r="B73" s="2">
        <f t="shared" si="1"/>
        <v>27</v>
      </c>
      <c r="C73" s="2">
        <f t="shared" si="2"/>
        <v>18</v>
      </c>
      <c r="D73" s="2">
        <f t="shared" si="3"/>
        <v>9</v>
      </c>
      <c r="E73" s="9" t="str">
        <f t="shared" si="4"/>
        <v>Est‐2010)</v>
      </c>
      <c r="F73" s="7" t="str">
        <f t="shared" si="11"/>
        <v>2010</v>
      </c>
      <c r="G73" s="7"/>
      <c r="H73" s="10" t="str">
        <f t="shared" si="6"/>
        <v>IMAGE ARCHITECTS </v>
      </c>
      <c r="J73" s="2" t="s">
        <v>1014</v>
      </c>
      <c r="K73" s="2" t="s">
        <v>1248</v>
      </c>
      <c r="O73" s="14" t="s">
        <v>1249</v>
      </c>
      <c r="P73" s="2">
        <f t="shared" si="7"/>
        <v>67</v>
      </c>
      <c r="Q73" s="2">
        <f t="shared" si="8"/>
        <v>29</v>
      </c>
      <c r="R73" s="2">
        <f t="shared" si="9"/>
        <v>38</v>
      </c>
      <c r="S73" s="1" t="str">
        <f t="shared" si="10"/>
        <v>Contact: +8801712573353, +8801681235750</v>
      </c>
      <c r="U73" s="2" t="s">
        <v>1250</v>
      </c>
      <c r="W73" s="15" t="str">
        <f>IFERROR(__xludf.DUMMYFUNCTION("SPLIT(O73,""C)"")")," image_architects@yahoo.com ")</f>
        <v> image_architects@yahoo.com </v>
      </c>
      <c r="X73" s="7" t="str">
        <f>IFERROR(__xludf.DUMMYFUNCTION("""COMPUTED_VALUE"""),"ontact: +8801712573353, +8801681235750")</f>
        <v>ontact: +8801712573353, +8801681235750</v>
      </c>
      <c r="Y73" s="7" t="s">
        <v>1251</v>
      </c>
      <c r="Z73" s="7"/>
      <c r="AA73" s="7"/>
      <c r="AB73" s="7"/>
    </row>
    <row r="74" ht="15.75" customHeight="1">
      <c r="A74" s="13" t="s">
        <v>248</v>
      </c>
      <c r="B74" s="2">
        <f t="shared" si="1"/>
        <v>28</v>
      </c>
      <c r="C74" s="2">
        <f t="shared" si="2"/>
        <v>19</v>
      </c>
      <c r="D74" s="2">
        <f t="shared" si="3"/>
        <v>9</v>
      </c>
      <c r="E74" s="9" t="str">
        <f t="shared" si="4"/>
        <v>Est‐1996)</v>
      </c>
      <c r="F74" s="7" t="str">
        <f t="shared" si="11"/>
        <v>1996</v>
      </c>
      <c r="G74" s="7"/>
      <c r="H74" s="10" t="str">
        <f t="shared" si="6"/>
        <v>INGRID ARCHITECTS </v>
      </c>
      <c r="J74" s="2" t="s">
        <v>988</v>
      </c>
      <c r="K74" s="2" t="s">
        <v>1252</v>
      </c>
      <c r="O74" s="14" t="s">
        <v>1253</v>
      </c>
      <c r="P74" s="2">
        <f t="shared" si="7"/>
        <v>47</v>
      </c>
      <c r="Q74" s="2">
        <f t="shared" si="8"/>
        <v>25</v>
      </c>
      <c r="R74" s="2">
        <f t="shared" si="9"/>
        <v>22</v>
      </c>
      <c r="S74" s="1" t="str">
        <f t="shared" si="10"/>
        <v>Contact: +88‐02‐9880507</v>
      </c>
      <c r="U74" s="2" t="s">
        <v>1254</v>
      </c>
      <c r="W74" s="15" t="str">
        <f>IFERROR(__xludf.DUMMYFUNCTION("SPLIT(O74,""C)"")")," ingrid_dhaka@yahoo.com ")</f>
        <v> ingrid_dhaka@yahoo.com </v>
      </c>
      <c r="X74" s="7" t="str">
        <f>IFERROR(__xludf.DUMMYFUNCTION("""COMPUTED_VALUE"""),"ontact: +88‐02‐9880507")</f>
        <v>ontact: +88‐02‐9880507</v>
      </c>
      <c r="Y74" s="7" t="s">
        <v>1255</v>
      </c>
      <c r="Z74" s="7"/>
      <c r="AA74" s="7"/>
      <c r="AB74" s="7"/>
    </row>
    <row r="75" ht="15.75" customHeight="1">
      <c r="A75" s="13" t="s">
        <v>257</v>
      </c>
      <c r="B75" s="2">
        <f t="shared" si="1"/>
        <v>29</v>
      </c>
      <c r="C75" s="2">
        <f t="shared" si="2"/>
        <v>20</v>
      </c>
      <c r="D75" s="2">
        <f t="shared" si="3"/>
        <v>9</v>
      </c>
      <c r="E75" s="9" t="str">
        <f t="shared" si="4"/>
        <v>Est‐2014)</v>
      </c>
      <c r="F75" s="7" t="str">
        <f t="shared" si="11"/>
        <v>2014</v>
      </c>
      <c r="G75" s="7"/>
      <c r="H75" s="10" t="str">
        <f t="shared" si="6"/>
        <v>ICON DESIGN STUDIO </v>
      </c>
      <c r="J75" s="2" t="s">
        <v>1057</v>
      </c>
      <c r="K75" s="2" t="s">
        <v>1256</v>
      </c>
      <c r="O75" s="14" t="s">
        <v>1257</v>
      </c>
      <c r="P75" s="2">
        <f t="shared" si="7"/>
        <v>43</v>
      </c>
      <c r="Q75" s="2">
        <f t="shared" si="8"/>
        <v>21</v>
      </c>
      <c r="R75" s="2">
        <f t="shared" si="9"/>
        <v>22</v>
      </c>
      <c r="S75" s="1" t="str">
        <f t="shared" si="10"/>
        <v>Contact: +8801819211608</v>
      </c>
      <c r="U75" s="2" t="s">
        <v>1258</v>
      </c>
      <c r="W75" s="15" t="str">
        <f>IFERROR(__xludf.DUMMYFUNCTION("SPLIT(O75,""C)"")")," suriti@icon‐bd.com ")</f>
        <v> suriti@icon‐bd.com </v>
      </c>
      <c r="X75" s="7" t="str">
        <f>IFERROR(__xludf.DUMMYFUNCTION("""COMPUTED_VALUE"""),"ontact: +8801819211608")</f>
        <v>ontact: +8801819211608</v>
      </c>
      <c r="Y75" s="7" t="s">
        <v>1259</v>
      </c>
      <c r="Z75" s="7"/>
      <c r="AA75" s="7"/>
      <c r="AB75" s="7"/>
    </row>
    <row r="76" ht="15.75" customHeight="1">
      <c r="A76" s="13" t="s">
        <v>263</v>
      </c>
      <c r="B76" s="2">
        <f t="shared" si="1"/>
        <v>49</v>
      </c>
      <c r="C76" s="2">
        <f t="shared" si="2"/>
        <v>40</v>
      </c>
      <c r="D76" s="2">
        <f t="shared" si="3"/>
        <v>9</v>
      </c>
      <c r="E76" s="9" t="str">
        <f t="shared" si="4"/>
        <v>Est‐2010)</v>
      </c>
      <c r="F76" s="7" t="str">
        <f t="shared" si="11"/>
        <v>2010</v>
      </c>
      <c r="G76" s="7"/>
      <c r="H76" s="10" t="str">
        <f t="shared" si="6"/>
        <v>INARCH STUDIO AND CONSTRUCTION LIMITED </v>
      </c>
      <c r="J76" s="2" t="s">
        <v>1014</v>
      </c>
      <c r="K76" s="2" t="s">
        <v>1260</v>
      </c>
      <c r="O76" s="14" t="s">
        <v>1261</v>
      </c>
      <c r="P76" s="2">
        <f t="shared" si="7"/>
        <v>24</v>
      </c>
      <c r="Q76" s="2" t="str">
        <f t="shared" si="8"/>
        <v>#VALUE!</v>
      </c>
      <c r="R76" s="2" t="str">
        <f t="shared" si="9"/>
        <v>#VALUE!</v>
      </c>
      <c r="S76" s="1" t="str">
        <f t="shared" si="10"/>
        <v>#VALUE!</v>
      </c>
      <c r="U76" s="2" t="e">
        <v>#VALUE!</v>
      </c>
      <c r="W76" s="15" t="str">
        <f>IFERROR(__xludf.DUMMYFUNCTION("SPLIT(O76,""C)"")")," studio.inarch@gmail.com")</f>
        <v> studio.inarch@gmail.com</v>
      </c>
      <c r="X76" s="7"/>
      <c r="Y76" s="7" t="s">
        <v>1261</v>
      </c>
      <c r="Z76" s="7"/>
      <c r="AA76" s="7"/>
      <c r="AB76" s="7"/>
    </row>
    <row r="77" ht="15.75" customHeight="1">
      <c r="A77" s="13" t="s">
        <v>270</v>
      </c>
      <c r="B77" s="2">
        <f t="shared" si="1"/>
        <v>29</v>
      </c>
      <c r="C77" s="2">
        <f t="shared" si="2"/>
        <v>20</v>
      </c>
      <c r="D77" s="2">
        <f t="shared" si="3"/>
        <v>9</v>
      </c>
      <c r="E77" s="9" t="str">
        <f t="shared" si="4"/>
        <v>Est‐2010)</v>
      </c>
      <c r="F77" s="7" t="str">
        <f t="shared" si="11"/>
        <v>2010</v>
      </c>
      <c r="G77" s="7"/>
      <c r="H77" s="10" t="str">
        <f t="shared" si="6"/>
        <v>INSIGHT ARCHITECTS </v>
      </c>
      <c r="J77" s="2" t="s">
        <v>1014</v>
      </c>
      <c r="K77" s="2" t="s">
        <v>1262</v>
      </c>
      <c r="O77" s="14" t="s">
        <v>1263</v>
      </c>
      <c r="P77" s="2">
        <f t="shared" si="7"/>
        <v>50</v>
      </c>
      <c r="Q77" s="2">
        <f t="shared" si="8"/>
        <v>28</v>
      </c>
      <c r="R77" s="2">
        <f t="shared" si="9"/>
        <v>22</v>
      </c>
      <c r="S77" s="1" t="str">
        <f t="shared" si="10"/>
        <v>Contact: +8801711577032</v>
      </c>
      <c r="U77" s="2" t="s">
        <v>1264</v>
      </c>
      <c r="W77" s="15" t="str">
        <f>IFERROR(__xludf.DUMMYFUNCTION("SPLIT(O77,""C)"")")," insightarcdhaka@gmail.com ")</f>
        <v> insightarcdhaka@gmail.com </v>
      </c>
      <c r="X77" s="7" t="str">
        <f>IFERROR(__xludf.DUMMYFUNCTION("""COMPUTED_VALUE"""),"ontact: +8801711577032")</f>
        <v>ontact: +8801711577032</v>
      </c>
      <c r="Y77" s="7" t="s">
        <v>1265</v>
      </c>
      <c r="Z77" s="7"/>
      <c r="AA77" s="7"/>
      <c r="AB77" s="7"/>
    </row>
    <row r="78" ht="15.75" customHeight="1">
      <c r="A78" s="13" t="s">
        <v>277</v>
      </c>
      <c r="B78" s="2">
        <f t="shared" si="1"/>
        <v>33</v>
      </c>
      <c r="C78" s="2">
        <f t="shared" si="2"/>
        <v>24</v>
      </c>
      <c r="D78" s="2">
        <f t="shared" si="3"/>
        <v>9</v>
      </c>
      <c r="E78" s="9" t="str">
        <f t="shared" si="4"/>
        <v>Est‐2017)</v>
      </c>
      <c r="F78" s="7" t="str">
        <f t="shared" si="11"/>
        <v>2017</v>
      </c>
      <c r="G78" s="7"/>
      <c r="H78" s="10" t="str">
        <f t="shared" si="6"/>
        <v>IN QUEST DESIGN STUDIO </v>
      </c>
      <c r="J78" s="2" t="s">
        <v>1081</v>
      </c>
      <c r="K78" s="2" t="s">
        <v>1266</v>
      </c>
      <c r="O78" s="14" t="s">
        <v>1267</v>
      </c>
      <c r="P78" s="2">
        <f t="shared" si="7"/>
        <v>75</v>
      </c>
      <c r="Q78" s="2">
        <f t="shared" si="8"/>
        <v>22</v>
      </c>
      <c r="R78" s="2">
        <f t="shared" si="9"/>
        <v>53</v>
      </c>
      <c r="S78" s="1" t="str">
        <f t="shared" si="10"/>
        <v>Contact: 02 58153033, +88 01713038759, +88 01717602792</v>
      </c>
      <c r="U78" s="2" t="s">
        <v>1268</v>
      </c>
      <c r="W78" s="15" t="str">
        <f>IFERROR(__xludf.DUMMYFUNCTION("SPLIT(O78,""C)"")")," inquestbd@gmail.com ")</f>
        <v> inquestbd@gmail.com </v>
      </c>
      <c r="X78" s="7" t="str">
        <f>IFERROR(__xludf.DUMMYFUNCTION("""COMPUTED_VALUE"""),"ontact: 02 58153033, +88 01713038759, +88 01717602792")</f>
        <v>ontact: 02 58153033, +88 01713038759, +88 01717602792</v>
      </c>
      <c r="Y78" s="7" t="s">
        <v>1269</v>
      </c>
      <c r="Z78" s="7"/>
      <c r="AA78" s="7"/>
      <c r="AB78" s="7"/>
    </row>
    <row r="79" ht="15.75" customHeight="1">
      <c r="A79" s="13" t="s">
        <v>286</v>
      </c>
      <c r="B79" s="2">
        <f t="shared" si="1"/>
        <v>65</v>
      </c>
      <c r="C79" s="2">
        <f t="shared" si="2"/>
        <v>56</v>
      </c>
      <c r="D79" s="2">
        <f t="shared" si="3"/>
        <v>9</v>
      </c>
      <c r="E79" s="9" t="str">
        <f t="shared" si="4"/>
        <v>Est‐2020)</v>
      </c>
      <c r="F79" s="7" t="str">
        <f t="shared" si="11"/>
        <v>2020</v>
      </c>
      <c r="G79" s="7"/>
      <c r="H79" s="10" t="str">
        <f t="shared" si="6"/>
        <v>INTEGRATED DESIGNERS, ENGINEERS AND ARCHITECTS LIMITED </v>
      </c>
      <c r="J79" s="2" t="s">
        <v>1270</v>
      </c>
      <c r="K79" s="2" t="s">
        <v>1271</v>
      </c>
      <c r="O79" s="14" t="s">
        <v>1272</v>
      </c>
      <c r="P79" s="2">
        <f t="shared" si="7"/>
        <v>61</v>
      </c>
      <c r="Q79" s="2">
        <f t="shared" si="8"/>
        <v>38</v>
      </c>
      <c r="R79" s="2">
        <f t="shared" si="9"/>
        <v>23</v>
      </c>
      <c r="S79" s="1" t="str">
        <f t="shared" si="10"/>
        <v>Contact: +88 01912085801</v>
      </c>
      <c r="U79" s="2" t="s">
        <v>1273</v>
      </c>
      <c r="W79" s="15" t="str">
        <f>IFERROR(__xludf.DUMMYFUNCTION("SPLIT(O79,""C)"")")," contact.ideal.consultants@gmail.com ")</f>
        <v> contact.ideal.consultants@gmail.com </v>
      </c>
      <c r="X79" s="7" t="str">
        <f>IFERROR(__xludf.DUMMYFUNCTION("""COMPUTED_VALUE"""),"ontact: +88 01912085801")</f>
        <v>ontact: +88 01912085801</v>
      </c>
      <c r="Y79" s="7" t="s">
        <v>1274</v>
      </c>
      <c r="Z79" s="7"/>
      <c r="AA79" s="7"/>
      <c r="AB79" s="7"/>
    </row>
    <row r="80" ht="15.75" customHeight="1">
      <c r="A80" s="13" t="s">
        <v>293</v>
      </c>
      <c r="B80" s="2">
        <f t="shared" si="1"/>
        <v>30</v>
      </c>
      <c r="C80" s="2">
        <f t="shared" si="2"/>
        <v>21</v>
      </c>
      <c r="D80" s="2">
        <f t="shared" si="3"/>
        <v>9</v>
      </c>
      <c r="E80" s="9" t="str">
        <f t="shared" si="4"/>
        <v>Est‐2005)</v>
      </c>
      <c r="F80" s="7" t="str">
        <f t="shared" si="11"/>
        <v>2005</v>
      </c>
      <c r="G80" s="7"/>
      <c r="H80" s="10" t="str">
        <f t="shared" si="6"/>
        <v>J.A.ARCHITECTS LTD. </v>
      </c>
      <c r="J80" s="2" t="s">
        <v>992</v>
      </c>
      <c r="K80" s="2" t="s">
        <v>1275</v>
      </c>
      <c r="O80" s="14" t="s">
        <v>1276</v>
      </c>
      <c r="P80" s="2">
        <f t="shared" si="7"/>
        <v>25</v>
      </c>
      <c r="Q80" s="2" t="str">
        <f t="shared" si="8"/>
        <v>#VALUE!</v>
      </c>
      <c r="R80" s="2" t="str">
        <f t="shared" si="9"/>
        <v>#VALUE!</v>
      </c>
      <c r="S80" s="1" t="str">
        <f t="shared" si="10"/>
        <v>#VALUE!</v>
      </c>
      <c r="U80" s="2" t="e">
        <v>#VALUE!</v>
      </c>
      <c r="W80" s="15" t="str">
        <f>IFERROR(__xludf.DUMMYFUNCTION("SPLIT(O80,""C)"")")," mail@jaarchitects.com.bd")</f>
        <v> mail@jaarchitects.com.bd</v>
      </c>
      <c r="X80" s="7"/>
      <c r="Y80" s="7" t="s">
        <v>1276</v>
      </c>
      <c r="Z80" s="7"/>
      <c r="AA80" s="7"/>
      <c r="AB80" s="7"/>
    </row>
    <row r="81" ht="15.75" customHeight="1">
      <c r="A81" s="13" t="s">
        <v>303</v>
      </c>
      <c r="B81" s="2">
        <f t="shared" si="1"/>
        <v>26</v>
      </c>
      <c r="C81" s="2">
        <f t="shared" si="2"/>
        <v>17</v>
      </c>
      <c r="D81" s="2">
        <f t="shared" si="3"/>
        <v>9</v>
      </c>
      <c r="E81" s="9" t="str">
        <f t="shared" si="4"/>
        <v>Est‐2009)</v>
      </c>
      <c r="F81" s="7" t="str">
        <f t="shared" si="11"/>
        <v>2009</v>
      </c>
      <c r="G81" s="7"/>
      <c r="H81" s="10" t="str">
        <f t="shared" si="6"/>
        <v>J.M. CONSULTANT </v>
      </c>
      <c r="J81" s="2" t="s">
        <v>1027</v>
      </c>
      <c r="K81" s="2" t="s">
        <v>1277</v>
      </c>
      <c r="O81" s="14" t="s">
        <v>1278</v>
      </c>
      <c r="P81" s="2">
        <f t="shared" si="7"/>
        <v>94</v>
      </c>
      <c r="Q81" s="2">
        <f t="shared" si="8"/>
        <v>56</v>
      </c>
      <c r="R81" s="2">
        <f t="shared" si="9"/>
        <v>38</v>
      </c>
      <c r="S81" s="1" t="str">
        <f t="shared" si="10"/>
        <v>Contact: +8801712621792, +8801942909110</v>
      </c>
      <c r="U81" s="2" t="s">
        <v>1279</v>
      </c>
      <c r="W81" s="15" t="str">
        <f>IFERROR(__xludf.DUMMYFUNCTION("SPLIT(O81,""C)"")")," consultant.jm878@gmail.com, mrinmoyadhakary@yahoo.com ")</f>
        <v> consultant.jm878@gmail.com, mrinmoyadhakary@yahoo.com </v>
      </c>
      <c r="X81" s="7" t="str">
        <f>IFERROR(__xludf.DUMMYFUNCTION("""COMPUTED_VALUE"""),"ontact: +8801712621792, +8801942909110")</f>
        <v>ontact: +8801712621792, +8801942909110</v>
      </c>
      <c r="Y81" s="7" t="s">
        <v>1280</v>
      </c>
      <c r="Z81" s="7"/>
      <c r="AA81" s="7"/>
      <c r="AB81" s="7"/>
    </row>
    <row r="82" ht="15.75" customHeight="1">
      <c r="A82" s="13" t="s">
        <v>308</v>
      </c>
      <c r="B82" s="2">
        <f t="shared" si="1"/>
        <v>17</v>
      </c>
      <c r="C82" s="2">
        <f t="shared" si="2"/>
        <v>8</v>
      </c>
      <c r="D82" s="2">
        <f t="shared" si="3"/>
        <v>9</v>
      </c>
      <c r="E82" s="9" t="str">
        <f t="shared" si="4"/>
        <v>Est‐2007)</v>
      </c>
      <c r="F82" s="7" t="str">
        <f t="shared" si="11"/>
        <v>2007</v>
      </c>
      <c r="G82" s="7"/>
      <c r="H82" s="10" t="str">
        <f t="shared" si="6"/>
        <v>KHETRO </v>
      </c>
      <c r="J82" s="2" t="s">
        <v>1217</v>
      </c>
      <c r="K82" s="2" t="s">
        <v>1281</v>
      </c>
      <c r="O82" s="14" t="s">
        <v>1282</v>
      </c>
      <c r="P82" s="2">
        <f t="shared" si="7"/>
        <v>16</v>
      </c>
      <c r="Q82" s="2" t="str">
        <f t="shared" si="8"/>
        <v>#VALUE!</v>
      </c>
      <c r="R82" s="2" t="str">
        <f t="shared" si="9"/>
        <v>#VALUE!</v>
      </c>
      <c r="S82" s="1" t="str">
        <f t="shared" si="10"/>
        <v>#VALUE!</v>
      </c>
      <c r="U82" s="2" t="e">
        <v>#VALUE!</v>
      </c>
      <c r="W82" s="15" t="str">
        <f>IFERROR(__xludf.DUMMYFUNCTION("SPLIT(O82,""C)"")")," info@khetro.com")</f>
        <v> info@khetro.com</v>
      </c>
      <c r="X82" s="7"/>
      <c r="Y82" s="7" t="s">
        <v>1282</v>
      </c>
      <c r="Z82" s="7"/>
      <c r="AA82" s="7"/>
      <c r="AB82" s="7"/>
    </row>
    <row r="83" ht="15.75" customHeight="1">
      <c r="A83" s="13" t="s">
        <v>317</v>
      </c>
      <c r="B83" s="2">
        <f t="shared" si="1"/>
        <v>29</v>
      </c>
      <c r="C83" s="2">
        <f t="shared" si="2"/>
        <v>20</v>
      </c>
      <c r="D83" s="2">
        <f t="shared" si="3"/>
        <v>9</v>
      </c>
      <c r="E83" s="9" t="str">
        <f t="shared" si="4"/>
        <v>Est‐2005)</v>
      </c>
      <c r="F83" s="7" t="str">
        <f t="shared" si="11"/>
        <v>2005</v>
      </c>
      <c r="G83" s="7"/>
      <c r="H83" s="10" t="str">
        <f t="shared" si="6"/>
        <v>KHETTRA ARCHITECTS </v>
      </c>
      <c r="J83" s="2" t="s">
        <v>992</v>
      </c>
      <c r="K83" s="2" t="s">
        <v>1283</v>
      </c>
      <c r="O83" s="14" t="s">
        <v>1284</v>
      </c>
      <c r="P83" s="2">
        <f t="shared" si="7"/>
        <v>18</v>
      </c>
      <c r="Q83" s="2" t="str">
        <f t="shared" si="8"/>
        <v>#VALUE!</v>
      </c>
      <c r="R83" s="2" t="str">
        <f t="shared" si="9"/>
        <v>#VALUE!</v>
      </c>
      <c r="S83" s="1" t="str">
        <f t="shared" si="10"/>
        <v>#VALUE!</v>
      </c>
      <c r="U83" s="2" t="e">
        <v>#VALUE!</v>
      </c>
      <c r="W83" s="15" t="str">
        <f>IFERROR(__xludf.DUMMYFUNCTION("SPLIT(O83,""C)"")")," khettra@gmail.com")</f>
        <v> khettra@gmail.com</v>
      </c>
      <c r="X83" s="7"/>
      <c r="Y83" s="7" t="s">
        <v>1284</v>
      </c>
      <c r="Z83" s="7"/>
      <c r="AA83" s="7"/>
      <c r="AB83" s="7"/>
    </row>
    <row r="84" ht="15.75" customHeight="1">
      <c r="A84" s="13" t="s">
        <v>323</v>
      </c>
      <c r="B84" s="2">
        <f t="shared" si="1"/>
        <v>27</v>
      </c>
      <c r="C84" s="2">
        <f t="shared" si="2"/>
        <v>18</v>
      </c>
      <c r="D84" s="2">
        <f t="shared" si="3"/>
        <v>9</v>
      </c>
      <c r="E84" s="9" t="str">
        <f t="shared" si="4"/>
        <v>Est‐2014)</v>
      </c>
      <c r="F84" s="7" t="str">
        <f t="shared" si="11"/>
        <v>2014</v>
      </c>
      <c r="G84" s="7"/>
      <c r="H84" s="10" t="str">
        <f t="shared" si="6"/>
        <v>K2AH+ ARCHITECTS </v>
      </c>
      <c r="J84" s="2" t="s">
        <v>1057</v>
      </c>
      <c r="K84" s="2" t="s">
        <v>1285</v>
      </c>
      <c r="O84" s="14" t="s">
        <v>1286</v>
      </c>
      <c r="P84" s="2">
        <f t="shared" si="7"/>
        <v>26</v>
      </c>
      <c r="Q84" s="2" t="str">
        <f t="shared" si="8"/>
        <v>#VALUE!</v>
      </c>
      <c r="R84" s="2" t="str">
        <f t="shared" si="9"/>
        <v>#VALUE!</v>
      </c>
      <c r="S84" s="1" t="str">
        <f t="shared" si="10"/>
        <v>#VALUE!</v>
      </c>
      <c r="U84" s="2" t="e">
        <v>#VALUE!</v>
      </c>
      <c r="W84" s="15" t="str">
        <f>IFERROR(__xludf.DUMMYFUNCTION("SPLIT(O84,""C)"")")," k2ah.architects@gmail.com")</f>
        <v> k2ah.architects@gmail.com</v>
      </c>
      <c r="X84" s="7"/>
      <c r="Y84" s="7" t="s">
        <v>1286</v>
      </c>
      <c r="Z84" s="7"/>
      <c r="AA84" s="7"/>
      <c r="AB84" s="7"/>
    </row>
    <row r="85" ht="15.75" customHeight="1">
      <c r="A85" s="13" t="s">
        <v>330</v>
      </c>
      <c r="B85" s="2">
        <f t="shared" si="1"/>
        <v>49</v>
      </c>
      <c r="C85" s="2">
        <f t="shared" si="2"/>
        <v>40</v>
      </c>
      <c r="D85" s="2">
        <f t="shared" si="3"/>
        <v>9</v>
      </c>
      <c r="E85" s="9" t="str">
        <f t="shared" si="4"/>
        <v>Est‐2000)</v>
      </c>
      <c r="F85" s="7" t="str">
        <f t="shared" si="11"/>
        <v>2000</v>
      </c>
      <c r="G85" s="7"/>
      <c r="H85" s="10" t="str">
        <f t="shared" si="6"/>
        <v>KHETTRA ARCHITECTS &amp; ENGINEERS LIMITED </v>
      </c>
      <c r="J85" s="2" t="s">
        <v>1287</v>
      </c>
      <c r="K85" s="2" t="s">
        <v>1288</v>
      </c>
      <c r="O85" s="14" t="s">
        <v>1289</v>
      </c>
      <c r="P85" s="2">
        <f t="shared" si="7"/>
        <v>46</v>
      </c>
      <c r="Q85" s="2">
        <f t="shared" si="8"/>
        <v>24</v>
      </c>
      <c r="R85" s="2">
        <f t="shared" si="9"/>
        <v>22</v>
      </c>
      <c r="S85" s="1" t="str">
        <f t="shared" si="10"/>
        <v>Contact: +88‐02‐8835831</v>
      </c>
      <c r="U85" s="2" t="s">
        <v>1290</v>
      </c>
      <c r="W85" s="15" t="str">
        <f>IFERROR(__xludf.DUMMYFUNCTION("SPLIT(O85,""C)"")")," khettra2000@gmail.com ")</f>
        <v> khettra2000@gmail.com </v>
      </c>
      <c r="X85" s="7" t="str">
        <f>IFERROR(__xludf.DUMMYFUNCTION("""COMPUTED_VALUE"""),"ontact: +88‐02‐8835831")</f>
        <v>ontact: +88‐02‐8835831</v>
      </c>
      <c r="Y85" s="7" t="s">
        <v>1291</v>
      </c>
      <c r="Z85" s="7"/>
      <c r="AA85" s="7"/>
      <c r="AB85" s="7"/>
    </row>
    <row r="86" ht="15.75" customHeight="1">
      <c r="A86" s="13" t="s">
        <v>336</v>
      </c>
      <c r="B86" s="2">
        <f t="shared" si="1"/>
        <v>28</v>
      </c>
      <c r="C86" s="2">
        <f t="shared" si="2"/>
        <v>19</v>
      </c>
      <c r="D86" s="2">
        <f t="shared" si="3"/>
        <v>9</v>
      </c>
      <c r="E86" s="9" t="str">
        <f t="shared" si="4"/>
        <v>Est‐2019)</v>
      </c>
      <c r="F86" s="7" t="str">
        <f t="shared" si="11"/>
        <v>2019</v>
      </c>
      <c r="G86" s="7"/>
      <c r="H86" s="10" t="str">
        <f t="shared" si="6"/>
        <v>KALPAK ARCHITECTS </v>
      </c>
      <c r="J86" s="2" t="s">
        <v>1238</v>
      </c>
      <c r="K86" s="2" t="s">
        <v>1292</v>
      </c>
      <c r="O86" s="14" t="s">
        <v>1293</v>
      </c>
      <c r="P86" s="2">
        <f t="shared" si="7"/>
        <v>43</v>
      </c>
      <c r="Q86" s="2">
        <f t="shared" si="8"/>
        <v>20</v>
      </c>
      <c r="R86" s="2">
        <f t="shared" si="9"/>
        <v>23</v>
      </c>
      <c r="S86" s="1" t="str">
        <f t="shared" si="10"/>
        <v>Contact: +88 01711899081</v>
      </c>
      <c r="U86" s="2" t="s">
        <v>1294</v>
      </c>
      <c r="W86" s="15" t="str">
        <f>IFERROR(__xludf.DUMMYFUNCTION("SPLIT(O86,""C)"")")," kkalpon@gmail.com ")</f>
        <v> kkalpon@gmail.com </v>
      </c>
      <c r="X86" s="7" t="str">
        <f>IFERROR(__xludf.DUMMYFUNCTION("""COMPUTED_VALUE"""),"ontact: +88 01711899081")</f>
        <v>ontact: +88 01711899081</v>
      </c>
      <c r="Y86" s="7" t="s">
        <v>1295</v>
      </c>
      <c r="Z86" s="7"/>
      <c r="AA86" s="7"/>
      <c r="AB86" s="7"/>
    </row>
    <row r="87" ht="15.75" customHeight="1">
      <c r="A87" s="13" t="s">
        <v>342</v>
      </c>
      <c r="B87" s="2">
        <f t="shared" si="1"/>
        <v>17</v>
      </c>
      <c r="C87" s="2">
        <f t="shared" si="2"/>
        <v>8</v>
      </c>
      <c r="D87" s="2">
        <f t="shared" si="3"/>
        <v>9</v>
      </c>
      <c r="E87" s="9" t="str">
        <f t="shared" si="4"/>
        <v>Est‐2000)</v>
      </c>
      <c r="F87" s="7" t="str">
        <f t="shared" si="11"/>
        <v>2000</v>
      </c>
      <c r="G87" s="7"/>
      <c r="H87" s="10" t="str">
        <f t="shared" si="6"/>
        <v>MATRIX </v>
      </c>
      <c r="J87" s="2" t="s">
        <v>1287</v>
      </c>
      <c r="K87" s="2" t="s">
        <v>1296</v>
      </c>
      <c r="O87" s="14" t="s">
        <v>1297</v>
      </c>
      <c r="P87" s="2">
        <f t="shared" si="7"/>
        <v>44</v>
      </c>
      <c r="Q87" s="2">
        <f t="shared" si="8"/>
        <v>22</v>
      </c>
      <c r="R87" s="2">
        <f t="shared" si="9"/>
        <v>22</v>
      </c>
      <c r="S87" s="1" t="str">
        <f t="shared" si="10"/>
        <v>Contact: +8801191557292</v>
      </c>
      <c r="U87" s="2" t="s">
        <v>1298</v>
      </c>
      <c r="W87" s="15" t="str">
        <f>IFERROR(__xludf.DUMMYFUNCTION("SPLIT(O87,""C)"")")," archmiraz@yahoo.com ")</f>
        <v> archmiraz@yahoo.com </v>
      </c>
      <c r="X87" s="7" t="str">
        <f>IFERROR(__xludf.DUMMYFUNCTION("""COMPUTED_VALUE"""),"ontact: +8801191557292")</f>
        <v>ontact: +8801191557292</v>
      </c>
      <c r="Y87" s="7" t="s">
        <v>1299</v>
      </c>
      <c r="Z87" s="7"/>
      <c r="AA87" s="7"/>
      <c r="AB87" s="7"/>
    </row>
    <row r="88" ht="15.75" customHeight="1">
      <c r="A88" s="13" t="s">
        <v>348</v>
      </c>
      <c r="B88" s="2">
        <f t="shared" si="1"/>
        <v>29</v>
      </c>
      <c r="C88" s="2">
        <f t="shared" si="2"/>
        <v>20</v>
      </c>
      <c r="D88" s="2">
        <f t="shared" si="3"/>
        <v>9</v>
      </c>
      <c r="E88" s="9" t="str">
        <f t="shared" si="4"/>
        <v>Est‐2000)</v>
      </c>
      <c r="F88" s="7" t="str">
        <f t="shared" si="11"/>
        <v>2000</v>
      </c>
      <c r="G88" s="7"/>
      <c r="H88" s="10" t="str">
        <f t="shared" si="6"/>
        <v>MAATRIK ARCHITECTS </v>
      </c>
      <c r="J88" s="2" t="s">
        <v>1287</v>
      </c>
      <c r="K88" s="2" t="s">
        <v>1300</v>
      </c>
      <c r="O88" s="14" t="s">
        <v>1301</v>
      </c>
      <c r="P88" s="2">
        <f t="shared" si="7"/>
        <v>62</v>
      </c>
      <c r="Q88" s="2">
        <f t="shared" si="8"/>
        <v>24</v>
      </c>
      <c r="R88" s="2">
        <f t="shared" si="9"/>
        <v>38</v>
      </c>
      <c r="S88" s="1" t="str">
        <f t="shared" si="10"/>
        <v>Contact: +8801723563209, +8801673545909</v>
      </c>
      <c r="U88" s="2" t="s">
        <v>1302</v>
      </c>
      <c r="W88" s="15" t="str">
        <f>IFERROR(__xludf.DUMMYFUNCTION("SPLIT(O88,""C)"")")," maatrikmail@gmail.com ")</f>
        <v> maatrikmail@gmail.com </v>
      </c>
      <c r="X88" s="7" t="str">
        <f>IFERROR(__xludf.DUMMYFUNCTION("""COMPUTED_VALUE"""),"ontact: +8801723563209, +8801673545909")</f>
        <v>ontact: +8801723563209, +8801673545909</v>
      </c>
      <c r="Y88" s="7" t="s">
        <v>1303</v>
      </c>
      <c r="Z88" s="7"/>
      <c r="AA88" s="7"/>
      <c r="AB88" s="7"/>
    </row>
    <row r="89" ht="15.75" customHeight="1">
      <c r="A89" s="13" t="s">
        <v>354</v>
      </c>
      <c r="B89" s="2">
        <f t="shared" si="1"/>
        <v>32</v>
      </c>
      <c r="C89" s="2">
        <f t="shared" si="2"/>
        <v>23</v>
      </c>
      <c r="D89" s="2">
        <f t="shared" si="3"/>
        <v>9</v>
      </c>
      <c r="E89" s="9" t="str">
        <f t="shared" si="4"/>
        <v>Est‐2014)</v>
      </c>
      <c r="F89" s="7" t="str">
        <f t="shared" si="11"/>
        <v>2014</v>
      </c>
      <c r="G89" s="7"/>
      <c r="H89" s="10" t="str">
        <f t="shared" si="6"/>
        <v>MW3 DESIGN + PARTNERS </v>
      </c>
      <c r="J89" s="2" t="s">
        <v>1057</v>
      </c>
      <c r="K89" s="2" t="s">
        <v>1304</v>
      </c>
      <c r="O89" s="14" t="s">
        <v>1305</v>
      </c>
      <c r="P89" s="2">
        <f t="shared" si="7"/>
        <v>71</v>
      </c>
      <c r="Q89" s="2">
        <f t="shared" si="8"/>
        <v>49</v>
      </c>
      <c r="R89" s="2">
        <f t="shared" si="9"/>
        <v>22</v>
      </c>
      <c r="S89" s="1" t="str">
        <f t="shared" si="10"/>
        <v>Contact: +88‐02‐9840957</v>
      </c>
      <c r="U89" s="2" t="s">
        <v>1306</v>
      </c>
      <c r="W89" s="15" t="str">
        <f>IFERROR(__xludf.DUMMYFUNCTION("SPLIT(O89,""C)"")")," mahtab@mw3.com.bd, mw3designpartners@gmail.com ")</f>
        <v> mahtab@mw3.com.bd, mw3designpartners@gmail.com </v>
      </c>
      <c r="X89" s="7" t="str">
        <f>IFERROR(__xludf.DUMMYFUNCTION("""COMPUTED_VALUE"""),"ontact: +88‐02‐9840957")</f>
        <v>ontact: +88‐02‐9840957</v>
      </c>
      <c r="Y89" s="7" t="s">
        <v>1307</v>
      </c>
      <c r="Z89" s="7"/>
      <c r="AA89" s="7"/>
      <c r="AB89" s="7"/>
    </row>
    <row r="90" ht="15.75" customHeight="1">
      <c r="A90" s="13" t="s">
        <v>362</v>
      </c>
      <c r="B90" s="2">
        <f t="shared" si="1"/>
        <v>29</v>
      </c>
      <c r="C90" s="2">
        <f t="shared" si="2"/>
        <v>20</v>
      </c>
      <c r="D90" s="2">
        <f t="shared" si="3"/>
        <v>9</v>
      </c>
      <c r="E90" s="9" t="str">
        <f t="shared" si="4"/>
        <v>Est‐2007)</v>
      </c>
      <c r="F90" s="7" t="str">
        <f t="shared" si="11"/>
        <v>2007</v>
      </c>
      <c r="G90" s="7"/>
      <c r="H90" s="10" t="str">
        <f t="shared" si="6"/>
        <v>NAYREET ARCHITECTS </v>
      </c>
      <c r="J90" s="2" t="s">
        <v>1217</v>
      </c>
      <c r="K90" s="2" t="s">
        <v>1308</v>
      </c>
      <c r="O90" s="14" t="s">
        <v>1309</v>
      </c>
      <c r="P90" s="2">
        <f t="shared" si="7"/>
        <v>29</v>
      </c>
      <c r="Q90" s="2" t="str">
        <f t="shared" si="8"/>
        <v>#VALUE!</v>
      </c>
      <c r="R90" s="2" t="str">
        <f t="shared" si="9"/>
        <v>#VALUE!</v>
      </c>
      <c r="S90" s="1" t="str">
        <f t="shared" si="10"/>
        <v>#VALUE!</v>
      </c>
      <c r="U90" s="2" t="e">
        <v>#VALUE!</v>
      </c>
      <c r="W90" s="15" t="str">
        <f>IFERROR(__xludf.DUMMYFUNCTION("SPLIT(O90,""C)"")")," nayreet_architects@yahoo.com")</f>
        <v> nayreet_architects@yahoo.com</v>
      </c>
      <c r="X90" s="7"/>
      <c r="Y90" s="7" t="s">
        <v>1309</v>
      </c>
      <c r="Z90" s="7"/>
      <c r="AA90" s="7"/>
      <c r="AB90" s="7"/>
    </row>
    <row r="91" ht="15.75" customHeight="1">
      <c r="A91" s="13" t="s">
        <v>371</v>
      </c>
      <c r="B91" s="2">
        <f t="shared" si="1"/>
        <v>30</v>
      </c>
      <c r="C91" s="2">
        <f t="shared" si="2"/>
        <v>21</v>
      </c>
      <c r="D91" s="2">
        <f t="shared" si="3"/>
        <v>9</v>
      </c>
      <c r="E91" s="9" t="str">
        <f t="shared" si="4"/>
        <v>Est‐2009)</v>
      </c>
      <c r="F91" s="7" t="str">
        <f t="shared" si="11"/>
        <v>2009</v>
      </c>
      <c r="G91" s="7"/>
      <c r="H91" s="10" t="str">
        <f t="shared" si="6"/>
        <v>NOUVEAU ARCHITECTS. </v>
      </c>
      <c r="J91" s="2" t="s">
        <v>1027</v>
      </c>
      <c r="K91" s="2" t="s">
        <v>1310</v>
      </c>
      <c r="O91" s="14" t="s">
        <v>1311</v>
      </c>
      <c r="P91" s="2">
        <f t="shared" si="7"/>
        <v>43</v>
      </c>
      <c r="Q91" s="2">
        <f t="shared" si="8"/>
        <v>21</v>
      </c>
      <c r="R91" s="2">
        <f t="shared" si="9"/>
        <v>22</v>
      </c>
      <c r="S91" s="1" t="str">
        <f t="shared" si="10"/>
        <v>Contact: +8801912137212</v>
      </c>
      <c r="U91" s="2" t="s">
        <v>1312</v>
      </c>
      <c r="W91" s="15" t="str">
        <f>IFERROR(__xludf.DUMMYFUNCTION("SPLIT(O91,""C)"")")," razaoull@gmail.com ")</f>
        <v> razaoull@gmail.com </v>
      </c>
      <c r="X91" s="7" t="str">
        <f>IFERROR(__xludf.DUMMYFUNCTION("""COMPUTED_VALUE"""),"ontact: +8801912137212")</f>
        <v>ontact: +8801912137212</v>
      </c>
      <c r="Y91" s="7" t="s">
        <v>1313</v>
      </c>
      <c r="Z91" s="7"/>
      <c r="AA91" s="7"/>
      <c r="AB91" s="7"/>
    </row>
    <row r="92" ht="15.75" customHeight="1">
      <c r="A92" s="13" t="s">
        <v>377</v>
      </c>
      <c r="B92" s="2">
        <f t="shared" si="1"/>
        <v>31</v>
      </c>
      <c r="C92" s="2">
        <f t="shared" si="2"/>
        <v>22</v>
      </c>
      <c r="D92" s="2">
        <f t="shared" si="3"/>
        <v>9</v>
      </c>
      <c r="E92" s="9" t="str">
        <f t="shared" si="4"/>
        <v>Est‐2006)</v>
      </c>
      <c r="F92" s="7" t="str">
        <f t="shared" si="11"/>
        <v>2006</v>
      </c>
      <c r="G92" s="7"/>
      <c r="H92" s="10" t="str">
        <f t="shared" si="6"/>
        <v>NAKSHABID ARCHITECTS </v>
      </c>
      <c r="J92" s="2" t="s">
        <v>1314</v>
      </c>
      <c r="K92" s="2" t="s">
        <v>1315</v>
      </c>
      <c r="O92" s="14" t="s">
        <v>1316</v>
      </c>
      <c r="P92" s="2">
        <f t="shared" si="7"/>
        <v>61</v>
      </c>
      <c r="Q92" s="2">
        <f t="shared" si="8"/>
        <v>22</v>
      </c>
      <c r="R92" s="2">
        <f t="shared" si="9"/>
        <v>39</v>
      </c>
      <c r="S92" s="1" t="str">
        <f t="shared" si="10"/>
        <v>Contact: +88 01819221011, +88 02‐9845080</v>
      </c>
      <c r="U92" s="2" t="s">
        <v>1317</v>
      </c>
      <c r="W92" s="15" t="str">
        <f>IFERROR(__xludf.DUMMYFUNCTION("SPLIT(O92,""C)"")")," nakshabid@gmail.com ")</f>
        <v> nakshabid@gmail.com </v>
      </c>
      <c r="X92" s="7" t="str">
        <f>IFERROR(__xludf.DUMMYFUNCTION("""COMPUTED_VALUE"""),"ontact: +88 01819221011, +88 02‐9845080")</f>
        <v>ontact: +88 01819221011, +88 02‐9845080</v>
      </c>
      <c r="Y92" s="7" t="s">
        <v>1318</v>
      </c>
      <c r="Z92" s="7"/>
      <c r="AA92" s="7"/>
      <c r="AB92" s="7"/>
    </row>
    <row r="93" ht="15.75" customHeight="1">
      <c r="A93" s="13" t="s">
        <v>383</v>
      </c>
      <c r="B93" s="2">
        <f t="shared" si="1"/>
        <v>32</v>
      </c>
      <c r="C93" s="2">
        <f t="shared" si="2"/>
        <v>23</v>
      </c>
      <c r="D93" s="2">
        <f t="shared" si="3"/>
        <v>9</v>
      </c>
      <c r="E93" s="9" t="str">
        <f t="shared" si="4"/>
        <v>Est‐2008)</v>
      </c>
      <c r="F93" s="7" t="str">
        <f t="shared" si="11"/>
        <v>2008</v>
      </c>
      <c r="G93" s="7"/>
      <c r="H93" s="10" t="str">
        <f t="shared" si="6"/>
        <v>OLI MAHMUD ARCHITECTS </v>
      </c>
      <c r="J93" s="2" t="s">
        <v>997</v>
      </c>
      <c r="K93" s="2" t="s">
        <v>1319</v>
      </c>
      <c r="O93" s="14" t="s">
        <v>1320</v>
      </c>
      <c r="P93" s="2">
        <f t="shared" si="7"/>
        <v>20</v>
      </c>
      <c r="Q93" s="2" t="str">
        <f t="shared" si="8"/>
        <v>#VALUE!</v>
      </c>
      <c r="R93" s="2" t="str">
        <f t="shared" si="9"/>
        <v>#VALUE!</v>
      </c>
      <c r="S93" s="1" t="str">
        <f t="shared" si="10"/>
        <v>#VALUE!</v>
      </c>
      <c r="U93" s="2" t="e">
        <v>#VALUE!</v>
      </c>
      <c r="W93" s="15" t="str">
        <f>IFERROR(__xludf.DUMMYFUNCTION("SPLIT(O93,""C)"")")," olimahmud@gmail.com")</f>
        <v> olimahmud@gmail.com</v>
      </c>
      <c r="X93" s="7"/>
      <c r="Y93" s="7" t="s">
        <v>1320</v>
      </c>
      <c r="Z93" s="7"/>
      <c r="AA93" s="7"/>
      <c r="AB93" s="7"/>
    </row>
    <row r="94" ht="15.75" customHeight="1">
      <c r="A94" s="13" t="s">
        <v>390</v>
      </c>
      <c r="B94" s="2">
        <f t="shared" si="1"/>
        <v>27</v>
      </c>
      <c r="C94" s="2">
        <f t="shared" si="2"/>
        <v>18</v>
      </c>
      <c r="D94" s="2">
        <f t="shared" si="3"/>
        <v>9</v>
      </c>
      <c r="E94" s="9" t="str">
        <f t="shared" si="4"/>
        <v>Est‐2008)</v>
      </c>
      <c r="F94" s="7" t="str">
        <f t="shared" si="11"/>
        <v>2008</v>
      </c>
      <c r="G94" s="7"/>
      <c r="H94" s="10" t="str">
        <f t="shared" si="6"/>
        <v>PRACHEE STHAPATI </v>
      </c>
      <c r="J94" s="2" t="s">
        <v>997</v>
      </c>
      <c r="K94" s="2" t="s">
        <v>1321</v>
      </c>
      <c r="O94" s="14" t="s">
        <v>1322</v>
      </c>
      <c r="P94" s="2">
        <f t="shared" si="7"/>
        <v>22</v>
      </c>
      <c r="Q94" s="2" t="str">
        <f t="shared" si="8"/>
        <v>#VALUE!</v>
      </c>
      <c r="R94" s="2" t="str">
        <f t="shared" si="9"/>
        <v>#VALUE!</v>
      </c>
      <c r="S94" s="1" t="str">
        <f t="shared" si="10"/>
        <v>#VALUE!</v>
      </c>
      <c r="U94" s="2" t="e">
        <v>#VALUE!</v>
      </c>
      <c r="W94" s="15" t="str">
        <f>IFERROR(__xludf.DUMMYFUNCTION("SPLIT(O94,""C)"")")," saumenhazra@yahoo.com")</f>
        <v> saumenhazra@yahoo.com</v>
      </c>
      <c r="X94" s="7"/>
      <c r="Y94" s="7" t="s">
        <v>1322</v>
      </c>
      <c r="Z94" s="7"/>
      <c r="AA94" s="7"/>
      <c r="AB94" s="7"/>
    </row>
    <row r="95" ht="15.75" customHeight="1">
      <c r="A95" s="13" t="s">
        <v>396</v>
      </c>
      <c r="B95" s="2">
        <f t="shared" si="1"/>
        <v>27</v>
      </c>
      <c r="C95" s="2">
        <f t="shared" si="2"/>
        <v>13</v>
      </c>
      <c r="D95" s="2">
        <f t="shared" si="3"/>
        <v>14</v>
      </c>
      <c r="E95" s="9" t="str">
        <f t="shared" si="4"/>
        <v>Est‐28/8/1996)</v>
      </c>
      <c r="F95" s="7" t="str">
        <f t="shared" si="11"/>
        <v>28/8</v>
      </c>
      <c r="G95" s="7"/>
      <c r="H95" s="10" t="str">
        <f t="shared" si="6"/>
        <v>PROFILE LTD </v>
      </c>
      <c r="J95" s="2">
        <v>1996.0</v>
      </c>
      <c r="K95" s="2" t="s">
        <v>1323</v>
      </c>
      <c r="O95" s="14" t="s">
        <v>1324</v>
      </c>
      <c r="P95" s="2">
        <f t="shared" si="7"/>
        <v>46</v>
      </c>
      <c r="Q95" s="2" t="str">
        <f t="shared" si="8"/>
        <v>#VALUE!</v>
      </c>
      <c r="R95" s="2" t="str">
        <f t="shared" si="9"/>
        <v>#VALUE!</v>
      </c>
      <c r="S95" s="1" t="str">
        <f t="shared" si="10"/>
        <v>#VALUE!</v>
      </c>
      <c r="U95" s="2" t="e">
        <v>#VALUE!</v>
      </c>
      <c r="W95" s="15" t="str">
        <f>IFERROR(__xludf.DUMMYFUNCTION("SPLIT(O95,""C)"")")," profileltd@gmail.com, info@profilelimited.com")</f>
        <v> profileltd@gmail.com, info@profilelimited.com</v>
      </c>
      <c r="X95" s="7"/>
      <c r="Y95" s="7" t="s">
        <v>1324</v>
      </c>
      <c r="Z95" s="7"/>
      <c r="AA95" s="7"/>
      <c r="AB95" s="7"/>
    </row>
    <row r="96" ht="15.75" customHeight="1">
      <c r="A96" s="13" t="s">
        <v>403</v>
      </c>
      <c r="B96" s="2">
        <f t="shared" si="1"/>
        <v>38</v>
      </c>
      <c r="C96" s="2">
        <f t="shared" si="2"/>
        <v>24</v>
      </c>
      <c r="D96" s="2">
        <f t="shared" si="3"/>
        <v>14</v>
      </c>
      <c r="E96" s="9" t="str">
        <f t="shared" si="4"/>
        <v>Est‐8/11/1984)</v>
      </c>
      <c r="F96" s="7" t="str">
        <f t="shared" si="11"/>
        <v>8/11</v>
      </c>
      <c r="G96" s="7"/>
      <c r="H96" s="10" t="str">
        <f t="shared" si="6"/>
        <v>PROKALPA UPODESHTA LTD </v>
      </c>
      <c r="J96" s="2">
        <v>1984.0</v>
      </c>
      <c r="K96" s="2" t="s">
        <v>1325</v>
      </c>
      <c r="O96" s="14" t="s">
        <v>1326</v>
      </c>
      <c r="P96" s="2">
        <f t="shared" si="7"/>
        <v>15</v>
      </c>
      <c r="Q96" s="2" t="str">
        <f t="shared" si="8"/>
        <v>#VALUE!</v>
      </c>
      <c r="R96" s="2" t="str">
        <f t="shared" si="9"/>
        <v>#VALUE!</v>
      </c>
      <c r="S96" s="1" t="str">
        <f t="shared" si="10"/>
        <v>#VALUE!</v>
      </c>
      <c r="U96" s="2" t="e">
        <v>#VALUE!</v>
      </c>
      <c r="W96" s="15" t="str">
        <f>IFERROR(__xludf.DUMMYFUNCTION("SPLIT(O96,""C)"")")," info@pulbd.com")</f>
        <v> info@pulbd.com</v>
      </c>
      <c r="X96" s="7"/>
      <c r="Y96" s="7" t="s">
        <v>1326</v>
      </c>
      <c r="Z96" s="7"/>
      <c r="AA96" s="7"/>
      <c r="AB96" s="7"/>
    </row>
    <row r="97" ht="15.75" customHeight="1">
      <c r="A97" s="13" t="s">
        <v>412</v>
      </c>
      <c r="B97" s="2">
        <f t="shared" si="1"/>
        <v>19</v>
      </c>
      <c r="C97" s="2">
        <f t="shared" si="2"/>
        <v>10</v>
      </c>
      <c r="D97" s="2">
        <f t="shared" si="3"/>
        <v>9</v>
      </c>
      <c r="E97" s="9" t="str">
        <f t="shared" si="4"/>
        <v>Est‐1990)</v>
      </c>
      <c r="F97" s="7" t="str">
        <f t="shared" si="11"/>
        <v>1990</v>
      </c>
      <c r="G97" s="7"/>
      <c r="H97" s="10" t="str">
        <f t="shared" si="6"/>
        <v>PRONAYON </v>
      </c>
      <c r="J97" s="2" t="s">
        <v>1327</v>
      </c>
      <c r="K97" s="2" t="s">
        <v>1328</v>
      </c>
      <c r="O97" s="14" t="s">
        <v>1329</v>
      </c>
      <c r="P97" s="2">
        <f t="shared" si="7"/>
        <v>48</v>
      </c>
      <c r="Q97" s="2" t="str">
        <f t="shared" si="8"/>
        <v>#VALUE!</v>
      </c>
      <c r="R97" s="2" t="str">
        <f t="shared" si="9"/>
        <v>#VALUE!</v>
      </c>
      <c r="S97" s="1" t="str">
        <f t="shared" si="10"/>
        <v>#VALUE!</v>
      </c>
      <c r="U97" s="2" t="e">
        <v>#VALUE!</v>
      </c>
      <c r="W97" s="15" t="str">
        <f>IFERROR(__xludf.DUMMYFUNCTION("SPLIT(O97,""C)"")")," pronayon@capcobd.com , shakoor_sohail@yahoo.com")</f>
        <v> pronayon@capcobd.com , shakoor_sohail@yahoo.com</v>
      </c>
      <c r="X97" s="7"/>
      <c r="Y97" s="7" t="s">
        <v>1329</v>
      </c>
      <c r="Z97" s="7"/>
      <c r="AA97" s="7"/>
      <c r="AB97" s="7"/>
    </row>
    <row r="98" ht="15.75" customHeight="1">
      <c r="A98" s="13" t="s">
        <v>421</v>
      </c>
      <c r="B98" s="2">
        <f t="shared" si="1"/>
        <v>30</v>
      </c>
      <c r="C98" s="2">
        <f t="shared" si="2"/>
        <v>21</v>
      </c>
      <c r="D98" s="2">
        <f t="shared" si="3"/>
        <v>9</v>
      </c>
      <c r="E98" s="9" t="str">
        <f t="shared" si="4"/>
        <v>Est‐2013)</v>
      </c>
      <c r="F98" s="7" t="str">
        <f t="shared" si="11"/>
        <v>2013</v>
      </c>
      <c r="G98" s="7"/>
      <c r="H98" s="10" t="str">
        <f t="shared" si="6"/>
        <v>REGIONAL ARCHITECTS </v>
      </c>
      <c r="J98" s="2" t="s">
        <v>1089</v>
      </c>
      <c r="K98" s="2" t="s">
        <v>1330</v>
      </c>
      <c r="O98" s="14" t="s">
        <v>1331</v>
      </c>
      <c r="P98" s="2">
        <f t="shared" si="7"/>
        <v>39</v>
      </c>
      <c r="Q98" s="2">
        <f t="shared" si="8"/>
        <v>32</v>
      </c>
      <c r="R98" s="2">
        <f t="shared" si="9"/>
        <v>7</v>
      </c>
      <c r="S98" s="1" t="str">
        <f t="shared" si="10"/>
        <v>Contact:</v>
      </c>
      <c r="U98" s="2" t="s">
        <v>1332</v>
      </c>
      <c r="W98" s="15" t="str">
        <f>IFERROR(__xludf.DUMMYFUNCTION("SPLIT(O98,""C)"")")," regional_architects@yahoo.com ")</f>
        <v> regional_architects@yahoo.com </v>
      </c>
      <c r="X98" s="7" t="str">
        <f>IFERROR(__xludf.DUMMYFUNCTION("""COMPUTED_VALUE"""),"ontact:")</f>
        <v>ontact:</v>
      </c>
      <c r="Y98" s="7" t="s">
        <v>1333</v>
      </c>
      <c r="Z98" s="7"/>
      <c r="AA98" s="7"/>
      <c r="AB98" s="7"/>
    </row>
    <row r="99" ht="15.75" customHeight="1">
      <c r="A99" s="13" t="s">
        <v>428</v>
      </c>
      <c r="B99" s="2">
        <f t="shared" si="1"/>
        <v>28</v>
      </c>
      <c r="C99" s="2">
        <f t="shared" si="2"/>
        <v>19</v>
      </c>
      <c r="D99" s="2">
        <f t="shared" si="3"/>
        <v>9</v>
      </c>
      <c r="E99" s="9" t="str">
        <f t="shared" si="4"/>
        <v>Est‐2008)</v>
      </c>
      <c r="F99" s="7" t="str">
        <f t="shared" si="11"/>
        <v>2008</v>
      </c>
      <c r="G99" s="7"/>
      <c r="H99" s="10" t="str">
        <f t="shared" si="6"/>
        <v>RIDDHI ARCHITECTS </v>
      </c>
      <c r="J99" s="2" t="s">
        <v>997</v>
      </c>
      <c r="K99" s="2" t="s">
        <v>1334</v>
      </c>
      <c r="O99" s="14" t="s">
        <v>1335</v>
      </c>
      <c r="P99" s="2">
        <f t="shared" si="7"/>
        <v>46</v>
      </c>
      <c r="Q99" s="2">
        <f t="shared" si="8"/>
        <v>24</v>
      </c>
      <c r="R99" s="2">
        <f t="shared" si="9"/>
        <v>22</v>
      </c>
      <c r="S99" s="1" t="str">
        <f t="shared" si="10"/>
        <v>Contact: +88‐02‐8626480</v>
      </c>
      <c r="U99" s="2" t="s">
        <v>1336</v>
      </c>
      <c r="W99" s="15" t="str">
        <f>IFERROR(__xludf.DUMMYFUNCTION("SPLIT(O99,""C)"")")," riddhi.arch@gmail.com ")</f>
        <v> riddhi.arch@gmail.com </v>
      </c>
      <c r="X99" s="7" t="str">
        <f>IFERROR(__xludf.DUMMYFUNCTION("""COMPUTED_VALUE"""),"ontact: +88‐02‐8626480")</f>
        <v>ontact: +88‐02‐8626480</v>
      </c>
      <c r="Y99" s="7" t="s">
        <v>1337</v>
      </c>
      <c r="Z99" s="7"/>
      <c r="AA99" s="7"/>
      <c r="AB99" s="7"/>
    </row>
    <row r="100" ht="15.75" customHeight="1">
      <c r="A100" s="13" t="s">
        <v>434</v>
      </c>
      <c r="B100" s="2">
        <f t="shared" si="1"/>
        <v>28</v>
      </c>
      <c r="C100" s="2">
        <f t="shared" si="2"/>
        <v>19</v>
      </c>
      <c r="D100" s="2">
        <f t="shared" si="3"/>
        <v>9</v>
      </c>
      <c r="E100" s="9" t="str">
        <f t="shared" si="4"/>
        <v>Est‐2006)</v>
      </c>
      <c r="F100" s="7" t="str">
        <f t="shared" si="11"/>
        <v>2006</v>
      </c>
      <c r="G100" s="7"/>
      <c r="H100" s="10" t="str">
        <f t="shared" si="6"/>
        <v>RIVNAT ARCHITECTS </v>
      </c>
      <c r="J100" s="2" t="s">
        <v>1314</v>
      </c>
      <c r="K100" s="2" t="s">
        <v>1338</v>
      </c>
      <c r="O100" s="14" t="s">
        <v>1339</v>
      </c>
      <c r="P100" s="2">
        <f t="shared" si="7"/>
        <v>44</v>
      </c>
      <c r="Q100" s="2">
        <f t="shared" si="8"/>
        <v>22</v>
      </c>
      <c r="R100" s="2">
        <f t="shared" si="9"/>
        <v>22</v>
      </c>
      <c r="S100" s="1" t="str">
        <f t="shared" si="10"/>
        <v>Contact: +88‐02‐9127032</v>
      </c>
      <c r="U100" s="2" t="s">
        <v>1340</v>
      </c>
      <c r="W100" s="15" t="str">
        <f>IFERROR(__xludf.DUMMYFUNCTION("SPLIT(O100,""C)"")")," rivnat360@gmail.com ")</f>
        <v> rivnat360@gmail.com </v>
      </c>
      <c r="X100" s="7" t="str">
        <f>IFERROR(__xludf.DUMMYFUNCTION("""COMPUTED_VALUE"""),"ontact: +88‐02‐9127032")</f>
        <v>ontact: +88‐02‐9127032</v>
      </c>
      <c r="Y100" s="7" t="s">
        <v>1341</v>
      </c>
      <c r="Z100" s="7"/>
      <c r="AA100" s="7"/>
      <c r="AB100" s="7"/>
    </row>
    <row r="101" ht="15.75" customHeight="1">
      <c r="A101" s="13" t="s">
        <v>439</v>
      </c>
      <c r="B101" s="2">
        <f t="shared" si="1"/>
        <v>30</v>
      </c>
      <c r="C101" s="2">
        <f t="shared" si="2"/>
        <v>21</v>
      </c>
      <c r="D101" s="2">
        <f t="shared" si="3"/>
        <v>9</v>
      </c>
      <c r="E101" s="9" t="str">
        <f t="shared" si="4"/>
        <v>Est‐1997)</v>
      </c>
      <c r="F101" s="7" t="str">
        <f t="shared" si="11"/>
        <v>1997</v>
      </c>
      <c r="G101" s="7"/>
      <c r="H101" s="10" t="str">
        <f t="shared" si="6"/>
        <v>RACHONA CONSULTANTS </v>
      </c>
      <c r="J101" s="2" t="s">
        <v>1030</v>
      </c>
      <c r="K101" s="2" t="s">
        <v>1342</v>
      </c>
      <c r="O101" s="14" t="s">
        <v>1343</v>
      </c>
      <c r="P101" s="2">
        <f t="shared" si="7"/>
        <v>58</v>
      </c>
      <c r="Q101" s="2">
        <f t="shared" si="8"/>
        <v>20</v>
      </c>
      <c r="R101" s="2">
        <f t="shared" si="9"/>
        <v>38</v>
      </c>
      <c r="S101" s="1" t="str">
        <f t="shared" si="10"/>
        <v>Contact: +88‐02‐9820896, +8801713017973</v>
      </c>
      <c r="U101" s="2" t="s">
        <v>1344</v>
      </c>
      <c r="W101" s="15" t="str">
        <f>IFERROR(__xludf.DUMMYFUNCTION("SPLIT(O101,""C)"")")," rachona@gmail.com ")</f>
        <v> rachona@gmail.com </v>
      </c>
      <c r="X101" s="7" t="str">
        <f>IFERROR(__xludf.DUMMYFUNCTION("""COMPUTED_VALUE"""),"ontact: +88‐02‐9820896, +8801713017973")</f>
        <v>ontact: +88‐02‐9820896, +8801713017973</v>
      </c>
      <c r="Y101" s="7" t="s">
        <v>1345</v>
      </c>
      <c r="Z101" s="7"/>
      <c r="AA101" s="7"/>
      <c r="AB101" s="7"/>
    </row>
    <row r="102" ht="15.75" customHeight="1">
      <c r="A102" s="13" t="s">
        <v>444</v>
      </c>
      <c r="B102" s="2">
        <f t="shared" si="1"/>
        <v>24</v>
      </c>
      <c r="C102" s="2">
        <f t="shared" si="2"/>
        <v>15</v>
      </c>
      <c r="D102" s="2">
        <f t="shared" si="3"/>
        <v>9</v>
      </c>
      <c r="E102" s="9" t="str">
        <f t="shared" si="4"/>
        <v>Est‐2010)</v>
      </c>
      <c r="F102" s="7" t="str">
        <f t="shared" si="11"/>
        <v>2010</v>
      </c>
      <c r="G102" s="7"/>
      <c r="H102" s="10" t="str">
        <f t="shared" si="6"/>
        <v>REINCARNATION </v>
      </c>
      <c r="J102" s="2" t="s">
        <v>1014</v>
      </c>
      <c r="K102" s="2" t="s">
        <v>1346</v>
      </c>
      <c r="O102" s="14" t="s">
        <v>1347</v>
      </c>
      <c r="P102" s="2">
        <f t="shared" si="7"/>
        <v>26</v>
      </c>
      <c r="Q102" s="2" t="str">
        <f t="shared" si="8"/>
        <v>#VALUE!</v>
      </c>
      <c r="R102" s="2" t="str">
        <f t="shared" si="9"/>
        <v>#VALUE!</v>
      </c>
      <c r="S102" s="1" t="str">
        <f t="shared" si="10"/>
        <v>#VALUE!</v>
      </c>
      <c r="U102" s="2" t="e">
        <v>#VALUE!</v>
      </c>
      <c r="W102" s="15" t="str">
        <f>IFERROR(__xludf.DUMMYFUNCTION("SPLIT(O102,""C)"")")," reincarnationbd@yahoo.com")</f>
        <v> reincarnationbd@yahoo.com</v>
      </c>
      <c r="X102" s="7"/>
      <c r="Y102" s="7" t="s">
        <v>1347</v>
      </c>
      <c r="Z102" s="7"/>
      <c r="AA102" s="7"/>
      <c r="AB102" s="7"/>
    </row>
    <row r="103" ht="15.75" customHeight="1">
      <c r="A103" s="13" t="s">
        <v>451</v>
      </c>
      <c r="B103" s="2">
        <f t="shared" si="1"/>
        <v>44</v>
      </c>
      <c r="C103" s="2">
        <f t="shared" si="2"/>
        <v>35</v>
      </c>
      <c r="D103" s="2">
        <f t="shared" si="3"/>
        <v>9</v>
      </c>
      <c r="E103" s="9" t="str">
        <f t="shared" si="4"/>
        <v>Est‐2012)</v>
      </c>
      <c r="F103" s="7" t="str">
        <f t="shared" si="11"/>
        <v>2012</v>
      </c>
      <c r="G103" s="7"/>
      <c r="H103" s="10" t="str">
        <f t="shared" si="6"/>
        <v>ROOFLINERS_STUDIO OF ARCHITECTURE </v>
      </c>
      <c r="J103" s="2" t="s">
        <v>1007</v>
      </c>
      <c r="K103" s="2" t="s">
        <v>1348</v>
      </c>
      <c r="O103" s="14" t="s">
        <v>1349</v>
      </c>
      <c r="P103" s="2">
        <f t="shared" si="7"/>
        <v>88</v>
      </c>
      <c r="Q103" s="2">
        <f t="shared" si="8"/>
        <v>50</v>
      </c>
      <c r="R103" s="2">
        <f t="shared" si="9"/>
        <v>38</v>
      </c>
      <c r="S103" s="1" t="str">
        <f t="shared" si="10"/>
        <v>Contact: +8801706602332, +8801815007774</v>
      </c>
      <c r="U103" s="2" t="s">
        <v>1350</v>
      </c>
      <c r="W103" s="15" t="str">
        <f>IFERROR(__xludf.DUMMYFUNCTION("SPLIT(O103,""C)"")")," contact@roofliners.org, roofliners.bd@gmail.com ")</f>
        <v> contact@roofliners.org, roofliners.bd@gmail.com </v>
      </c>
      <c r="X103" s="7" t="str">
        <f>IFERROR(__xludf.DUMMYFUNCTION("""COMPUTED_VALUE"""),"ontact: +8801706602332, +8801815007774")</f>
        <v>ontact: +8801706602332, +8801815007774</v>
      </c>
      <c r="Y103" s="7" t="s">
        <v>1351</v>
      </c>
      <c r="Z103" s="7"/>
      <c r="AA103" s="7"/>
      <c r="AB103" s="7"/>
    </row>
    <row r="104" ht="15.75" customHeight="1">
      <c r="A104" s="13" t="s">
        <v>459</v>
      </c>
      <c r="B104" s="2">
        <f t="shared" si="1"/>
        <v>34</v>
      </c>
      <c r="C104" s="2">
        <f t="shared" si="2"/>
        <v>25</v>
      </c>
      <c r="D104" s="2">
        <f t="shared" si="3"/>
        <v>9</v>
      </c>
      <c r="E104" s="9" t="str">
        <f t="shared" si="4"/>
        <v>Est‐1995)</v>
      </c>
      <c r="F104" s="7" t="str">
        <f t="shared" si="11"/>
        <v>1995</v>
      </c>
      <c r="G104" s="7"/>
      <c r="H104" s="10" t="str">
        <f t="shared" si="6"/>
        <v>ROSEBUD CONSULTANTS LTD </v>
      </c>
      <c r="J104" s="2" t="s">
        <v>1066</v>
      </c>
      <c r="K104" s="2" t="s">
        <v>1352</v>
      </c>
      <c r="O104" s="14" t="s">
        <v>1353</v>
      </c>
      <c r="P104" s="2">
        <f t="shared" si="7"/>
        <v>61</v>
      </c>
      <c r="Q104" s="2">
        <f t="shared" si="8"/>
        <v>23</v>
      </c>
      <c r="R104" s="2">
        <f t="shared" si="9"/>
        <v>38</v>
      </c>
      <c r="S104" s="1" t="str">
        <f t="shared" si="10"/>
        <v>Contact: +88‐02‐9334169, +88‐02‐9354491</v>
      </c>
      <c r="U104" s="2" t="s">
        <v>1354</v>
      </c>
      <c r="W104" s="15" t="str">
        <f>IFERROR(__xludf.DUMMYFUNCTION("SPLIT(O104,""C)"")")," rosebudcon@gmail.com ")</f>
        <v> rosebudcon@gmail.com </v>
      </c>
      <c r="X104" s="7" t="str">
        <f>IFERROR(__xludf.DUMMYFUNCTION("""COMPUTED_VALUE"""),"ontact: +88‐02‐9334169, +88‐02‐9354491")</f>
        <v>ontact: +88‐02‐9334169, +88‐02‐9354491</v>
      </c>
      <c r="Y104" s="7" t="s">
        <v>1355</v>
      </c>
      <c r="Z104" s="7"/>
      <c r="AA104" s="7"/>
      <c r="AB104" s="7"/>
    </row>
    <row r="105" ht="15.75" customHeight="1">
      <c r="A105" s="13" t="s">
        <v>464</v>
      </c>
      <c r="B105" s="2">
        <f t="shared" si="1"/>
        <v>28</v>
      </c>
      <c r="C105" s="2">
        <f t="shared" si="2"/>
        <v>19</v>
      </c>
      <c r="D105" s="2">
        <f t="shared" si="3"/>
        <v>9</v>
      </c>
      <c r="E105" s="9" t="str">
        <f t="shared" si="4"/>
        <v>Est‐2015)</v>
      </c>
      <c r="F105" s="7" t="str">
        <f t="shared" si="11"/>
        <v>2015</v>
      </c>
      <c r="G105" s="7"/>
      <c r="H105" s="10" t="str">
        <f t="shared" si="6"/>
        <v>River &amp; Rain Ltd. </v>
      </c>
      <c r="J105" s="2" t="s">
        <v>1174</v>
      </c>
      <c r="K105" s="2" t="s">
        <v>1356</v>
      </c>
      <c r="O105" s="14" t="s">
        <v>1357</v>
      </c>
      <c r="P105" s="2">
        <f t="shared" si="7"/>
        <v>68</v>
      </c>
      <c r="Q105" s="2">
        <f t="shared" si="8"/>
        <v>29</v>
      </c>
      <c r="R105" s="2">
        <f t="shared" si="9"/>
        <v>39</v>
      </c>
      <c r="S105" s="1" t="str">
        <f t="shared" si="10"/>
        <v>Contact: +88 01734017695 +88 01746506316</v>
      </c>
      <c r="U105" s="2" t="s">
        <v>1358</v>
      </c>
      <c r="W105" s="15" t="str">
        <f>IFERROR(__xludf.DUMMYFUNCTION("SPLIT(O105,""C)"")")," riverandraininfo@gmail.com ")</f>
        <v> riverandraininfo@gmail.com </v>
      </c>
      <c r="X105" s="7" t="str">
        <f>IFERROR(__xludf.DUMMYFUNCTION("""COMPUTED_VALUE"""),"ontact: +88 01734017695 +88 01746506316")</f>
        <v>ontact: +88 01734017695 +88 01746506316</v>
      </c>
      <c r="Y105" s="7" t="s">
        <v>1359</v>
      </c>
      <c r="Z105" s="7"/>
      <c r="AA105" s="7"/>
      <c r="AB105" s="7"/>
    </row>
    <row r="106" ht="15.75" customHeight="1">
      <c r="A106" s="13" t="s">
        <v>470</v>
      </c>
      <c r="B106" s="2">
        <f t="shared" si="1"/>
        <v>32</v>
      </c>
      <c r="C106" s="2">
        <f t="shared" si="2"/>
        <v>19</v>
      </c>
      <c r="D106" s="2">
        <f t="shared" si="3"/>
        <v>13</v>
      </c>
      <c r="E106" s="9" t="str">
        <f t="shared" si="4"/>
        <v>Est‐6/6/2001)</v>
      </c>
      <c r="F106" s="7" t="str">
        <f t="shared" si="11"/>
        <v>6/6/</v>
      </c>
      <c r="G106" s="7"/>
      <c r="H106" s="10" t="str">
        <f t="shared" si="6"/>
        <v>SAIUJ CONSULTANTS </v>
      </c>
      <c r="J106" s="2">
        <v>2001.0</v>
      </c>
      <c r="K106" s="2" t="s">
        <v>1360</v>
      </c>
      <c r="O106" s="14" t="s">
        <v>1361</v>
      </c>
      <c r="P106" s="2">
        <f t="shared" si="7"/>
        <v>44</v>
      </c>
      <c r="Q106" s="2">
        <f t="shared" si="8"/>
        <v>22</v>
      </c>
      <c r="R106" s="2">
        <f t="shared" si="9"/>
        <v>22</v>
      </c>
      <c r="S106" s="1" t="str">
        <f t="shared" si="10"/>
        <v>Contact: +88‐02‐8190746</v>
      </c>
      <c r="U106" s="2" t="s">
        <v>1362</v>
      </c>
      <c r="W106" s="15" t="str">
        <f>IFERROR(__xludf.DUMMYFUNCTION("SPLIT(O106,""C)"")")," saiuj_con@yahoo.com ")</f>
        <v> saiuj_con@yahoo.com </v>
      </c>
      <c r="X106" s="7" t="str">
        <f>IFERROR(__xludf.DUMMYFUNCTION("""COMPUTED_VALUE"""),"ontact: +88‐02‐8190746")</f>
        <v>ontact: +88‐02‐8190746</v>
      </c>
      <c r="Y106" s="7" t="s">
        <v>1363</v>
      </c>
      <c r="Z106" s="7"/>
      <c r="AA106" s="7"/>
      <c r="AB106" s="7"/>
    </row>
    <row r="107" ht="15.75" customHeight="1">
      <c r="A107" s="13" t="s">
        <v>478</v>
      </c>
      <c r="B107" s="2">
        <f t="shared" si="1"/>
        <v>17</v>
      </c>
      <c r="C107" s="2">
        <f t="shared" si="2"/>
        <v>8</v>
      </c>
      <c r="D107" s="2">
        <f t="shared" si="3"/>
        <v>9</v>
      </c>
      <c r="E107" s="9" t="str">
        <f t="shared" si="4"/>
        <v>Est‐2008)</v>
      </c>
      <c r="F107" s="7" t="str">
        <f t="shared" si="11"/>
        <v>2008</v>
      </c>
      <c r="G107" s="7"/>
      <c r="H107" s="10" t="str">
        <f t="shared" si="6"/>
        <v>SCENIC </v>
      </c>
      <c r="J107" s="2" t="s">
        <v>997</v>
      </c>
      <c r="K107" s="2" t="s">
        <v>1364</v>
      </c>
      <c r="O107" s="14" t="s">
        <v>1365</v>
      </c>
      <c r="P107" s="2">
        <f t="shared" si="7"/>
        <v>43</v>
      </c>
      <c r="Q107" s="2">
        <f t="shared" si="8"/>
        <v>21</v>
      </c>
      <c r="R107" s="2">
        <f t="shared" si="9"/>
        <v>22</v>
      </c>
      <c r="S107" s="1" t="str">
        <f t="shared" si="10"/>
        <v>Contact: +88‐02‐9677467</v>
      </c>
      <c r="U107" s="2" t="s">
        <v>1366</v>
      </c>
      <c r="W107" s="15" t="str">
        <f>IFERROR(__xludf.DUMMYFUNCTION("SPLIT(O107,""C)"")")," scenicbd@gmail.com ")</f>
        <v> scenicbd@gmail.com </v>
      </c>
      <c r="X107" s="7" t="str">
        <f>IFERROR(__xludf.DUMMYFUNCTION("""COMPUTED_VALUE"""),"ontact: +88‐02‐9677467")</f>
        <v>ontact: +88‐02‐9677467</v>
      </c>
      <c r="Y107" s="7" t="s">
        <v>1367</v>
      </c>
      <c r="Z107" s="7"/>
      <c r="AA107" s="7"/>
      <c r="AB107" s="7"/>
    </row>
    <row r="108" ht="15.75" customHeight="1">
      <c r="A108" s="13" t="s">
        <v>483</v>
      </c>
      <c r="B108" s="2">
        <f t="shared" si="1"/>
        <v>19</v>
      </c>
      <c r="C108" s="2">
        <f t="shared" si="2"/>
        <v>10</v>
      </c>
      <c r="D108" s="2">
        <f t="shared" si="3"/>
        <v>9</v>
      </c>
      <c r="E108" s="9" t="str">
        <f t="shared" si="4"/>
        <v>Est‐2010)</v>
      </c>
      <c r="F108" s="7" t="str">
        <f t="shared" si="11"/>
        <v>2010</v>
      </c>
      <c r="G108" s="7"/>
      <c r="H108" s="10" t="str">
        <f t="shared" si="6"/>
        <v>SHANGBIT </v>
      </c>
      <c r="J108" s="2" t="s">
        <v>1014</v>
      </c>
      <c r="K108" s="2" t="s">
        <v>1368</v>
      </c>
      <c r="O108" s="14" t="s">
        <v>1369</v>
      </c>
      <c r="P108" s="2">
        <f t="shared" si="7"/>
        <v>39</v>
      </c>
      <c r="Q108" s="2">
        <f t="shared" si="8"/>
        <v>32</v>
      </c>
      <c r="R108" s="2">
        <f t="shared" si="9"/>
        <v>7</v>
      </c>
      <c r="S108" s="1" t="str">
        <f t="shared" si="10"/>
        <v>Contact:</v>
      </c>
      <c r="U108" s="2" t="s">
        <v>1332</v>
      </c>
      <c r="W108" s="15" t="str">
        <f>IFERROR(__xludf.DUMMYFUNCTION("SPLIT(O108,""C)"")")," shangbit.architects@gmail.com ")</f>
        <v> shangbit.architects@gmail.com </v>
      </c>
      <c r="X108" s="7" t="str">
        <f>IFERROR(__xludf.DUMMYFUNCTION("""COMPUTED_VALUE"""),"ontact:")</f>
        <v>ontact:</v>
      </c>
      <c r="Y108" s="7" t="s">
        <v>1370</v>
      </c>
      <c r="Z108" s="7"/>
      <c r="AA108" s="7"/>
      <c r="AB108" s="7"/>
    </row>
    <row r="109" ht="15.75" customHeight="1">
      <c r="A109" s="13" t="s">
        <v>488</v>
      </c>
      <c r="B109" s="2">
        <f t="shared" si="1"/>
        <v>51</v>
      </c>
      <c r="C109" s="2">
        <f t="shared" si="2"/>
        <v>42</v>
      </c>
      <c r="D109" s="2">
        <f t="shared" si="3"/>
        <v>9</v>
      </c>
      <c r="E109" s="9" t="str">
        <f t="shared" si="4"/>
        <v>Est‐1996)</v>
      </c>
      <c r="F109" s="7" t="str">
        <f t="shared" si="11"/>
        <v>1996</v>
      </c>
      <c r="G109" s="7"/>
      <c r="H109" s="10" t="str">
        <f t="shared" si="6"/>
        <v>SHELTER ARCHITECTS AND ENGINEERS LIMITED </v>
      </c>
      <c r="J109" s="2" t="s">
        <v>988</v>
      </c>
      <c r="K109" s="2" t="s">
        <v>1371</v>
      </c>
      <c r="O109" s="14" t="s">
        <v>1372</v>
      </c>
      <c r="P109" s="2">
        <f t="shared" si="7"/>
        <v>62</v>
      </c>
      <c r="Q109" s="2">
        <f t="shared" si="8"/>
        <v>31</v>
      </c>
      <c r="R109" s="2">
        <f t="shared" si="9"/>
        <v>31</v>
      </c>
      <c r="S109" s="1" t="str">
        <f t="shared" si="10"/>
        <v>Contact: +88‐02‐9358428, 8333384</v>
      </c>
      <c r="U109" s="2" t="s">
        <v>1373</v>
      </c>
      <c r="W109" s="15" t="str">
        <f>IFERROR(__xludf.DUMMYFUNCTION("SPLIT(O109,""C)"")")," shelterarchitect32@yahoo.com ")</f>
        <v> shelterarchitect32@yahoo.com </v>
      </c>
      <c r="X109" s="7" t="str">
        <f>IFERROR(__xludf.DUMMYFUNCTION("""COMPUTED_VALUE"""),"ontact: +88‐02‐9358428, 8333384")</f>
        <v>ontact: +88‐02‐9358428, 8333384</v>
      </c>
      <c r="Y109" s="7" t="s">
        <v>1374</v>
      </c>
      <c r="Z109" s="7"/>
      <c r="AA109" s="7"/>
      <c r="AB109" s="7"/>
    </row>
    <row r="110" ht="15.75" customHeight="1">
      <c r="A110" s="13" t="s">
        <v>493</v>
      </c>
      <c r="B110" s="2">
        <f t="shared" si="1"/>
        <v>15</v>
      </c>
      <c r="C110" s="2">
        <f t="shared" si="2"/>
        <v>6</v>
      </c>
      <c r="D110" s="2">
        <f t="shared" si="3"/>
        <v>9</v>
      </c>
      <c r="E110" s="9" t="str">
        <f t="shared" si="4"/>
        <v>Est‐2011)</v>
      </c>
      <c r="F110" s="7" t="str">
        <f t="shared" si="11"/>
        <v>2011</v>
      </c>
      <c r="G110" s="7"/>
      <c r="H110" s="10" t="str">
        <f t="shared" si="6"/>
        <v>SILT </v>
      </c>
      <c r="J110" s="2" t="s">
        <v>1375</v>
      </c>
      <c r="K110" s="2" t="s">
        <v>1376</v>
      </c>
      <c r="O110" s="14" t="s">
        <v>1377</v>
      </c>
      <c r="P110" s="2">
        <f t="shared" si="7"/>
        <v>36</v>
      </c>
      <c r="Q110" s="2" t="str">
        <f t="shared" si="8"/>
        <v>#VALUE!</v>
      </c>
      <c r="R110" s="2" t="str">
        <f t="shared" si="9"/>
        <v>#VALUE!</v>
      </c>
      <c r="S110" s="1" t="str">
        <f t="shared" si="10"/>
        <v>#VALUE!</v>
      </c>
      <c r="U110" s="2" t="e">
        <v>#VALUE!</v>
      </c>
      <c r="W110" s="15" t="str">
        <f>IFERROR(__xludf.DUMMYFUNCTION("SPLIT(O110,""C)"")")," silt.bd@gmail.com, silt@silt.com.bd")</f>
        <v> silt.bd@gmail.com, silt@silt.com.bd</v>
      </c>
      <c r="X110" s="7"/>
      <c r="Y110" s="7" t="s">
        <v>1377</v>
      </c>
      <c r="Z110" s="7"/>
      <c r="AA110" s="7"/>
      <c r="AB110" s="7"/>
    </row>
    <row r="111" ht="15.75" customHeight="1">
      <c r="A111" s="13" t="s">
        <v>499</v>
      </c>
      <c r="B111" s="2">
        <f t="shared" si="1"/>
        <v>22</v>
      </c>
      <c r="C111" s="2">
        <f t="shared" si="2"/>
        <v>13</v>
      </c>
      <c r="D111" s="2">
        <f t="shared" si="3"/>
        <v>9</v>
      </c>
      <c r="E111" s="9" t="str">
        <f t="shared" si="4"/>
        <v>Est‐1996)</v>
      </c>
      <c r="F111" s="7" t="str">
        <f t="shared" si="11"/>
        <v>1996</v>
      </c>
      <c r="G111" s="7"/>
      <c r="H111" s="10" t="str">
        <f t="shared" si="6"/>
        <v>SPACE SCAPE </v>
      </c>
      <c r="J111" s="2" t="s">
        <v>988</v>
      </c>
      <c r="K111" s="2" t="s">
        <v>1378</v>
      </c>
      <c r="O111" s="14" t="s">
        <v>1379</v>
      </c>
      <c r="P111" s="2">
        <f t="shared" si="7"/>
        <v>46</v>
      </c>
      <c r="Q111" s="2">
        <f t="shared" si="8"/>
        <v>24</v>
      </c>
      <c r="R111" s="2">
        <f t="shared" si="9"/>
        <v>22</v>
      </c>
      <c r="S111" s="1" t="str">
        <f t="shared" si="10"/>
        <v>Contact: +88‐02‐8918765</v>
      </c>
      <c r="U111" s="2" t="s">
        <v>1380</v>
      </c>
      <c r="W111" s="15" t="str">
        <f>IFERROR(__xludf.DUMMYFUNCTION("SPLIT(O111,""C)"")")," arch_pintoo@yahoo.com ")</f>
        <v> arch_pintoo@yahoo.com </v>
      </c>
      <c r="X111" s="7" t="str">
        <f>IFERROR(__xludf.DUMMYFUNCTION("""COMPUTED_VALUE"""),"ontact: +88‐02‐8918765")</f>
        <v>ontact: +88‐02‐8918765</v>
      </c>
      <c r="Y111" s="7" t="s">
        <v>1381</v>
      </c>
      <c r="Z111" s="7"/>
      <c r="AA111" s="7"/>
      <c r="AB111" s="7"/>
    </row>
    <row r="112" ht="15.75" customHeight="1">
      <c r="A112" s="13" t="s">
        <v>504</v>
      </c>
      <c r="B112" s="2">
        <f t="shared" si="1"/>
        <v>26</v>
      </c>
      <c r="C112" s="2">
        <f t="shared" si="2"/>
        <v>17</v>
      </c>
      <c r="D112" s="2">
        <f t="shared" si="3"/>
        <v>9</v>
      </c>
      <c r="E112" s="9" t="str">
        <f t="shared" si="4"/>
        <v>Est‐2008)</v>
      </c>
      <c r="F112" s="7" t="str">
        <f t="shared" si="11"/>
        <v>2008</v>
      </c>
      <c r="G112" s="7"/>
      <c r="H112" s="10" t="str">
        <f t="shared" si="6"/>
        <v>SRISHTI SHAILEE </v>
      </c>
      <c r="J112" s="2" t="s">
        <v>997</v>
      </c>
      <c r="K112" s="2" t="s">
        <v>1382</v>
      </c>
      <c r="O112" s="14" t="s">
        <v>1383</v>
      </c>
      <c r="P112" s="2">
        <f t="shared" si="7"/>
        <v>58</v>
      </c>
      <c r="Q112" s="2">
        <f t="shared" si="8"/>
        <v>27</v>
      </c>
      <c r="R112" s="2">
        <f t="shared" si="9"/>
        <v>31</v>
      </c>
      <c r="S112" s="1" t="str">
        <f t="shared" si="10"/>
        <v>Contact: +88‐02‐8711883, 8711884</v>
      </c>
      <c r="U112" s="2" t="s">
        <v>1384</v>
      </c>
      <c r="W112" s="15" t="str">
        <f>IFERROR(__xludf.DUMMYFUNCTION("SPLIT(O112,""C)"")")," srishtishailee@yahoo.com ")</f>
        <v> srishtishailee@yahoo.com </v>
      </c>
      <c r="X112" s="7" t="str">
        <f>IFERROR(__xludf.DUMMYFUNCTION("""COMPUTED_VALUE"""),"ontact: +88‐02‐8711883, 8711884")</f>
        <v>ontact: +88‐02‐8711883, 8711884</v>
      </c>
      <c r="Y112" s="7" t="s">
        <v>1385</v>
      </c>
      <c r="Z112" s="7"/>
      <c r="AA112" s="7"/>
      <c r="AB112" s="7"/>
    </row>
    <row r="113" ht="15.75" customHeight="1">
      <c r="A113" s="13" t="s">
        <v>510</v>
      </c>
      <c r="B113" s="2">
        <f t="shared" si="1"/>
        <v>27</v>
      </c>
      <c r="C113" s="2">
        <f t="shared" si="2"/>
        <v>18</v>
      </c>
      <c r="D113" s="2">
        <f t="shared" si="3"/>
        <v>9</v>
      </c>
      <c r="E113" s="9" t="str">
        <f t="shared" si="4"/>
        <v>Est‐1995)</v>
      </c>
      <c r="F113" s="7" t="str">
        <f t="shared" si="11"/>
        <v>1995</v>
      </c>
      <c r="G113" s="7"/>
      <c r="H113" s="10" t="str">
        <f t="shared" si="6"/>
        <v>SRISTI UPADESHTA </v>
      </c>
      <c r="J113" s="2" t="s">
        <v>1066</v>
      </c>
      <c r="K113" s="2" t="s">
        <v>1386</v>
      </c>
      <c r="O113" s="14" t="s">
        <v>1387</v>
      </c>
      <c r="P113" s="2">
        <f t="shared" si="7"/>
        <v>32</v>
      </c>
      <c r="Q113" s="2">
        <f t="shared" si="8"/>
        <v>25</v>
      </c>
      <c r="R113" s="2">
        <f t="shared" si="9"/>
        <v>7</v>
      </c>
      <c r="S113" s="1" t="str">
        <f t="shared" si="10"/>
        <v>Contact:</v>
      </c>
      <c r="U113" s="2" t="s">
        <v>1332</v>
      </c>
      <c r="W113" s="15" t="str">
        <f>IFERROR(__xludf.DUMMYFUNCTION("SPLIT(O113,""C)"")")," saiful.hafiz@gmail.com ")</f>
        <v> saiful.hafiz@gmail.com </v>
      </c>
      <c r="X113" s="7" t="str">
        <f>IFERROR(__xludf.DUMMYFUNCTION("""COMPUTED_VALUE"""),"ontact:")</f>
        <v>ontact:</v>
      </c>
      <c r="Y113" s="7" t="s">
        <v>1388</v>
      </c>
      <c r="Z113" s="7"/>
      <c r="AA113" s="7"/>
      <c r="AB113" s="7"/>
    </row>
    <row r="114" ht="15.75" customHeight="1">
      <c r="A114" s="13" t="s">
        <v>515</v>
      </c>
      <c r="B114" s="2">
        <f t="shared" si="1"/>
        <v>31</v>
      </c>
      <c r="C114" s="2">
        <f t="shared" si="2"/>
        <v>22</v>
      </c>
      <c r="D114" s="2">
        <f t="shared" si="3"/>
        <v>9</v>
      </c>
      <c r="E114" s="9" t="str">
        <f t="shared" si="4"/>
        <v>Est‐2003)</v>
      </c>
      <c r="F114" s="7" t="str">
        <f t="shared" si="11"/>
        <v>2003</v>
      </c>
      <c r="G114" s="7"/>
      <c r="H114" s="10" t="str">
        <f t="shared" si="6"/>
        <v>STUDIO XI ARCHITECTS </v>
      </c>
      <c r="J114" s="2" t="s">
        <v>1243</v>
      </c>
      <c r="K114" s="2" t="s">
        <v>1389</v>
      </c>
      <c r="O114" s="14" t="s">
        <v>1390</v>
      </c>
      <c r="P114" s="2">
        <f t="shared" si="7"/>
        <v>64</v>
      </c>
      <c r="Q114" s="2">
        <f t="shared" si="8"/>
        <v>33</v>
      </c>
      <c r="R114" s="2">
        <f t="shared" si="9"/>
        <v>31</v>
      </c>
      <c r="S114" s="1" t="str">
        <f t="shared" si="10"/>
        <v>Contact: +88‐02‐8813992, 9889360</v>
      </c>
      <c r="U114" s="2" t="s">
        <v>1391</v>
      </c>
      <c r="W114" s="15" t="str">
        <f>IFERROR(__xludf.DUMMYFUNCTION("SPLIT(O114,""C)"")")," studio_xi_architects@yahoo.com ")</f>
        <v> studio_xi_architects@yahoo.com </v>
      </c>
      <c r="X114" s="7" t="str">
        <f>IFERROR(__xludf.DUMMYFUNCTION("""COMPUTED_VALUE"""),"ontact: +88‐02‐8813992, 9889360")</f>
        <v>ontact: +88‐02‐8813992, 9889360</v>
      </c>
      <c r="Y114" s="7" t="s">
        <v>1392</v>
      </c>
      <c r="Z114" s="7"/>
      <c r="AA114" s="7"/>
      <c r="AB114" s="7"/>
    </row>
    <row r="115" ht="15.75" customHeight="1">
      <c r="A115" s="13" t="s">
        <v>520</v>
      </c>
      <c r="B115" s="2">
        <f t="shared" si="1"/>
        <v>36</v>
      </c>
      <c r="C115" s="2">
        <f t="shared" si="2"/>
        <v>27</v>
      </c>
      <c r="D115" s="2">
        <f t="shared" si="3"/>
        <v>9</v>
      </c>
      <c r="E115" s="9" t="str">
        <f t="shared" si="4"/>
        <v>Est‐2011)</v>
      </c>
      <c r="F115" s="7" t="str">
        <f t="shared" si="11"/>
        <v>2011</v>
      </c>
      <c r="G115" s="7"/>
      <c r="H115" s="10" t="str">
        <f t="shared" si="6"/>
        <v>STUDIO ECOTECTURE LIMITED </v>
      </c>
      <c r="J115" s="2" t="s">
        <v>1375</v>
      </c>
      <c r="K115" s="2" t="s">
        <v>1393</v>
      </c>
      <c r="O115" s="14" t="s">
        <v>1394</v>
      </c>
      <c r="P115" s="2">
        <f t="shared" si="7"/>
        <v>26</v>
      </c>
      <c r="Q115" s="2" t="str">
        <f t="shared" si="8"/>
        <v>#VALUE!</v>
      </c>
      <c r="R115" s="2" t="str">
        <f t="shared" si="9"/>
        <v>#VALUE!</v>
      </c>
      <c r="S115" s="1" t="str">
        <f t="shared" si="10"/>
        <v>#VALUE!</v>
      </c>
      <c r="U115" s="2" t="e">
        <v>#VALUE!</v>
      </c>
      <c r="W115" s="15" t="str">
        <f>IFERROR(__xludf.DUMMYFUNCTION("SPLIT(O115,""C)"")")," info@studioecotecture.com")</f>
        <v> info@studioecotecture.com</v>
      </c>
      <c r="X115" s="7"/>
      <c r="Y115" s="7" t="s">
        <v>1394</v>
      </c>
      <c r="Z115" s="7"/>
      <c r="AA115" s="7"/>
      <c r="AB115" s="7"/>
    </row>
    <row r="116" ht="15.75" customHeight="1">
      <c r="A116" s="13" t="s">
        <v>526</v>
      </c>
      <c r="B116" s="2">
        <f t="shared" si="1"/>
        <v>21</v>
      </c>
      <c r="C116" s="2">
        <f t="shared" si="2"/>
        <v>12</v>
      </c>
      <c r="D116" s="2">
        <f t="shared" si="3"/>
        <v>9</v>
      </c>
      <c r="E116" s="9" t="str">
        <f t="shared" si="4"/>
        <v>Est‐2013)</v>
      </c>
      <c r="F116" s="7" t="str">
        <f t="shared" si="11"/>
        <v>2013</v>
      </c>
      <c r="G116" s="7"/>
      <c r="H116" s="10" t="str">
        <f t="shared" si="6"/>
        <v>STUDIO HDA </v>
      </c>
      <c r="J116" s="2" t="s">
        <v>1089</v>
      </c>
      <c r="K116" s="2" t="s">
        <v>1395</v>
      </c>
      <c r="O116" s="14" t="s">
        <v>1396</v>
      </c>
      <c r="P116" s="2">
        <f t="shared" si="7"/>
        <v>44</v>
      </c>
      <c r="Q116" s="2">
        <f t="shared" si="8"/>
        <v>22</v>
      </c>
      <c r="R116" s="2">
        <f t="shared" si="9"/>
        <v>22</v>
      </c>
      <c r="S116" s="1" t="str">
        <f t="shared" si="10"/>
        <v>Contact: +88‐02‐9888123</v>
      </c>
      <c r="U116" s="2" t="s">
        <v>1397</v>
      </c>
      <c r="W116" s="15" t="str">
        <f>IFERROR(__xludf.DUMMYFUNCTION("SPLIT(O116,""C)"")")," studiohda@gmail.com ")</f>
        <v> studiohda@gmail.com </v>
      </c>
      <c r="X116" s="7" t="str">
        <f>IFERROR(__xludf.DUMMYFUNCTION("""COMPUTED_VALUE"""),"ontact: +88‐02‐9888123")</f>
        <v>ontact: +88‐02‐9888123</v>
      </c>
      <c r="Y116" s="7" t="s">
        <v>1398</v>
      </c>
      <c r="Z116" s="7"/>
      <c r="AA116" s="7"/>
      <c r="AB116" s="7"/>
    </row>
    <row r="117" ht="15.75" customHeight="1">
      <c r="A117" s="13" t="s">
        <v>532</v>
      </c>
      <c r="B117" s="2">
        <f t="shared" si="1"/>
        <v>38</v>
      </c>
      <c r="C117" s="2">
        <f t="shared" si="2"/>
        <v>29</v>
      </c>
      <c r="D117" s="2">
        <f t="shared" si="3"/>
        <v>9</v>
      </c>
      <c r="E117" s="9" t="str">
        <f t="shared" si="4"/>
        <v>Est‐2004)</v>
      </c>
      <c r="F117" s="7" t="str">
        <f t="shared" si="11"/>
        <v>2004</v>
      </c>
      <c r="G117" s="7"/>
      <c r="H117" s="10" t="str">
        <f t="shared" si="6"/>
        <v>STYLE LIVING ARCHITECTS LTD </v>
      </c>
      <c r="J117" s="2" t="s">
        <v>1033</v>
      </c>
      <c r="K117" s="2" t="s">
        <v>1399</v>
      </c>
      <c r="O117" s="14" t="s">
        <v>1400</v>
      </c>
      <c r="P117" s="2">
        <f t="shared" si="7"/>
        <v>27</v>
      </c>
      <c r="Q117" s="2" t="str">
        <f t="shared" si="8"/>
        <v>#VALUE!</v>
      </c>
      <c r="R117" s="2" t="str">
        <f t="shared" si="9"/>
        <v>#VALUE!</v>
      </c>
      <c r="S117" s="1" t="str">
        <f t="shared" si="10"/>
        <v>#VALUE!</v>
      </c>
      <c r="U117" s="2" t="e">
        <v>#VALUE!</v>
      </c>
      <c r="W117" s="15" t="str">
        <f>IFERROR(__xludf.DUMMYFUNCTION("SPLIT(O117,""C)"")")," chairman@stylelivingbd.com")</f>
        <v> chairman@stylelivingbd.com</v>
      </c>
      <c r="X117" s="7"/>
      <c r="Y117" s="7" t="s">
        <v>1400</v>
      </c>
      <c r="Z117" s="7"/>
      <c r="AA117" s="7"/>
      <c r="AB117" s="7"/>
    </row>
    <row r="118" ht="15.75" customHeight="1">
      <c r="A118" s="13" t="s">
        <v>540</v>
      </c>
      <c r="B118" s="2">
        <f t="shared" si="1"/>
        <v>44</v>
      </c>
      <c r="C118" s="2">
        <f t="shared" si="2"/>
        <v>35</v>
      </c>
      <c r="D118" s="2">
        <f t="shared" si="3"/>
        <v>9</v>
      </c>
      <c r="E118" s="9" t="str">
        <f t="shared" si="4"/>
        <v>Est‐2011)</v>
      </c>
      <c r="F118" s="7" t="str">
        <f t="shared" si="11"/>
        <v>2011</v>
      </c>
      <c r="G118" s="7"/>
      <c r="H118" s="10" t="str">
        <f t="shared" si="6"/>
        <v>SYMBIOTIC ARCHITECTS &amp; ASSOCIATES </v>
      </c>
      <c r="J118" s="2" t="s">
        <v>1375</v>
      </c>
      <c r="K118" s="2" t="s">
        <v>1401</v>
      </c>
      <c r="O118" s="14" t="s">
        <v>1402</v>
      </c>
      <c r="P118" s="2">
        <f t="shared" si="7"/>
        <v>46</v>
      </c>
      <c r="Q118" s="2">
        <f t="shared" si="8"/>
        <v>24</v>
      </c>
      <c r="R118" s="2">
        <f t="shared" si="9"/>
        <v>22</v>
      </c>
      <c r="S118" s="1" t="str">
        <f t="shared" si="10"/>
        <v>Contact: +88‐02‐8991817</v>
      </c>
      <c r="U118" s="2" t="s">
        <v>1403</v>
      </c>
      <c r="W118" s="15" t="str">
        <f>IFERROR(__xludf.DUMMYFUNCTION("SPLIT(O118,""C)"")")," Symbiotic.aa@live.com ")</f>
        <v> Symbiotic.aa@live.com </v>
      </c>
      <c r="X118" s="7" t="str">
        <f>IFERROR(__xludf.DUMMYFUNCTION("""COMPUTED_VALUE"""),"ontact: +88‐02‐8991817")</f>
        <v>ontact: +88‐02‐8991817</v>
      </c>
      <c r="Y118" s="7" t="s">
        <v>1404</v>
      </c>
      <c r="Z118" s="7"/>
      <c r="AA118" s="7"/>
      <c r="AB118" s="7"/>
    </row>
    <row r="119" ht="15.75" customHeight="1">
      <c r="A119" s="13" t="s">
        <v>545</v>
      </c>
      <c r="B119" s="2">
        <f t="shared" si="1"/>
        <v>31</v>
      </c>
      <c r="C119" s="2">
        <f t="shared" si="2"/>
        <v>22</v>
      </c>
      <c r="D119" s="2">
        <f t="shared" si="3"/>
        <v>9</v>
      </c>
      <c r="E119" s="9" t="str">
        <f t="shared" si="4"/>
        <v>Est‐1999)</v>
      </c>
      <c r="F119" s="7" t="str">
        <f t="shared" si="11"/>
        <v>1999</v>
      </c>
      <c r="G119" s="7"/>
      <c r="H119" s="10" t="str">
        <f t="shared" si="6"/>
        <v>SYNTHESIS ARCHITECTS </v>
      </c>
      <c r="J119" s="2" t="s">
        <v>1212</v>
      </c>
      <c r="K119" s="2" t="s">
        <v>1405</v>
      </c>
      <c r="O119" s="14" t="s">
        <v>1406</v>
      </c>
      <c r="P119" s="2">
        <f t="shared" si="7"/>
        <v>58</v>
      </c>
      <c r="Q119" s="2" t="str">
        <f t="shared" si="8"/>
        <v>#VALUE!</v>
      </c>
      <c r="R119" s="2" t="str">
        <f t="shared" si="9"/>
        <v>#VALUE!</v>
      </c>
      <c r="S119" s="1" t="str">
        <f t="shared" si="10"/>
        <v>#VALUE!</v>
      </c>
      <c r="U119" s="2" t="e">
        <v>#VALUE!</v>
      </c>
      <c r="W119" s="15" t="str">
        <f>IFERROR(__xludf.DUMMYFUNCTION("SPLIT(O119,""C)"")")," synthesisarchitectsbd@gmail.com, synthesis_arch@yahoo.com")</f>
        <v> synthesisarchitectsbd@gmail.com, synthesis_arch@yahoo.com</v>
      </c>
      <c r="X119" s="7"/>
      <c r="Y119" s="7" t="s">
        <v>1406</v>
      </c>
      <c r="Z119" s="7"/>
      <c r="AA119" s="7"/>
      <c r="AB119" s="7"/>
    </row>
    <row r="120" ht="15.75" customHeight="1">
      <c r="A120" s="13" t="s">
        <v>552</v>
      </c>
      <c r="B120" s="2">
        <f t="shared" si="1"/>
        <v>25</v>
      </c>
      <c r="C120" s="2">
        <f t="shared" si="2"/>
        <v>16</v>
      </c>
      <c r="D120" s="2">
        <f t="shared" si="3"/>
        <v>9</v>
      </c>
      <c r="E120" s="9" t="str">
        <f t="shared" si="4"/>
        <v>Est‐2009)</v>
      </c>
      <c r="F120" s="7" t="str">
        <f t="shared" si="11"/>
        <v>2009</v>
      </c>
      <c r="G120" s="7"/>
      <c r="H120" s="10" t="str">
        <f t="shared" si="6"/>
        <v>S &amp; ASSOCIATES </v>
      </c>
      <c r="J120" s="2" t="s">
        <v>1027</v>
      </c>
      <c r="K120" s="2" t="s">
        <v>1407</v>
      </c>
      <c r="O120" s="14" t="s">
        <v>1408</v>
      </c>
      <c r="P120" s="2">
        <f t="shared" si="7"/>
        <v>43</v>
      </c>
      <c r="Q120" s="2">
        <f t="shared" si="8"/>
        <v>21</v>
      </c>
      <c r="R120" s="2">
        <f t="shared" si="9"/>
        <v>22</v>
      </c>
      <c r="S120" s="1" t="str">
        <f t="shared" si="10"/>
        <v>Contact: +8801730303421</v>
      </c>
      <c r="U120" s="2" t="s">
        <v>1409</v>
      </c>
      <c r="W120" s="15" t="str">
        <f>IFERROR(__xludf.DUMMYFUNCTION("SPLIT(O120,""C)"")")," sabd5200@gmail.com ")</f>
        <v> sabd5200@gmail.com </v>
      </c>
      <c r="X120" s="7" t="str">
        <f>IFERROR(__xludf.DUMMYFUNCTION("""COMPUTED_VALUE"""),"ontact: +8801730303421")</f>
        <v>ontact: +8801730303421</v>
      </c>
      <c r="Y120" s="7" t="s">
        <v>1410</v>
      </c>
      <c r="Z120" s="7"/>
      <c r="AA120" s="7"/>
      <c r="AB120" s="7"/>
    </row>
    <row r="121" ht="15.75" customHeight="1">
      <c r="A121" s="13" t="s">
        <v>557</v>
      </c>
      <c r="B121" s="2">
        <f t="shared" si="1"/>
        <v>49</v>
      </c>
      <c r="C121" s="2">
        <f t="shared" si="2"/>
        <v>40</v>
      </c>
      <c r="D121" s="2">
        <f t="shared" si="3"/>
        <v>9</v>
      </c>
      <c r="E121" s="9" t="str">
        <f t="shared" si="4"/>
        <v>Est‐1995)</v>
      </c>
      <c r="F121" s="7" t="str">
        <f t="shared" si="11"/>
        <v>1995</v>
      </c>
      <c r="G121" s="7"/>
      <c r="H121" s="10" t="str">
        <f t="shared" si="6"/>
        <v>SHATOTTO ARCHITECTURE FOR GREEN LIVING </v>
      </c>
      <c r="J121" s="2" t="s">
        <v>1066</v>
      </c>
      <c r="K121" s="2" t="s">
        <v>1411</v>
      </c>
      <c r="O121" s="14" t="s">
        <v>1412</v>
      </c>
      <c r="P121" s="2">
        <f t="shared" si="7"/>
        <v>19</v>
      </c>
      <c r="Q121" s="2" t="str">
        <f t="shared" si="8"/>
        <v>#VALUE!</v>
      </c>
      <c r="R121" s="2" t="str">
        <f t="shared" si="9"/>
        <v>#VALUE!</v>
      </c>
      <c r="S121" s="1" t="str">
        <f t="shared" si="10"/>
        <v>#VALUE!</v>
      </c>
      <c r="U121" s="2" t="e">
        <v>#VALUE!</v>
      </c>
      <c r="W121" s="15" t="str">
        <f>IFERROR(__xludf.DUMMYFUNCTION("SPLIT(O121,""C)"")")," shatotto@gmail.com")</f>
        <v> shatotto@gmail.com</v>
      </c>
      <c r="X121" s="7"/>
      <c r="Y121" s="7" t="s">
        <v>1412</v>
      </c>
      <c r="Z121" s="7"/>
      <c r="AA121" s="7"/>
      <c r="AB121" s="7"/>
    </row>
    <row r="122" ht="15.75" customHeight="1">
      <c r="A122" s="13" t="s">
        <v>564</v>
      </c>
      <c r="B122" s="2">
        <f t="shared" si="1"/>
        <v>48</v>
      </c>
      <c r="C122" s="2">
        <f t="shared" si="2"/>
        <v>39</v>
      </c>
      <c r="D122" s="2">
        <f t="shared" si="3"/>
        <v>9</v>
      </c>
      <c r="E122" s="9" t="str">
        <f t="shared" si="4"/>
        <v>Est‐2011)</v>
      </c>
      <c r="F122" s="7" t="str">
        <f t="shared" si="11"/>
        <v>2011</v>
      </c>
      <c r="G122" s="7"/>
      <c r="H122" s="10" t="str">
        <f t="shared" si="6"/>
        <v>SPACE ARCHITECTS, ENGINEERS, PLANNERS </v>
      </c>
      <c r="J122" s="2" t="s">
        <v>1375</v>
      </c>
      <c r="K122" s="2" t="s">
        <v>1413</v>
      </c>
      <c r="O122" s="14" t="s">
        <v>1414</v>
      </c>
      <c r="P122" s="2">
        <f t="shared" si="7"/>
        <v>83</v>
      </c>
      <c r="Q122" s="2">
        <f t="shared" si="8"/>
        <v>45</v>
      </c>
      <c r="R122" s="2">
        <f t="shared" si="9"/>
        <v>38</v>
      </c>
      <c r="S122" s="1" t="str">
        <f t="shared" si="10"/>
        <v>Contact: +88‐02‐9840245, +8801979873387</v>
      </c>
      <c r="U122" s="2" t="s">
        <v>1415</v>
      </c>
      <c r="W122" s="15" t="str">
        <f>IFERROR(__xludf.DUMMYFUNCTION("SPLIT(O122,""C)"")")," fawad_hyder@yahoo.com  info@spacearcht.com ")</f>
        <v> fawad_hyder@yahoo.com  info@spacearcht.com </v>
      </c>
      <c r="X122" s="7" t="str">
        <f>IFERROR(__xludf.DUMMYFUNCTION("""COMPUTED_VALUE"""),"ontact: +88‐02‐9840245, +8801979873387")</f>
        <v>ontact: +88‐02‐9840245, +8801979873387</v>
      </c>
      <c r="Y122" s="7" t="s">
        <v>1416</v>
      </c>
      <c r="Z122" s="7"/>
      <c r="AA122" s="7"/>
      <c r="AB122" s="7"/>
    </row>
    <row r="123" ht="15.75" customHeight="1">
      <c r="A123" s="13" t="s">
        <v>571</v>
      </c>
      <c r="B123" s="2">
        <f t="shared" si="1"/>
        <v>20</v>
      </c>
      <c r="C123" s="2">
        <f t="shared" si="2"/>
        <v>11</v>
      </c>
      <c r="D123" s="2">
        <f t="shared" si="3"/>
        <v>9</v>
      </c>
      <c r="E123" s="9" t="str">
        <f t="shared" si="4"/>
        <v>Est‐2006)</v>
      </c>
      <c r="F123" s="7" t="str">
        <f t="shared" si="11"/>
        <v>2006</v>
      </c>
      <c r="G123" s="7"/>
      <c r="H123" s="10" t="str">
        <f t="shared" si="6"/>
        <v>STHAPOTIK </v>
      </c>
      <c r="J123" s="2" t="s">
        <v>1314</v>
      </c>
      <c r="K123" s="2" t="s">
        <v>1417</v>
      </c>
      <c r="O123" s="14" t="s">
        <v>1418</v>
      </c>
      <c r="P123" s="2">
        <f t="shared" si="7"/>
        <v>25</v>
      </c>
      <c r="Q123" s="2" t="str">
        <f t="shared" si="8"/>
        <v>#VALUE!</v>
      </c>
      <c r="R123" s="2" t="str">
        <f t="shared" si="9"/>
        <v>#VALUE!</v>
      </c>
      <c r="S123" s="1" t="str">
        <f t="shared" si="10"/>
        <v>#VALUE!</v>
      </c>
      <c r="U123" s="2" t="e">
        <v>#VALUE!</v>
      </c>
      <c r="W123" s="15" t="str">
        <f>IFERROR(__xludf.DUMMYFUNCTION("SPLIT(O123,""C)"")")," sthapotik_arch@yahoo.com")</f>
        <v> sthapotik_arch@yahoo.com</v>
      </c>
      <c r="X123" s="7"/>
      <c r="Y123" s="7" t="s">
        <v>1418</v>
      </c>
      <c r="Z123" s="7"/>
      <c r="AA123" s="7"/>
      <c r="AB123" s="7"/>
    </row>
    <row r="124" ht="15.75" customHeight="1">
      <c r="A124" s="13" t="s">
        <v>578</v>
      </c>
      <c r="B124" s="2">
        <f t="shared" si="1"/>
        <v>34</v>
      </c>
      <c r="C124" s="2">
        <f t="shared" si="2"/>
        <v>25</v>
      </c>
      <c r="D124" s="2">
        <f t="shared" si="3"/>
        <v>9</v>
      </c>
      <c r="E124" s="9" t="str">
        <f t="shared" si="4"/>
        <v>Est‐2017)</v>
      </c>
      <c r="F124" s="7" t="str">
        <f t="shared" si="11"/>
        <v>2017</v>
      </c>
      <c r="G124" s="7"/>
      <c r="H124" s="10" t="str">
        <f t="shared" si="6"/>
        <v>STUDIO DHAKA ARCHITECTS </v>
      </c>
      <c r="J124" s="2" t="s">
        <v>1081</v>
      </c>
      <c r="K124" s="2" t="s">
        <v>1419</v>
      </c>
      <c r="O124" s="14" t="s">
        <v>1420</v>
      </c>
      <c r="P124" s="2">
        <f t="shared" si="7"/>
        <v>34</v>
      </c>
      <c r="Q124" s="2" t="str">
        <f t="shared" si="8"/>
        <v>#VALUE!</v>
      </c>
      <c r="R124" s="2" t="str">
        <f t="shared" si="9"/>
        <v>#VALUE!</v>
      </c>
      <c r="S124" s="1" t="str">
        <f t="shared" si="10"/>
        <v>#VALUE!</v>
      </c>
      <c r="U124" s="2" t="e">
        <v>#VALUE!</v>
      </c>
      <c r="W124" s="15" t="str">
        <f>IFERROR(__xludf.DUMMYFUNCTION("SPLIT(O124,""C)"")")," studio.dhaka.architects@gmail.com")</f>
        <v> studio.dhaka.architects@gmail.com</v>
      </c>
      <c r="X124" s="7"/>
      <c r="Y124" s="7" t="s">
        <v>1420</v>
      </c>
      <c r="Z124" s="7"/>
      <c r="AA124" s="7"/>
      <c r="AB124" s="7"/>
    </row>
    <row r="125" ht="15.75" customHeight="1">
      <c r="A125" s="13" t="s">
        <v>584</v>
      </c>
      <c r="B125" s="2">
        <f t="shared" si="1"/>
        <v>32</v>
      </c>
      <c r="C125" s="2">
        <f t="shared" si="2"/>
        <v>23</v>
      </c>
      <c r="D125" s="2">
        <f t="shared" si="3"/>
        <v>9</v>
      </c>
      <c r="E125" s="9" t="str">
        <f t="shared" si="4"/>
        <v>Est‐2016)</v>
      </c>
      <c r="F125" s="7" t="str">
        <f t="shared" si="11"/>
        <v>2016</v>
      </c>
      <c r="G125" s="7"/>
      <c r="H125" s="10" t="str">
        <f t="shared" si="6"/>
        <v>STUDIO DHAKA LIMITED. </v>
      </c>
      <c r="J125" s="2" t="s">
        <v>1084</v>
      </c>
      <c r="K125" s="2" t="s">
        <v>1421</v>
      </c>
      <c r="O125" s="14" t="s">
        <v>1422</v>
      </c>
      <c r="P125" s="2">
        <f t="shared" si="7"/>
        <v>25</v>
      </c>
      <c r="Q125" s="2" t="str">
        <f t="shared" si="8"/>
        <v>#VALUE!</v>
      </c>
      <c r="R125" s="2" t="str">
        <f t="shared" si="9"/>
        <v>#VALUE!</v>
      </c>
      <c r="S125" s="1" t="str">
        <f t="shared" si="10"/>
        <v>#VALUE!</v>
      </c>
      <c r="U125" s="2" t="e">
        <v>#VALUE!</v>
      </c>
      <c r="W125" s="15" t="str">
        <f>IFERROR(__xludf.DUMMYFUNCTION("SPLIT(O125,""C)"")")," studiodhakaltd@gmail.com")</f>
        <v> studiodhakaltd@gmail.com</v>
      </c>
      <c r="X125" s="7"/>
      <c r="Y125" s="7" t="s">
        <v>1422</v>
      </c>
      <c r="Z125" s="7"/>
      <c r="AA125" s="7"/>
      <c r="AB125" s="7"/>
    </row>
    <row r="126" ht="15.75" customHeight="1">
      <c r="A126" s="13" t="s">
        <v>591</v>
      </c>
      <c r="B126" s="2">
        <f t="shared" si="1"/>
        <v>28</v>
      </c>
      <c r="C126" s="2">
        <f t="shared" si="2"/>
        <v>19</v>
      </c>
      <c r="D126" s="2">
        <f t="shared" si="3"/>
        <v>9</v>
      </c>
      <c r="E126" s="9" t="str">
        <f t="shared" si="4"/>
        <v>Est‐2001)</v>
      </c>
      <c r="F126" s="7" t="str">
        <f t="shared" si="11"/>
        <v>2001</v>
      </c>
      <c r="G126" s="7"/>
      <c r="H126" s="10" t="str">
        <f t="shared" si="6"/>
        <v>SYSTEM ARCHITECTS </v>
      </c>
      <c r="J126" s="2" t="s">
        <v>1423</v>
      </c>
      <c r="K126" s="2" t="s">
        <v>1424</v>
      </c>
      <c r="O126" s="14" t="s">
        <v>1425</v>
      </c>
      <c r="P126" s="2">
        <f t="shared" si="7"/>
        <v>31</v>
      </c>
      <c r="Q126" s="2" t="str">
        <f t="shared" si="8"/>
        <v>#VALUE!</v>
      </c>
      <c r="R126" s="2" t="str">
        <f t="shared" si="9"/>
        <v>#VALUE!</v>
      </c>
      <c r="S126" s="1" t="str">
        <f t="shared" si="10"/>
        <v>#VALUE!</v>
      </c>
      <c r="U126" s="2" t="e">
        <v>#VALUE!</v>
      </c>
      <c r="W126" s="15" t="str">
        <f>IFERROR(__xludf.DUMMYFUNCTION("SPLIT(O126,""C)"")")," nirjhar@systemarchitectsbd.com")</f>
        <v> nirjhar@systemarchitectsbd.com</v>
      </c>
      <c r="X126" s="7"/>
      <c r="Y126" s="7" t="s">
        <v>1425</v>
      </c>
      <c r="Z126" s="7"/>
      <c r="AA126" s="7"/>
      <c r="AB126" s="7"/>
    </row>
    <row r="127" ht="15.75" customHeight="1">
      <c r="A127" s="13" t="s">
        <v>598</v>
      </c>
      <c r="B127" s="2">
        <f t="shared" si="1"/>
        <v>23</v>
      </c>
      <c r="C127" s="2">
        <f t="shared" si="2"/>
        <v>14</v>
      </c>
      <c r="D127" s="2">
        <f t="shared" si="3"/>
        <v>9</v>
      </c>
      <c r="E127" s="9" t="str">
        <f t="shared" si="4"/>
        <v>Est‐2008)</v>
      </c>
      <c r="F127" s="7" t="str">
        <f t="shared" si="11"/>
        <v>2008</v>
      </c>
      <c r="G127" s="7"/>
      <c r="H127" s="10" t="str">
        <f t="shared" si="6"/>
        <v>SILVERBRICKS </v>
      </c>
      <c r="J127" s="2" t="s">
        <v>997</v>
      </c>
      <c r="K127" s="2" t="s">
        <v>1426</v>
      </c>
      <c r="O127" s="14" t="s">
        <v>1427</v>
      </c>
      <c r="P127" s="2">
        <f t="shared" si="7"/>
        <v>49</v>
      </c>
      <c r="Q127" s="2">
        <f t="shared" si="8"/>
        <v>26</v>
      </c>
      <c r="R127" s="2">
        <f t="shared" si="9"/>
        <v>23</v>
      </c>
      <c r="S127" s="1" t="str">
        <f t="shared" si="10"/>
        <v>Contact: +88‐01714084433</v>
      </c>
      <c r="U127" s="2" t="s">
        <v>1428</v>
      </c>
      <c r="W127" s="15" t="str">
        <f>IFERROR(__xludf.DUMMYFUNCTION("SPLIT(O127,""C)"")")," info@silverbricksbd.com ")</f>
        <v> info@silverbricksbd.com </v>
      </c>
      <c r="X127" s="7" t="str">
        <f>IFERROR(__xludf.DUMMYFUNCTION("""COMPUTED_VALUE"""),"ontact: +88‐01714084433")</f>
        <v>ontact: +88‐01714084433</v>
      </c>
      <c r="Y127" s="7" t="s">
        <v>1429</v>
      </c>
      <c r="Z127" s="7"/>
      <c r="AA127" s="7"/>
      <c r="AB127" s="7"/>
    </row>
    <row r="128" ht="15.75" customHeight="1">
      <c r="A128" s="13" t="s">
        <v>605</v>
      </c>
      <c r="B128" s="2">
        <f t="shared" si="1"/>
        <v>36</v>
      </c>
      <c r="C128" s="2">
        <f t="shared" si="2"/>
        <v>27</v>
      </c>
      <c r="D128" s="2">
        <f t="shared" si="3"/>
        <v>9</v>
      </c>
      <c r="E128" s="9" t="str">
        <f t="shared" si="4"/>
        <v>Est‐2014)</v>
      </c>
      <c r="F128" s="7" t="str">
        <f t="shared" si="11"/>
        <v>2014</v>
      </c>
      <c r="G128" s="7"/>
      <c r="H128" s="10" t="str">
        <f t="shared" si="6"/>
        <v>STUDIO MORPHOGENESIS LTD. </v>
      </c>
      <c r="J128" s="2" t="s">
        <v>1057</v>
      </c>
      <c r="K128" s="2" t="s">
        <v>1430</v>
      </c>
      <c r="O128" s="14" t="s">
        <v>1431</v>
      </c>
      <c r="P128" s="2">
        <f t="shared" si="7"/>
        <v>71</v>
      </c>
      <c r="Q128" s="2">
        <f t="shared" si="8"/>
        <v>33</v>
      </c>
      <c r="R128" s="2">
        <f t="shared" si="9"/>
        <v>38</v>
      </c>
      <c r="S128" s="1" t="str">
        <f t="shared" si="10"/>
        <v>Contact: +88 01723819678 +88 02 9858862</v>
      </c>
      <c r="U128" s="2" t="s">
        <v>1432</v>
      </c>
      <c r="W128" s="15" t="str">
        <f>IFERROR(__xludf.DUMMYFUNCTION("SPLIT(O128,""C)"")")," design@studiomorphogenesis.com ")</f>
        <v> design@studiomorphogenesis.com </v>
      </c>
      <c r="X128" s="7" t="str">
        <f>IFERROR(__xludf.DUMMYFUNCTION("""COMPUTED_VALUE"""),"ontact: +88 01723819678 +88 02 9858862")</f>
        <v>ontact: +88 01723819678 +88 02 9858862</v>
      </c>
      <c r="Y128" s="7" t="s">
        <v>1433</v>
      </c>
      <c r="Z128" s="7"/>
      <c r="AA128" s="7"/>
      <c r="AB128" s="7"/>
    </row>
    <row r="129" ht="15.75" customHeight="1">
      <c r="A129" s="13" t="s">
        <v>612</v>
      </c>
      <c r="B129" s="2">
        <f t="shared" si="1"/>
        <v>24</v>
      </c>
      <c r="C129" s="2">
        <f t="shared" si="2"/>
        <v>15</v>
      </c>
      <c r="D129" s="2">
        <f t="shared" si="3"/>
        <v>9</v>
      </c>
      <c r="E129" s="9" t="str">
        <f t="shared" si="4"/>
        <v>Est‐2001)</v>
      </c>
      <c r="F129" s="7" t="str">
        <f t="shared" si="11"/>
        <v>2001</v>
      </c>
      <c r="G129" s="7"/>
      <c r="H129" s="10" t="str">
        <f t="shared" si="6"/>
        <v>THE DESIGNERS </v>
      </c>
      <c r="J129" s="2" t="s">
        <v>1423</v>
      </c>
      <c r="K129" s="2" t="s">
        <v>1434</v>
      </c>
      <c r="O129" s="14" t="s">
        <v>1435</v>
      </c>
      <c r="P129" s="2">
        <f t="shared" si="7"/>
        <v>47</v>
      </c>
      <c r="Q129" s="2">
        <f t="shared" si="8"/>
        <v>25</v>
      </c>
      <c r="R129" s="2">
        <f t="shared" si="9"/>
        <v>22</v>
      </c>
      <c r="S129" s="1" t="str">
        <f t="shared" si="10"/>
        <v>Contact: +88‐02‐9850798</v>
      </c>
      <c r="U129" s="2" t="s">
        <v>1436</v>
      </c>
      <c r="W129" s="15" t="str">
        <f>IFERROR(__xludf.DUMMYFUNCTION("SPLIT(O129,""C)"")")," malikshaheen@yahoo.com ")</f>
        <v> malikshaheen@yahoo.com </v>
      </c>
      <c r="X129" s="7" t="str">
        <f>IFERROR(__xludf.DUMMYFUNCTION("""COMPUTED_VALUE"""),"ontact: +88‐02‐9850798")</f>
        <v>ontact: +88‐02‐9850798</v>
      </c>
      <c r="Y129" s="7" t="s">
        <v>1437</v>
      </c>
      <c r="Z129" s="7"/>
      <c r="AA129" s="7"/>
      <c r="AB129" s="7"/>
    </row>
    <row r="130" ht="15.75" customHeight="1">
      <c r="A130" s="13" t="s">
        <v>617</v>
      </c>
      <c r="B130" s="2">
        <f t="shared" si="1"/>
        <v>31</v>
      </c>
      <c r="C130" s="2">
        <f t="shared" si="2"/>
        <v>22</v>
      </c>
      <c r="D130" s="2">
        <f t="shared" si="3"/>
        <v>9</v>
      </c>
      <c r="E130" s="9" t="str">
        <f t="shared" si="4"/>
        <v>Est‐1993)</v>
      </c>
      <c r="F130" s="7" t="str">
        <f t="shared" si="11"/>
        <v>1993</v>
      </c>
      <c r="G130" s="7"/>
      <c r="H130" s="10" t="str">
        <f t="shared" si="6"/>
        <v>TRIANGLE CONSULTANTS </v>
      </c>
      <c r="J130" s="2" t="s">
        <v>1438</v>
      </c>
      <c r="K130" s="2" t="s">
        <v>1439</v>
      </c>
      <c r="O130" s="14" t="s">
        <v>1440</v>
      </c>
      <c r="P130" s="2">
        <f t="shared" si="7"/>
        <v>50</v>
      </c>
      <c r="Q130" s="2">
        <f t="shared" si="8"/>
        <v>25</v>
      </c>
      <c r="R130" s="2">
        <f t="shared" si="9"/>
        <v>25</v>
      </c>
      <c r="S130" s="1" t="str">
        <f t="shared" si="10"/>
        <v>Contact: +88‐02‐8812109‐10</v>
      </c>
      <c r="U130" s="2" t="s">
        <v>1441</v>
      </c>
      <c r="W130" s="15" t="str">
        <f>IFERROR(__xludf.DUMMYFUNCTION("SPLIT(O130,""C)"")")," shakoormajid@yahoo.com ")</f>
        <v> shakoormajid@yahoo.com </v>
      </c>
      <c r="X130" s="7" t="str">
        <f>IFERROR(__xludf.DUMMYFUNCTION("""COMPUTED_VALUE"""),"ontact: +88‐02‐8812109‐10")</f>
        <v>ontact: +88‐02‐8812109‐10</v>
      </c>
      <c r="Y130" s="7" t="s">
        <v>1442</v>
      </c>
      <c r="Z130" s="7"/>
      <c r="AA130" s="7"/>
      <c r="AB130" s="7"/>
    </row>
    <row r="131" ht="15.75" customHeight="1">
      <c r="A131" s="13" t="s">
        <v>623</v>
      </c>
      <c r="B131" s="2">
        <f t="shared" si="1"/>
        <v>45</v>
      </c>
      <c r="C131" s="2">
        <f t="shared" si="2"/>
        <v>36</v>
      </c>
      <c r="D131" s="2">
        <f t="shared" si="3"/>
        <v>9</v>
      </c>
      <c r="E131" s="9" t="str">
        <f t="shared" si="4"/>
        <v>Est‐1993)</v>
      </c>
      <c r="F131" s="7" t="str">
        <f t="shared" si="11"/>
        <v>1993</v>
      </c>
      <c r="G131" s="7"/>
      <c r="H131" s="10" t="str">
        <f t="shared" si="6"/>
        <v>TANYA KARIM N.R. KHAN &amp; ASSOCIATES </v>
      </c>
      <c r="J131" s="2" t="s">
        <v>1438</v>
      </c>
      <c r="K131" s="2" t="s">
        <v>1443</v>
      </c>
      <c r="O131" s="14" t="s">
        <v>1444</v>
      </c>
      <c r="P131" s="2">
        <f t="shared" si="7"/>
        <v>15</v>
      </c>
      <c r="Q131" s="2" t="str">
        <f t="shared" si="8"/>
        <v>#VALUE!</v>
      </c>
      <c r="R131" s="2" t="str">
        <f t="shared" si="9"/>
        <v>#VALUE!</v>
      </c>
      <c r="S131" s="1" t="str">
        <f t="shared" si="10"/>
        <v>#VALUE!</v>
      </c>
      <c r="U131" s="2" t="e">
        <v>#VALUE!</v>
      </c>
      <c r="W131" s="15" t="str">
        <f>IFERROR(__xludf.DUMMYFUNCTION("SPLIT(O131,""C)"")")," mail@tknrk.com")</f>
        <v> mail@tknrk.com</v>
      </c>
      <c r="X131" s="7"/>
      <c r="Y131" s="7" t="s">
        <v>1444</v>
      </c>
      <c r="Z131" s="7"/>
      <c r="AA131" s="7"/>
      <c r="AB131" s="7"/>
    </row>
    <row r="132" ht="15.75" customHeight="1">
      <c r="A132" s="13" t="s">
        <v>631</v>
      </c>
      <c r="B132" s="2">
        <f t="shared" si="1"/>
        <v>43</v>
      </c>
      <c r="C132" s="2">
        <f t="shared" si="2"/>
        <v>33</v>
      </c>
      <c r="D132" s="2">
        <f t="shared" si="3"/>
        <v>10</v>
      </c>
      <c r="E132" s="9" t="str">
        <f t="shared" si="4"/>
        <v>Est‐ 2013)</v>
      </c>
      <c r="F132" s="7" t="str">
        <f t="shared" si="11"/>
        <v> 201</v>
      </c>
      <c r="G132" s="7"/>
      <c r="H132" s="10" t="str">
        <f t="shared" si="6"/>
        <v>TARIQUE HASAN &amp; ASSOCIATES LTD. </v>
      </c>
      <c r="J132" s="2">
        <v>2013.0</v>
      </c>
      <c r="K132" s="2" t="s">
        <v>1445</v>
      </c>
      <c r="O132" s="14" t="s">
        <v>1446</v>
      </c>
      <c r="P132" s="2">
        <f t="shared" si="7"/>
        <v>21</v>
      </c>
      <c r="Q132" s="2" t="str">
        <f t="shared" si="8"/>
        <v>#VALUE!</v>
      </c>
      <c r="R132" s="2" t="str">
        <f t="shared" si="9"/>
        <v>#VALUE!</v>
      </c>
      <c r="S132" s="1" t="str">
        <f t="shared" si="10"/>
        <v>#VALUE!</v>
      </c>
      <c r="U132" s="2" t="e">
        <v>#VALUE!</v>
      </c>
      <c r="W132" s="15" t="str">
        <f>IFERROR(__xludf.DUMMYFUNCTION("SPLIT(O132,""C)"")")," tarique.37@gmail.com")</f>
        <v> tarique.37@gmail.com</v>
      </c>
      <c r="X132" s="7"/>
      <c r="Y132" s="7" t="s">
        <v>1446</v>
      </c>
      <c r="Z132" s="7"/>
      <c r="AA132" s="7"/>
      <c r="AB132" s="7"/>
    </row>
    <row r="133" ht="15.75" customHeight="1">
      <c r="A133" s="13" t="s">
        <v>638</v>
      </c>
      <c r="B133" s="2">
        <f t="shared" si="1"/>
        <v>37</v>
      </c>
      <c r="C133" s="2">
        <f t="shared" si="2"/>
        <v>28</v>
      </c>
      <c r="D133" s="2">
        <f t="shared" si="3"/>
        <v>9</v>
      </c>
      <c r="E133" s="9" t="str">
        <f t="shared" si="4"/>
        <v>Est‐2018)</v>
      </c>
      <c r="F133" s="7" t="str">
        <f t="shared" si="11"/>
        <v>2018</v>
      </c>
      <c r="G133" s="7"/>
      <c r="H133" s="10" t="str">
        <f t="shared" si="6"/>
        <v>TRIOTECT &amp; ASSOCIATES LTD. </v>
      </c>
      <c r="J133" s="2" t="s">
        <v>1054</v>
      </c>
      <c r="K133" s="2" t="s">
        <v>1447</v>
      </c>
      <c r="O133" s="14" t="s">
        <v>1448</v>
      </c>
      <c r="P133" s="2">
        <f t="shared" si="7"/>
        <v>61</v>
      </c>
      <c r="Q133" s="2">
        <f t="shared" si="8"/>
        <v>23</v>
      </c>
      <c r="R133" s="2">
        <f t="shared" si="9"/>
        <v>38</v>
      </c>
      <c r="S133" s="1" t="str">
        <f t="shared" si="10"/>
        <v>Contact: +8801777768366, +8801777768367</v>
      </c>
      <c r="U133" s="2" t="s">
        <v>1449</v>
      </c>
      <c r="W133" s="15" t="str">
        <f>IFERROR(__xludf.DUMMYFUNCTION("SPLIT(O133,""C)"")")," info@triotect.com.bd ")</f>
        <v> info@triotect.com.bd </v>
      </c>
      <c r="X133" s="7" t="str">
        <f>IFERROR(__xludf.DUMMYFUNCTION("""COMPUTED_VALUE"""),"ontact: +8801777768366, +8801777768367")</f>
        <v>ontact: +8801777768366, +8801777768367</v>
      </c>
      <c r="Y133" s="7" t="s">
        <v>1450</v>
      </c>
      <c r="Z133" s="7"/>
      <c r="AA133" s="7"/>
      <c r="AB133" s="7"/>
    </row>
    <row r="134" ht="15.75" customHeight="1">
      <c r="A134" s="13" t="s">
        <v>645</v>
      </c>
      <c r="B134" s="2">
        <f t="shared" si="1"/>
        <v>28</v>
      </c>
      <c r="C134" s="2">
        <f t="shared" si="2"/>
        <v>19</v>
      </c>
      <c r="D134" s="2">
        <f t="shared" si="3"/>
        <v>9</v>
      </c>
      <c r="E134" s="9" t="str">
        <f t="shared" si="4"/>
        <v>Est‐2003)</v>
      </c>
      <c r="F134" s="7" t="str">
        <f t="shared" si="11"/>
        <v>2003</v>
      </c>
      <c r="G134" s="7"/>
      <c r="H134" s="10" t="str">
        <f t="shared" si="6"/>
        <v>UNITED CONSULTANT </v>
      </c>
      <c r="J134" s="2" t="s">
        <v>1243</v>
      </c>
      <c r="K134" s="2" t="s">
        <v>1451</v>
      </c>
      <c r="O134" s="14" t="s">
        <v>1452</v>
      </c>
      <c r="P134" s="2">
        <f t="shared" si="7"/>
        <v>60</v>
      </c>
      <c r="Q134" s="2">
        <f t="shared" si="8"/>
        <v>22</v>
      </c>
      <c r="R134" s="2">
        <f t="shared" si="9"/>
        <v>38</v>
      </c>
      <c r="S134" s="1" t="str">
        <f t="shared" si="10"/>
        <v>Contact: +88‐02‐9849303, +88‐02‐9849317</v>
      </c>
      <c r="U134" s="2" t="s">
        <v>1453</v>
      </c>
      <c r="W134" s="15" t="str">
        <f>IFERROR(__xludf.DUMMYFUNCTION("SPLIT(O134,""C)"")")," mail.awpl@yahoo.com ")</f>
        <v> mail.awpl@yahoo.com </v>
      </c>
      <c r="X134" s="7" t="str">
        <f>IFERROR(__xludf.DUMMYFUNCTION("""COMPUTED_VALUE"""),"ontact: +88‐02‐9849303, +88‐02‐9849317")</f>
        <v>ontact: +88‐02‐9849303, +88‐02‐9849317</v>
      </c>
      <c r="Y134" s="7" t="s">
        <v>1454</v>
      </c>
      <c r="Z134" s="7"/>
      <c r="AA134" s="7"/>
      <c r="AB134" s="7"/>
    </row>
    <row r="135" ht="15.75" customHeight="1">
      <c r="A135" s="13" t="s">
        <v>650</v>
      </c>
      <c r="B135" s="2">
        <f t="shared" si="1"/>
        <v>17</v>
      </c>
      <c r="C135" s="2">
        <f t="shared" si="2"/>
        <v>8</v>
      </c>
      <c r="D135" s="2">
        <f t="shared" si="3"/>
        <v>9</v>
      </c>
      <c r="E135" s="9" t="str">
        <f t="shared" si="4"/>
        <v>Est‐1996)</v>
      </c>
      <c r="F135" s="7" t="str">
        <f t="shared" si="11"/>
        <v>1996</v>
      </c>
      <c r="G135" s="7"/>
      <c r="H135" s="10" t="str">
        <f t="shared" si="6"/>
        <v>URBANA </v>
      </c>
      <c r="J135" s="2" t="s">
        <v>988</v>
      </c>
      <c r="K135" s="2" t="s">
        <v>1455</v>
      </c>
      <c r="O135" s="14" t="s">
        <v>1456</v>
      </c>
      <c r="P135" s="2">
        <f t="shared" si="7"/>
        <v>72</v>
      </c>
      <c r="Q135" s="2">
        <f t="shared" si="8"/>
        <v>34</v>
      </c>
      <c r="R135" s="2">
        <f t="shared" si="9"/>
        <v>38</v>
      </c>
      <c r="S135" s="1" t="str">
        <f t="shared" si="10"/>
        <v>Contact: +88‐02‐9671500, +88‐02‐9671515</v>
      </c>
      <c r="U135" s="2" t="s">
        <v>1457</v>
      </c>
      <c r="W135" s="15" t="str">
        <f>IFERROR(__xludf.DUMMYFUNCTION("SPLIT(O135,""C)"")")," urbana.communications@gmail.com ")</f>
        <v> urbana.communications@gmail.com </v>
      </c>
      <c r="X135" s="7" t="str">
        <f>IFERROR(__xludf.DUMMYFUNCTION("""COMPUTED_VALUE"""),"ontact: +88‐02‐9671500, +88‐02‐9671515")</f>
        <v>ontact: +88‐02‐9671500, +88‐02‐9671515</v>
      </c>
      <c r="Y135" s="7" t="s">
        <v>1458</v>
      </c>
      <c r="Z135" s="7"/>
      <c r="AA135" s="7"/>
      <c r="AB135" s="7"/>
    </row>
    <row r="136" ht="15.75" customHeight="1">
      <c r="A136" s="13" t="s">
        <v>655</v>
      </c>
      <c r="B136" s="2">
        <f t="shared" si="1"/>
        <v>31</v>
      </c>
      <c r="C136" s="2">
        <f t="shared" si="2"/>
        <v>22</v>
      </c>
      <c r="D136" s="2">
        <f t="shared" si="3"/>
        <v>9</v>
      </c>
      <c r="E136" s="9" t="str">
        <f t="shared" si="4"/>
        <v>Est‐2005)</v>
      </c>
      <c r="F136" s="7" t="str">
        <f t="shared" si="11"/>
        <v>2005</v>
      </c>
      <c r="G136" s="7"/>
      <c r="H136" s="10" t="str">
        <f t="shared" si="6"/>
        <v>VASTUVITA ARCHITECTS </v>
      </c>
      <c r="J136" s="2" t="s">
        <v>992</v>
      </c>
      <c r="K136" s="2" t="s">
        <v>1459</v>
      </c>
      <c r="O136" s="14" t="s">
        <v>1460</v>
      </c>
      <c r="P136" s="2">
        <f t="shared" si="7"/>
        <v>44</v>
      </c>
      <c r="Q136" s="2">
        <f t="shared" si="8"/>
        <v>21</v>
      </c>
      <c r="R136" s="2">
        <f t="shared" si="9"/>
        <v>23</v>
      </c>
      <c r="S136" s="1" t="str">
        <f t="shared" si="10"/>
        <v>Contact: +88‐01678016706</v>
      </c>
      <c r="U136" s="2" t="s">
        <v>1461</v>
      </c>
      <c r="W136" s="15" t="str">
        <f>IFERROR(__xludf.DUMMYFUNCTION("SPLIT(O136,""C)"")")," vita_arc@yahoo.com ")</f>
        <v> vita_arc@yahoo.com </v>
      </c>
      <c r="X136" s="7" t="str">
        <f>IFERROR(__xludf.DUMMYFUNCTION("""COMPUTED_VALUE"""),"ontact: +88‐01678016706")</f>
        <v>ontact: +88‐01678016706</v>
      </c>
      <c r="Y136" s="7" t="s">
        <v>1462</v>
      </c>
      <c r="Z136" s="7"/>
      <c r="AA136" s="7"/>
      <c r="AB136" s="7"/>
    </row>
    <row r="137" ht="15.75" customHeight="1">
      <c r="A137" s="13" t="s">
        <v>662</v>
      </c>
      <c r="B137" s="2">
        <f t="shared" si="1"/>
        <v>27</v>
      </c>
      <c r="C137" s="2">
        <f t="shared" si="2"/>
        <v>18</v>
      </c>
      <c r="D137" s="2">
        <f t="shared" si="3"/>
        <v>9</v>
      </c>
      <c r="E137" s="9" t="str">
        <f t="shared" si="4"/>
        <v>Est‐2002)</v>
      </c>
      <c r="F137" s="7" t="str">
        <f t="shared" si="11"/>
        <v>2002</v>
      </c>
      <c r="G137" s="7"/>
      <c r="H137" s="10" t="str">
        <f t="shared" si="6"/>
        <v>VENNA ARCHITECTS </v>
      </c>
      <c r="J137" s="2" t="s">
        <v>1463</v>
      </c>
      <c r="K137" s="2" t="s">
        <v>1464</v>
      </c>
      <c r="O137" s="14" t="s">
        <v>1465</v>
      </c>
      <c r="P137" s="2">
        <f t="shared" si="7"/>
        <v>78</v>
      </c>
      <c r="Q137" s="2">
        <f t="shared" si="8"/>
        <v>55</v>
      </c>
      <c r="R137" s="2">
        <f t="shared" si="9"/>
        <v>23</v>
      </c>
      <c r="S137" s="1" t="str">
        <f t="shared" si="10"/>
        <v>Contact: +88‐02‐ 8625835</v>
      </c>
      <c r="U137" s="2" t="s">
        <v>1466</v>
      </c>
      <c r="W137" s="15" t="str">
        <f>IFERROR(__xludf.DUMMYFUNCTION("SPLIT(O137,""C)"")")," architects.venna@gmail.com, architect.asif@gmail.com ")</f>
        <v> architects.venna@gmail.com, architect.asif@gmail.com </v>
      </c>
      <c r="X137" s="7" t="str">
        <f>IFERROR(__xludf.DUMMYFUNCTION("""COMPUTED_VALUE"""),"ontact: +88‐02‐ 8625835")</f>
        <v>ontact: +88‐02‐ 8625835</v>
      </c>
      <c r="Y137" s="7" t="s">
        <v>1467</v>
      </c>
      <c r="Z137" s="7"/>
      <c r="AA137" s="7"/>
      <c r="AB137" s="7"/>
    </row>
    <row r="138" ht="15.75" customHeight="1">
      <c r="A138" s="13" t="s">
        <v>669</v>
      </c>
      <c r="B138" s="2">
        <f t="shared" si="1"/>
        <v>41</v>
      </c>
      <c r="C138" s="2">
        <f t="shared" si="2"/>
        <v>21</v>
      </c>
      <c r="D138" s="2">
        <f t="shared" si="3"/>
        <v>20</v>
      </c>
      <c r="E138" s="9" t="str">
        <f t="shared" si="4"/>
        <v>PVT.) LTD (Est‐1998)</v>
      </c>
      <c r="F138" s="7" t="str">
        <f t="shared" si="11"/>
        <v>1998</v>
      </c>
      <c r="G138" s="7"/>
      <c r="H138" s="10" t="str">
        <f t="shared" si="6"/>
        <v>VISTAARA ARCHITECTS </v>
      </c>
      <c r="J138" s="2" t="s">
        <v>1165</v>
      </c>
      <c r="K138" s="2" t="s">
        <v>1468</v>
      </c>
      <c r="O138" s="14" t="s">
        <v>1469</v>
      </c>
      <c r="P138" s="2">
        <f t="shared" si="7"/>
        <v>78</v>
      </c>
      <c r="Q138" s="2">
        <f t="shared" si="8"/>
        <v>21</v>
      </c>
      <c r="R138" s="2">
        <f t="shared" si="9"/>
        <v>57</v>
      </c>
      <c r="S138" s="1" t="str">
        <f t="shared" si="10"/>
        <v>Contact: +88‐02‐55044873, +88‐02‐55044874, +88‐02‐55044875</v>
      </c>
      <c r="U138" s="2" t="s">
        <v>1470</v>
      </c>
      <c r="W138" s="15" t="str">
        <f>IFERROR(__xludf.DUMMYFUNCTION("SPLIT(O138,""C)"")")," info@delvistaa.com ")</f>
        <v> info@delvistaa.com </v>
      </c>
      <c r="X138" s="7" t="str">
        <f>IFERROR(__xludf.DUMMYFUNCTION("""COMPUTED_VALUE"""),"ontact: +88‐02‐55044873, +88‐02‐55044874, +88‐02‐55044875")</f>
        <v>ontact: +88‐02‐55044873, +88‐02‐55044874, +88‐02‐55044875</v>
      </c>
      <c r="Y138" s="7" t="s">
        <v>1471</v>
      </c>
      <c r="Z138" s="7"/>
      <c r="AA138" s="7"/>
      <c r="AB138" s="7"/>
    </row>
    <row r="139" ht="15.75" customHeight="1">
      <c r="A139" s="13" t="s">
        <v>676</v>
      </c>
      <c r="B139" s="2">
        <f t="shared" si="1"/>
        <v>29</v>
      </c>
      <c r="C139" s="2">
        <f t="shared" si="2"/>
        <v>20</v>
      </c>
      <c r="D139" s="2">
        <f t="shared" si="3"/>
        <v>9</v>
      </c>
      <c r="E139" s="9" t="str">
        <f t="shared" si="4"/>
        <v>Est‐2008)</v>
      </c>
      <c r="F139" s="7" t="str">
        <f t="shared" si="11"/>
        <v>2008</v>
      </c>
      <c r="G139" s="7"/>
      <c r="H139" s="10" t="str">
        <f t="shared" si="6"/>
        <v>VOLUMEZERO LIMITED </v>
      </c>
      <c r="J139" s="2" t="s">
        <v>997</v>
      </c>
      <c r="K139" s="2" t="s">
        <v>1472</v>
      </c>
      <c r="O139" s="14" t="s">
        <v>1473</v>
      </c>
      <c r="P139" s="2">
        <f t="shared" si="7"/>
        <v>24</v>
      </c>
      <c r="Q139" s="2" t="str">
        <f t="shared" si="8"/>
        <v>#VALUE!</v>
      </c>
      <c r="R139" s="2" t="str">
        <f t="shared" si="9"/>
        <v>#VALUE!</v>
      </c>
      <c r="S139" s="1" t="str">
        <f t="shared" si="10"/>
        <v>#VALUE!</v>
      </c>
      <c r="U139" s="2" t="e">
        <v>#VALUE!</v>
      </c>
      <c r="W139" s="15" t="str">
        <f>IFERROR(__xludf.DUMMYFUNCTION("SPLIT(O139,""C)"")")," foyez@volumezeroltd.com")</f>
        <v> foyez@volumezeroltd.com</v>
      </c>
      <c r="X139" s="7"/>
      <c r="Y139" s="7" t="s">
        <v>1473</v>
      </c>
      <c r="Z139" s="7"/>
      <c r="AA139" s="7"/>
      <c r="AB139" s="7"/>
    </row>
    <row r="140" ht="15.75" customHeight="1">
      <c r="A140" s="13" t="s">
        <v>683</v>
      </c>
      <c r="B140" s="2">
        <f t="shared" si="1"/>
        <v>33</v>
      </c>
      <c r="C140" s="2">
        <f t="shared" si="2"/>
        <v>24</v>
      </c>
      <c r="D140" s="2">
        <f t="shared" si="3"/>
        <v>9</v>
      </c>
      <c r="E140" s="9" t="str">
        <f t="shared" si="4"/>
        <v>Est‐2008)</v>
      </c>
      <c r="F140" s="7" t="str">
        <f t="shared" si="11"/>
        <v>2008</v>
      </c>
      <c r="G140" s="7"/>
      <c r="H140" s="10" t="str">
        <f t="shared" si="6"/>
        <v>VUU‐MAATRA CONSULTANTS </v>
      </c>
      <c r="J140" s="2" t="s">
        <v>997</v>
      </c>
      <c r="K140" s="2" t="s">
        <v>1474</v>
      </c>
      <c r="O140" s="14" t="s">
        <v>1475</v>
      </c>
      <c r="P140" s="2">
        <f t="shared" si="7"/>
        <v>86</v>
      </c>
      <c r="Q140" s="2">
        <f t="shared" si="8"/>
        <v>48</v>
      </c>
      <c r="R140" s="2">
        <f t="shared" si="9"/>
        <v>38</v>
      </c>
      <c r="S140" s="1" t="str">
        <f t="shared" si="10"/>
        <v>Contact: +88‐02‐58812326, 8801796585535</v>
      </c>
      <c r="U140" s="2" t="s">
        <v>1476</v>
      </c>
      <c r="W140" s="15" t="str">
        <f>IFERROR(__xludf.DUMMYFUNCTION("SPLIT(O140,""C)"")")," info@vuumaatra.com , ziaul.sharif@gmail.com , ")</f>
        <v> info@vuumaatra.com , ziaul.sharif@gmail.com , </v>
      </c>
      <c r="X140" s="7" t="str">
        <f>IFERROR(__xludf.DUMMYFUNCTION("""COMPUTED_VALUE"""),"ontact: +88‐02‐58812326, 8801796585535")</f>
        <v>ontact: +88‐02‐58812326, 8801796585535</v>
      </c>
      <c r="Y140" s="7" t="s">
        <v>1477</v>
      </c>
      <c r="Z140" s="7"/>
      <c r="AA140" s="7"/>
      <c r="AB140" s="7"/>
    </row>
    <row r="141" ht="15.75" customHeight="1">
      <c r="A141" s="13" t="s">
        <v>690</v>
      </c>
      <c r="B141" s="2">
        <f t="shared" si="1"/>
        <v>41</v>
      </c>
      <c r="C141" s="2">
        <f t="shared" si="2"/>
        <v>32</v>
      </c>
      <c r="D141" s="2">
        <f t="shared" si="3"/>
        <v>9</v>
      </c>
      <c r="E141" s="9" t="str">
        <f t="shared" si="4"/>
        <v>Est‐1995)</v>
      </c>
      <c r="F141" s="7" t="str">
        <f t="shared" si="11"/>
        <v>1995</v>
      </c>
      <c r="G141" s="7"/>
      <c r="H141" s="10" t="str">
        <f t="shared" si="6"/>
        <v>VISTA ARCHITECTURAL CONSULTANT </v>
      </c>
      <c r="J141" s="2" t="s">
        <v>1066</v>
      </c>
      <c r="K141" s="2" t="s">
        <v>1478</v>
      </c>
      <c r="O141" s="14" t="s">
        <v>1479</v>
      </c>
      <c r="P141" s="2">
        <f t="shared" si="7"/>
        <v>68</v>
      </c>
      <c r="Q141" s="2">
        <f t="shared" si="8"/>
        <v>45</v>
      </c>
      <c r="R141" s="2">
        <f t="shared" si="9"/>
        <v>23</v>
      </c>
      <c r="S141" s="1" t="str">
        <f t="shared" si="10"/>
        <v>Contact: +88‐01971566019</v>
      </c>
      <c r="U141" s="2" t="s">
        <v>1480</v>
      </c>
      <c r="W141" s="15" t="str">
        <f>IFERROR(__xludf.DUMMYFUNCTION("SPLIT(O141,""C)"")")," dsarif14@yahoo.com, dsarifoffice@gmail.com ")</f>
        <v> dsarif14@yahoo.com, dsarifoffice@gmail.com </v>
      </c>
      <c r="X141" s="7" t="str">
        <f>IFERROR(__xludf.DUMMYFUNCTION("""COMPUTED_VALUE"""),"ontact: +88‐01971566019")</f>
        <v>ontact: +88‐01971566019</v>
      </c>
      <c r="Y141" s="7" t="s">
        <v>1481</v>
      </c>
      <c r="Z141" s="7"/>
      <c r="AA141" s="7"/>
      <c r="AB141" s="7"/>
    </row>
    <row r="142" ht="15.75" customHeight="1">
      <c r="A142" s="13" t="s">
        <v>695</v>
      </c>
      <c r="B142" s="2">
        <f t="shared" si="1"/>
        <v>36</v>
      </c>
      <c r="C142" s="2">
        <f t="shared" si="2"/>
        <v>27</v>
      </c>
      <c r="D142" s="2">
        <f t="shared" si="3"/>
        <v>9</v>
      </c>
      <c r="E142" s="9" t="str">
        <f t="shared" si="4"/>
        <v>Est‐1991)</v>
      </c>
      <c r="F142" s="7" t="str">
        <f t="shared" si="11"/>
        <v>1991</v>
      </c>
      <c r="G142" s="7"/>
      <c r="H142" s="10" t="str">
        <f t="shared" si="6"/>
        <v>VITTI STHAPATI BRINDO LTD </v>
      </c>
      <c r="J142" s="2" t="s">
        <v>1482</v>
      </c>
      <c r="K142" s="2" t="s">
        <v>1483</v>
      </c>
      <c r="O142" s="14" t="s">
        <v>1484</v>
      </c>
      <c r="P142" s="2">
        <f t="shared" si="7"/>
        <v>58</v>
      </c>
      <c r="Q142" s="2">
        <f t="shared" si="8"/>
        <v>20</v>
      </c>
      <c r="R142" s="2">
        <f t="shared" si="9"/>
        <v>38</v>
      </c>
      <c r="S142" s="1" t="str">
        <f t="shared" si="10"/>
        <v>Contact: +88 01912888015 +88 02‐8143471</v>
      </c>
      <c r="U142" s="2" t="s">
        <v>1485</v>
      </c>
      <c r="W142" s="15" t="str">
        <f>IFERROR(__xludf.DUMMYFUNCTION("SPLIT(O142,""C)"")")," vittibd@gmail.com ")</f>
        <v> vittibd@gmail.com </v>
      </c>
      <c r="X142" s="7" t="str">
        <f>IFERROR(__xludf.DUMMYFUNCTION("""COMPUTED_VALUE"""),"ontact: +88 01912888015 +88 02‐8143471")</f>
        <v>ontact: +88 01912888015 +88 02‐8143471</v>
      </c>
      <c r="Y142" s="7" t="s">
        <v>1486</v>
      </c>
      <c r="Z142" s="7"/>
      <c r="AA142" s="7"/>
      <c r="AB142" s="7"/>
    </row>
    <row r="143" ht="15.75" customHeight="1">
      <c r="A143" s="13" t="s">
        <v>702</v>
      </c>
      <c r="B143" s="2">
        <f t="shared" si="1"/>
        <v>29</v>
      </c>
      <c r="C143" s="2">
        <f t="shared" si="2"/>
        <v>24</v>
      </c>
      <c r="D143" s="2">
        <f t="shared" si="3"/>
        <v>5</v>
      </c>
      <c r="E143" s="9" t="str">
        <f t="shared" si="4"/>
        <v>Est‐)</v>
      </c>
      <c r="F143" s="7"/>
      <c r="G143" s="7"/>
      <c r="H143" s="10" t="str">
        <f t="shared" si="6"/>
        <v>4 WALLS INSIDE OUTSIDE </v>
      </c>
      <c r="K143" s="2" t="s">
        <v>1487</v>
      </c>
      <c r="O143" s="14" t="s">
        <v>1488</v>
      </c>
      <c r="P143" s="2">
        <f t="shared" si="7"/>
        <v>60</v>
      </c>
      <c r="Q143" s="2">
        <f t="shared" si="8"/>
        <v>22</v>
      </c>
      <c r="R143" s="2">
        <f t="shared" si="9"/>
        <v>38</v>
      </c>
      <c r="S143" s="1" t="str">
        <f t="shared" si="10"/>
        <v>Contact: +88 01711433431 +88 02‐9890003</v>
      </c>
      <c r="U143" s="2" t="s">
        <v>1489</v>
      </c>
      <c r="W143" s="15" t="str">
        <f>IFERROR(__xludf.DUMMYFUNCTION("SPLIT(O143,""C)"")")," wahidasif@gmaii.com ")</f>
        <v> wahidasif@gmaii.com </v>
      </c>
      <c r="X143" s="7" t="str">
        <f>IFERROR(__xludf.DUMMYFUNCTION("""COMPUTED_VALUE"""),"ontact: +88 01711433431 +88 02‐9890003")</f>
        <v>ontact: +88 01711433431 +88 02‐9890003</v>
      </c>
      <c r="Y143" s="7" t="s">
        <v>1490</v>
      </c>
      <c r="Z143" s="7"/>
      <c r="AA143" s="7"/>
      <c r="AB143" s="7"/>
    </row>
    <row r="144" ht="15.75" customHeight="1">
      <c r="E144" s="9"/>
      <c r="F144" s="7"/>
      <c r="G144" s="7"/>
      <c r="H144" s="10"/>
      <c r="O144" s="2"/>
      <c r="S144" s="1"/>
      <c r="W144" s="7"/>
      <c r="X144" s="7"/>
      <c r="Y144" s="7"/>
      <c r="Z144" s="7"/>
      <c r="AA144" s="7"/>
      <c r="AB144" s="7"/>
    </row>
    <row r="145" ht="15.75" customHeight="1">
      <c r="E145" s="9"/>
      <c r="F145" s="7"/>
      <c r="G145" s="7"/>
      <c r="H145" s="10"/>
      <c r="S145" s="1"/>
      <c r="W145" s="7"/>
      <c r="X145" s="7"/>
      <c r="Y145" s="7"/>
      <c r="Z145" s="7"/>
      <c r="AA145" s="7"/>
      <c r="AB145" s="7"/>
    </row>
    <row r="146" ht="15.75" customHeight="1">
      <c r="E146" s="9"/>
      <c r="F146" s="7"/>
      <c r="G146" s="7"/>
      <c r="H146" s="10"/>
      <c r="S146" s="1"/>
      <c r="W146" s="7"/>
      <c r="X146" s="7"/>
      <c r="Y146" s="7"/>
      <c r="Z146" s="7"/>
      <c r="AA146" s="7"/>
      <c r="AB146" s="7"/>
    </row>
    <row r="147" ht="15.75" customHeight="1">
      <c r="E147" s="9"/>
      <c r="F147" s="7"/>
      <c r="G147" s="7"/>
      <c r="H147" s="10"/>
      <c r="S147" s="1"/>
      <c r="W147" s="7"/>
      <c r="X147" s="7"/>
      <c r="Y147" s="7"/>
      <c r="Z147" s="7"/>
      <c r="AA147" s="7"/>
      <c r="AB147" s="7"/>
    </row>
    <row r="148" ht="15.75" customHeight="1">
      <c r="E148" s="9"/>
      <c r="F148" s="7"/>
      <c r="G148" s="7"/>
      <c r="H148" s="10"/>
      <c r="S148" s="1"/>
      <c r="W148" s="7"/>
      <c r="X148" s="7"/>
      <c r="Y148" s="7"/>
      <c r="Z148" s="7"/>
      <c r="AA148" s="7"/>
      <c r="AB148" s="7"/>
    </row>
    <row r="149" ht="15.75" customHeight="1">
      <c r="E149" s="9"/>
      <c r="F149" s="7"/>
      <c r="G149" s="7"/>
      <c r="H149" s="10"/>
      <c r="S149" s="1"/>
      <c r="W149" s="7"/>
      <c r="X149" s="7"/>
      <c r="Y149" s="7"/>
      <c r="Z149" s="7"/>
      <c r="AA149" s="7"/>
      <c r="AB149" s="7"/>
    </row>
    <row r="150" ht="15.75" customHeight="1">
      <c r="E150" s="9"/>
      <c r="F150" s="7"/>
      <c r="G150" s="7"/>
      <c r="H150" s="10"/>
      <c r="S150" s="1"/>
      <c r="W150" s="7"/>
      <c r="X150" s="7"/>
      <c r="Y150" s="7"/>
      <c r="Z150" s="7"/>
      <c r="AA150" s="7"/>
      <c r="AB150" s="7"/>
    </row>
    <row r="151" ht="15.75" customHeight="1">
      <c r="E151" s="9"/>
      <c r="F151" s="7"/>
      <c r="G151" s="7"/>
      <c r="H151" s="10"/>
      <c r="S151" s="1"/>
      <c r="W151" s="7"/>
      <c r="X151" s="7"/>
      <c r="Y151" s="7"/>
      <c r="Z151" s="7"/>
      <c r="AA151" s="7"/>
      <c r="AB151" s="7"/>
    </row>
    <row r="152" ht="15.75" customHeight="1">
      <c r="E152" s="9"/>
      <c r="F152" s="7"/>
      <c r="G152" s="7"/>
      <c r="H152" s="10"/>
      <c r="S152" s="1"/>
      <c r="W152" s="7"/>
      <c r="X152" s="7"/>
      <c r="Y152" s="7"/>
      <c r="Z152" s="7"/>
      <c r="AA152" s="7"/>
      <c r="AB152" s="7"/>
    </row>
    <row r="153" ht="15.75" customHeight="1">
      <c r="E153" s="9"/>
      <c r="F153" s="7"/>
      <c r="G153" s="7"/>
      <c r="H153" s="10"/>
      <c r="S153" s="1"/>
      <c r="W153" s="7"/>
      <c r="X153" s="7"/>
      <c r="Y153" s="7"/>
      <c r="Z153" s="7"/>
      <c r="AA153" s="7"/>
      <c r="AB153" s="7"/>
    </row>
    <row r="154" ht="15.75" customHeight="1">
      <c r="E154" s="9"/>
      <c r="F154" s="7"/>
      <c r="G154" s="7"/>
      <c r="H154" s="10"/>
      <c r="S154" s="1"/>
      <c r="W154" s="7"/>
      <c r="X154" s="7"/>
      <c r="Y154" s="7"/>
      <c r="Z154" s="7"/>
      <c r="AA154" s="7"/>
      <c r="AB154" s="7"/>
    </row>
    <row r="155" ht="15.75" customHeight="1">
      <c r="E155" s="9"/>
      <c r="F155" s="7"/>
      <c r="G155" s="7"/>
      <c r="H155" s="10"/>
      <c r="S155" s="1"/>
      <c r="W155" s="7"/>
      <c r="X155" s="7"/>
      <c r="Y155" s="7"/>
      <c r="Z155" s="7"/>
      <c r="AA155" s="7"/>
      <c r="AB155" s="7"/>
    </row>
    <row r="156" ht="15.75" customHeight="1">
      <c r="E156" s="9"/>
      <c r="F156" s="7"/>
      <c r="G156" s="7"/>
      <c r="H156" s="10"/>
      <c r="S156" s="1"/>
      <c r="W156" s="7"/>
      <c r="X156" s="7"/>
      <c r="Y156" s="7"/>
      <c r="Z156" s="7"/>
      <c r="AA156" s="7"/>
      <c r="AB156" s="7"/>
    </row>
    <row r="157" ht="15.75" customHeight="1">
      <c r="E157" s="9"/>
      <c r="F157" s="7"/>
      <c r="G157" s="7"/>
      <c r="H157" s="10"/>
      <c r="S157" s="1"/>
      <c r="W157" s="7"/>
      <c r="X157" s="7"/>
      <c r="Y157" s="7"/>
      <c r="Z157" s="7"/>
      <c r="AA157" s="7"/>
      <c r="AB157" s="7"/>
    </row>
    <row r="158" ht="15.75" customHeight="1">
      <c r="E158" s="9"/>
      <c r="F158" s="7"/>
      <c r="G158" s="7"/>
      <c r="H158" s="10"/>
      <c r="S158" s="1"/>
      <c r="W158" s="7"/>
      <c r="X158" s="7"/>
      <c r="Y158" s="7"/>
      <c r="Z158" s="7"/>
      <c r="AA158" s="7"/>
      <c r="AB158" s="7"/>
    </row>
    <row r="159" ht="15.75" customHeight="1">
      <c r="E159" s="9"/>
      <c r="F159" s="7"/>
      <c r="G159" s="7"/>
      <c r="H159" s="10"/>
      <c r="S159" s="1"/>
      <c r="W159" s="7"/>
      <c r="X159" s="7"/>
      <c r="Y159" s="7"/>
      <c r="Z159" s="7"/>
      <c r="AA159" s="7"/>
      <c r="AB159" s="7"/>
    </row>
    <row r="160" ht="15.75" customHeight="1">
      <c r="E160" s="9"/>
      <c r="F160" s="7"/>
      <c r="G160" s="7"/>
      <c r="H160" s="10"/>
      <c r="S160" s="1"/>
      <c r="W160" s="7"/>
      <c r="X160" s="7"/>
      <c r="Y160" s="7"/>
      <c r="Z160" s="7"/>
      <c r="AA160" s="7"/>
      <c r="AB160" s="7"/>
    </row>
    <row r="161" ht="15.75" customHeight="1">
      <c r="E161" s="9"/>
      <c r="F161" s="7"/>
      <c r="G161" s="7"/>
      <c r="H161" s="10"/>
      <c r="S161" s="1"/>
      <c r="W161" s="7"/>
      <c r="X161" s="7"/>
      <c r="Y161" s="7"/>
      <c r="Z161" s="7"/>
      <c r="AA161" s="7"/>
      <c r="AB161" s="7"/>
    </row>
    <row r="162" ht="15.75" customHeight="1">
      <c r="E162" s="9"/>
      <c r="F162" s="7"/>
      <c r="G162" s="7"/>
      <c r="H162" s="10"/>
      <c r="S162" s="1"/>
      <c r="W162" s="7"/>
      <c r="X162" s="7"/>
      <c r="Y162" s="7"/>
      <c r="Z162" s="7"/>
      <c r="AA162" s="7"/>
      <c r="AB162" s="7"/>
    </row>
    <row r="163" ht="15.75" customHeight="1">
      <c r="E163" s="9"/>
      <c r="F163" s="7"/>
      <c r="G163" s="7"/>
      <c r="H163" s="10"/>
      <c r="S163" s="1"/>
      <c r="W163" s="7"/>
      <c r="X163" s="7"/>
      <c r="Y163" s="7"/>
      <c r="Z163" s="7"/>
      <c r="AA163" s="7"/>
      <c r="AB163" s="7"/>
    </row>
    <row r="164" ht="15.75" customHeight="1">
      <c r="E164" s="9"/>
      <c r="F164" s="7"/>
      <c r="G164" s="7"/>
      <c r="H164" s="10"/>
      <c r="S164" s="1"/>
      <c r="W164" s="7"/>
      <c r="X164" s="7"/>
      <c r="Y164" s="7"/>
      <c r="Z164" s="7"/>
      <c r="AA164" s="7"/>
      <c r="AB164" s="7"/>
    </row>
    <row r="165" ht="15.75" customHeight="1">
      <c r="E165" s="9"/>
      <c r="F165" s="7"/>
      <c r="G165" s="7"/>
      <c r="H165" s="10"/>
      <c r="S165" s="1"/>
      <c r="W165" s="7"/>
      <c r="X165" s="7"/>
      <c r="Y165" s="7"/>
      <c r="Z165" s="7"/>
      <c r="AA165" s="7"/>
      <c r="AB165" s="7"/>
    </row>
    <row r="166" ht="15.75" customHeight="1">
      <c r="E166" s="9"/>
      <c r="F166" s="7"/>
      <c r="G166" s="7"/>
      <c r="H166" s="10"/>
      <c r="S166" s="1"/>
      <c r="W166" s="7"/>
      <c r="X166" s="7"/>
      <c r="Y166" s="7"/>
      <c r="Z166" s="7"/>
      <c r="AA166" s="7"/>
      <c r="AB166" s="7"/>
    </row>
    <row r="167" ht="15.75" customHeight="1">
      <c r="E167" s="9"/>
      <c r="F167" s="7"/>
      <c r="G167" s="7"/>
      <c r="H167" s="10"/>
      <c r="S167" s="1"/>
      <c r="W167" s="7"/>
      <c r="X167" s="7"/>
      <c r="Y167" s="7"/>
      <c r="Z167" s="7"/>
      <c r="AA167" s="7"/>
      <c r="AB167" s="7"/>
    </row>
    <row r="168" ht="15.75" customHeight="1">
      <c r="E168" s="9"/>
      <c r="F168" s="7"/>
      <c r="G168" s="7"/>
      <c r="H168" s="10"/>
      <c r="S168" s="1"/>
      <c r="W168" s="7"/>
      <c r="X168" s="7"/>
      <c r="Y168" s="7"/>
      <c r="Z168" s="7"/>
      <c r="AA168" s="7"/>
      <c r="AB168" s="7"/>
    </row>
    <row r="169" ht="15.75" customHeight="1">
      <c r="E169" s="9"/>
      <c r="F169" s="7"/>
      <c r="G169" s="7"/>
      <c r="H169" s="10"/>
      <c r="S169" s="1"/>
      <c r="W169" s="7"/>
      <c r="X169" s="7"/>
      <c r="Y169" s="7"/>
      <c r="Z169" s="7"/>
      <c r="AA169" s="7"/>
      <c r="AB169" s="7"/>
    </row>
    <row r="170" ht="15.75" customHeight="1">
      <c r="E170" s="9"/>
      <c r="F170" s="7"/>
      <c r="G170" s="7"/>
      <c r="H170" s="10"/>
      <c r="S170" s="1"/>
      <c r="W170" s="7"/>
      <c r="X170" s="7"/>
      <c r="Y170" s="7"/>
      <c r="Z170" s="7"/>
      <c r="AA170" s="7"/>
      <c r="AB170" s="7"/>
    </row>
    <row r="171" ht="15.75" customHeight="1">
      <c r="E171" s="9"/>
      <c r="F171" s="7"/>
      <c r="G171" s="7"/>
      <c r="H171" s="10"/>
      <c r="S171" s="1"/>
      <c r="W171" s="7"/>
      <c r="X171" s="7"/>
      <c r="Y171" s="7"/>
      <c r="Z171" s="7"/>
      <c r="AA171" s="7"/>
      <c r="AB171" s="7"/>
    </row>
    <row r="172" ht="15.75" customHeight="1">
      <c r="E172" s="9"/>
      <c r="F172" s="7"/>
      <c r="G172" s="7"/>
      <c r="H172" s="10"/>
      <c r="S172" s="1"/>
      <c r="W172" s="7"/>
      <c r="X172" s="7"/>
      <c r="Y172" s="7"/>
      <c r="Z172" s="7"/>
      <c r="AA172" s="7"/>
      <c r="AB172" s="7"/>
    </row>
    <row r="173" ht="15.75" customHeight="1">
      <c r="E173" s="9"/>
      <c r="F173" s="7"/>
      <c r="G173" s="7"/>
      <c r="H173" s="10"/>
      <c r="S173" s="1"/>
      <c r="W173" s="7"/>
      <c r="X173" s="7"/>
      <c r="Y173" s="7"/>
      <c r="Z173" s="7"/>
      <c r="AA173" s="7"/>
      <c r="AB173" s="7"/>
    </row>
    <row r="174" ht="15.75" customHeight="1">
      <c r="E174" s="9"/>
      <c r="F174" s="7"/>
      <c r="G174" s="7"/>
      <c r="H174" s="10"/>
      <c r="S174" s="1"/>
      <c r="W174" s="7"/>
      <c r="X174" s="7"/>
      <c r="Y174" s="7"/>
      <c r="Z174" s="7"/>
      <c r="AA174" s="7"/>
      <c r="AB174" s="7"/>
    </row>
    <row r="175" ht="15.75" customHeight="1">
      <c r="E175" s="9"/>
      <c r="F175" s="7"/>
      <c r="G175" s="7"/>
      <c r="H175" s="10"/>
      <c r="S175" s="1"/>
      <c r="W175" s="7"/>
      <c r="X175" s="7"/>
      <c r="Y175" s="7"/>
      <c r="Z175" s="7"/>
      <c r="AA175" s="7"/>
      <c r="AB175" s="7"/>
    </row>
    <row r="176" ht="15.75" customHeight="1">
      <c r="E176" s="9"/>
      <c r="F176" s="7"/>
      <c r="G176" s="7"/>
      <c r="H176" s="10"/>
      <c r="S176" s="1"/>
      <c r="W176" s="7"/>
      <c r="X176" s="7"/>
      <c r="Y176" s="7"/>
      <c r="Z176" s="7"/>
      <c r="AA176" s="7"/>
      <c r="AB176" s="7"/>
    </row>
    <row r="177" ht="15.75" customHeight="1">
      <c r="E177" s="9"/>
      <c r="F177" s="7"/>
      <c r="G177" s="7"/>
      <c r="H177" s="10"/>
      <c r="S177" s="1"/>
      <c r="W177" s="7"/>
      <c r="X177" s="7"/>
      <c r="Y177" s="7"/>
      <c r="Z177" s="7"/>
      <c r="AA177" s="7"/>
      <c r="AB177" s="7"/>
    </row>
    <row r="178" ht="15.75" customHeight="1">
      <c r="E178" s="9"/>
      <c r="F178" s="7"/>
      <c r="G178" s="7"/>
      <c r="H178" s="10"/>
      <c r="S178" s="1"/>
      <c r="W178" s="7"/>
      <c r="X178" s="7"/>
      <c r="Y178" s="7"/>
      <c r="Z178" s="7"/>
      <c r="AA178" s="7"/>
      <c r="AB178" s="7"/>
    </row>
    <row r="179" ht="15.75" customHeight="1">
      <c r="E179" s="9"/>
      <c r="F179" s="7"/>
      <c r="G179" s="7"/>
      <c r="H179" s="10"/>
      <c r="S179" s="1"/>
      <c r="W179" s="7"/>
      <c r="X179" s="7"/>
      <c r="Y179" s="7"/>
      <c r="Z179" s="7"/>
      <c r="AA179" s="7"/>
      <c r="AB179" s="7"/>
    </row>
    <row r="180" ht="15.75" customHeight="1">
      <c r="E180" s="9"/>
      <c r="F180" s="7"/>
      <c r="G180" s="7"/>
      <c r="H180" s="10"/>
      <c r="S180" s="1"/>
      <c r="W180" s="7"/>
      <c r="X180" s="7"/>
      <c r="Y180" s="7"/>
      <c r="Z180" s="7"/>
      <c r="AA180" s="7"/>
      <c r="AB180" s="7"/>
    </row>
    <row r="181" ht="15.75" customHeight="1">
      <c r="E181" s="9"/>
      <c r="F181" s="7"/>
      <c r="G181" s="7"/>
      <c r="H181" s="10"/>
      <c r="S181" s="1"/>
      <c r="W181" s="7"/>
      <c r="X181" s="7"/>
      <c r="Y181" s="7"/>
      <c r="Z181" s="7"/>
      <c r="AA181" s="7"/>
      <c r="AB181" s="7"/>
    </row>
    <row r="182" ht="15.75" customHeight="1">
      <c r="E182" s="9"/>
      <c r="F182" s="7"/>
      <c r="G182" s="7"/>
      <c r="H182" s="10"/>
      <c r="S182" s="1"/>
      <c r="W182" s="7"/>
      <c r="X182" s="7"/>
      <c r="Y182" s="7"/>
      <c r="Z182" s="7"/>
      <c r="AA182" s="7"/>
      <c r="AB182" s="7"/>
    </row>
    <row r="183" ht="15.75" customHeight="1">
      <c r="E183" s="9"/>
      <c r="F183" s="7"/>
      <c r="G183" s="7"/>
      <c r="H183" s="10"/>
      <c r="S183" s="1"/>
      <c r="W183" s="7"/>
      <c r="X183" s="7"/>
      <c r="Y183" s="7"/>
      <c r="Z183" s="7"/>
      <c r="AA183" s="7"/>
      <c r="AB183" s="7"/>
    </row>
    <row r="184" ht="15.75" customHeight="1">
      <c r="E184" s="9"/>
      <c r="F184" s="7"/>
      <c r="G184" s="7"/>
      <c r="H184" s="10"/>
      <c r="S184" s="1"/>
      <c r="W184" s="7"/>
      <c r="X184" s="7"/>
      <c r="Y184" s="7"/>
      <c r="Z184" s="7"/>
      <c r="AA184" s="7"/>
      <c r="AB184" s="7"/>
    </row>
    <row r="185" ht="15.75" customHeight="1">
      <c r="E185" s="9"/>
      <c r="F185" s="7"/>
      <c r="G185" s="7"/>
      <c r="H185" s="10"/>
      <c r="S185" s="1"/>
      <c r="W185" s="7"/>
      <c r="X185" s="7"/>
      <c r="Y185" s="7"/>
      <c r="Z185" s="7"/>
      <c r="AA185" s="7"/>
      <c r="AB185" s="7"/>
    </row>
    <row r="186" ht="15.75" customHeight="1">
      <c r="E186" s="9"/>
      <c r="F186" s="7"/>
      <c r="G186" s="7"/>
      <c r="H186" s="10"/>
      <c r="S186" s="1"/>
      <c r="W186" s="7"/>
      <c r="X186" s="7"/>
      <c r="Y186" s="7"/>
      <c r="Z186" s="7"/>
      <c r="AA186" s="7"/>
      <c r="AB186" s="7"/>
    </row>
    <row r="187" ht="15.75" customHeight="1">
      <c r="E187" s="9"/>
      <c r="F187" s="7"/>
      <c r="G187" s="7"/>
      <c r="H187" s="10"/>
      <c r="S187" s="1"/>
      <c r="W187" s="7"/>
      <c r="X187" s="7"/>
      <c r="Y187" s="7"/>
      <c r="Z187" s="7"/>
      <c r="AA187" s="7"/>
      <c r="AB187" s="7"/>
    </row>
    <row r="188" ht="15.75" customHeight="1">
      <c r="E188" s="9"/>
      <c r="F188" s="7"/>
      <c r="G188" s="7"/>
      <c r="H188" s="10"/>
      <c r="S188" s="1"/>
      <c r="W188" s="7"/>
      <c r="X188" s="7"/>
      <c r="Y188" s="7"/>
      <c r="Z188" s="7"/>
      <c r="AA188" s="7"/>
      <c r="AB188" s="7"/>
    </row>
    <row r="189" ht="15.75" customHeight="1">
      <c r="E189" s="9"/>
      <c r="F189" s="7"/>
      <c r="G189" s="7"/>
      <c r="H189" s="10"/>
      <c r="S189" s="1"/>
      <c r="W189" s="7"/>
      <c r="X189" s="7"/>
      <c r="Y189" s="7"/>
      <c r="Z189" s="7"/>
      <c r="AA189" s="7"/>
      <c r="AB189" s="7"/>
    </row>
    <row r="190" ht="15.75" customHeight="1">
      <c r="E190" s="9"/>
      <c r="F190" s="7"/>
      <c r="G190" s="7"/>
      <c r="H190" s="10"/>
      <c r="S190" s="1"/>
      <c r="W190" s="7"/>
      <c r="X190" s="7"/>
      <c r="Y190" s="7"/>
      <c r="Z190" s="7"/>
      <c r="AA190" s="7"/>
      <c r="AB190" s="7"/>
    </row>
    <row r="191" ht="15.75" customHeight="1">
      <c r="E191" s="9"/>
      <c r="F191" s="7"/>
      <c r="G191" s="7"/>
      <c r="H191" s="10"/>
      <c r="S191" s="1"/>
      <c r="W191" s="7"/>
      <c r="X191" s="7"/>
      <c r="Y191" s="7"/>
      <c r="Z191" s="7"/>
      <c r="AA191" s="7"/>
      <c r="AB191" s="7"/>
    </row>
    <row r="192" ht="15.75" customHeight="1">
      <c r="E192" s="9"/>
      <c r="F192" s="7"/>
      <c r="G192" s="7"/>
      <c r="H192" s="10"/>
      <c r="S192" s="1"/>
      <c r="W192" s="7"/>
      <c r="X192" s="7"/>
      <c r="Y192" s="7"/>
      <c r="Z192" s="7"/>
      <c r="AA192" s="7"/>
      <c r="AB192" s="7"/>
    </row>
    <row r="193" ht="15.75" customHeight="1">
      <c r="E193" s="9"/>
      <c r="F193" s="7"/>
      <c r="G193" s="7"/>
      <c r="H193" s="10"/>
      <c r="S193" s="1"/>
      <c r="W193" s="7"/>
      <c r="X193" s="7"/>
      <c r="Y193" s="7"/>
      <c r="Z193" s="7"/>
      <c r="AA193" s="7"/>
      <c r="AB193" s="7"/>
    </row>
    <row r="194" ht="15.75" customHeight="1">
      <c r="E194" s="9"/>
      <c r="F194" s="7"/>
      <c r="G194" s="7"/>
      <c r="H194" s="10"/>
      <c r="S194" s="1"/>
      <c r="W194" s="7"/>
      <c r="X194" s="7"/>
      <c r="Y194" s="7"/>
      <c r="Z194" s="7"/>
      <c r="AA194" s="7"/>
      <c r="AB194" s="7"/>
    </row>
    <row r="195" ht="15.75" customHeight="1">
      <c r="E195" s="9"/>
      <c r="F195" s="7"/>
      <c r="G195" s="7"/>
      <c r="H195" s="10"/>
      <c r="S195" s="1"/>
      <c r="W195" s="7"/>
      <c r="X195" s="7"/>
      <c r="Y195" s="7"/>
      <c r="Z195" s="7"/>
      <c r="AA195" s="7"/>
      <c r="AB195" s="7"/>
    </row>
    <row r="196" ht="15.75" customHeight="1">
      <c r="E196" s="9"/>
      <c r="F196" s="7"/>
      <c r="G196" s="7"/>
      <c r="H196" s="10"/>
      <c r="S196" s="1"/>
      <c r="W196" s="7"/>
      <c r="X196" s="7"/>
      <c r="Y196" s="7"/>
      <c r="Z196" s="7"/>
      <c r="AA196" s="7"/>
      <c r="AB196" s="7"/>
    </row>
    <row r="197" ht="15.75" customHeight="1">
      <c r="E197" s="9"/>
      <c r="F197" s="7"/>
      <c r="G197" s="7"/>
      <c r="H197" s="10"/>
      <c r="S197" s="1"/>
      <c r="W197" s="7"/>
      <c r="X197" s="7"/>
      <c r="Y197" s="7"/>
      <c r="Z197" s="7"/>
      <c r="AA197" s="7"/>
      <c r="AB197" s="7"/>
    </row>
    <row r="198" ht="15.75" customHeight="1">
      <c r="E198" s="9"/>
      <c r="F198" s="7"/>
      <c r="G198" s="7"/>
      <c r="H198" s="10"/>
      <c r="S198" s="1"/>
      <c r="W198" s="7"/>
      <c r="X198" s="7"/>
      <c r="Y198" s="7"/>
      <c r="Z198" s="7"/>
      <c r="AA198" s="7"/>
      <c r="AB198" s="7"/>
    </row>
    <row r="199" ht="15.75" customHeight="1">
      <c r="E199" s="9"/>
      <c r="F199" s="7"/>
      <c r="G199" s="7"/>
      <c r="H199" s="10"/>
      <c r="S199" s="1"/>
      <c r="W199" s="7"/>
      <c r="X199" s="7"/>
      <c r="Y199" s="7"/>
      <c r="Z199" s="7"/>
      <c r="AA199" s="7"/>
      <c r="AB199" s="7"/>
    </row>
    <row r="200" ht="15.75" customHeight="1">
      <c r="E200" s="9"/>
      <c r="F200" s="7"/>
      <c r="G200" s="7"/>
      <c r="H200" s="10"/>
      <c r="S200" s="1"/>
      <c r="W200" s="7"/>
      <c r="X200" s="7"/>
      <c r="Y200" s="7"/>
      <c r="Z200" s="7"/>
      <c r="AA200" s="7"/>
      <c r="AB200" s="7"/>
    </row>
    <row r="201" ht="15.75" customHeight="1">
      <c r="E201" s="9"/>
      <c r="F201" s="7"/>
      <c r="G201" s="7"/>
      <c r="H201" s="10"/>
      <c r="S201" s="1"/>
      <c r="W201" s="7"/>
      <c r="X201" s="7"/>
      <c r="Y201" s="7"/>
      <c r="Z201" s="7"/>
      <c r="AA201" s="7"/>
      <c r="AB201" s="7"/>
    </row>
    <row r="202" ht="15.75" customHeight="1">
      <c r="E202" s="9"/>
      <c r="F202" s="7"/>
      <c r="G202" s="7"/>
      <c r="H202" s="10"/>
      <c r="S202" s="1"/>
      <c r="W202" s="7"/>
      <c r="X202" s="7"/>
      <c r="Y202" s="7"/>
      <c r="Z202" s="7"/>
      <c r="AA202" s="7"/>
      <c r="AB202" s="7"/>
    </row>
    <row r="203" ht="15.75" customHeight="1">
      <c r="E203" s="9"/>
      <c r="F203" s="7"/>
      <c r="G203" s="7"/>
      <c r="H203" s="10"/>
      <c r="S203" s="1"/>
      <c r="W203" s="7"/>
      <c r="X203" s="7"/>
      <c r="Y203" s="7"/>
      <c r="Z203" s="7"/>
      <c r="AA203" s="7"/>
      <c r="AB203" s="7"/>
    </row>
    <row r="204" ht="15.75" customHeight="1">
      <c r="E204" s="9"/>
      <c r="F204" s="7"/>
      <c r="G204" s="7"/>
      <c r="H204" s="10"/>
      <c r="S204" s="1"/>
      <c r="W204" s="7"/>
      <c r="X204" s="7"/>
      <c r="Y204" s="7"/>
      <c r="Z204" s="7"/>
      <c r="AA204" s="7"/>
      <c r="AB204" s="7"/>
    </row>
    <row r="205" ht="15.75" customHeight="1">
      <c r="E205" s="9"/>
      <c r="F205" s="7"/>
      <c r="G205" s="7"/>
      <c r="H205" s="10"/>
      <c r="S205" s="1"/>
      <c r="W205" s="7"/>
      <c r="X205" s="7"/>
      <c r="Y205" s="7"/>
      <c r="Z205" s="7"/>
      <c r="AA205" s="7"/>
      <c r="AB205" s="7"/>
    </row>
    <row r="206" ht="15.75" customHeight="1">
      <c r="E206" s="9"/>
      <c r="F206" s="7"/>
      <c r="G206" s="7"/>
      <c r="H206" s="10"/>
      <c r="S206" s="1"/>
      <c r="W206" s="7"/>
      <c r="X206" s="7"/>
      <c r="Y206" s="7"/>
      <c r="Z206" s="7"/>
      <c r="AA206" s="7"/>
      <c r="AB206" s="7"/>
    </row>
    <row r="207" ht="15.75" customHeight="1">
      <c r="E207" s="9"/>
      <c r="F207" s="7"/>
      <c r="G207" s="7"/>
      <c r="H207" s="10"/>
      <c r="S207" s="1"/>
      <c r="W207" s="7"/>
      <c r="X207" s="7"/>
      <c r="Y207" s="7"/>
      <c r="Z207" s="7"/>
      <c r="AA207" s="7"/>
      <c r="AB207" s="7"/>
    </row>
    <row r="208" ht="15.75" customHeight="1">
      <c r="E208" s="9"/>
      <c r="F208" s="7"/>
      <c r="G208" s="7"/>
      <c r="H208" s="10"/>
      <c r="S208" s="1"/>
      <c r="W208" s="7"/>
      <c r="X208" s="7"/>
      <c r="Y208" s="7"/>
      <c r="Z208" s="7"/>
      <c r="AA208" s="7"/>
      <c r="AB208" s="7"/>
    </row>
    <row r="209" ht="15.75" customHeight="1">
      <c r="E209" s="9"/>
      <c r="F209" s="7"/>
      <c r="G209" s="7"/>
      <c r="H209" s="10"/>
      <c r="S209" s="1"/>
      <c r="W209" s="7"/>
      <c r="X209" s="7"/>
      <c r="Y209" s="7"/>
      <c r="Z209" s="7"/>
      <c r="AA209" s="7"/>
      <c r="AB209" s="7"/>
    </row>
    <row r="210" ht="15.75" customHeight="1">
      <c r="E210" s="9"/>
      <c r="F210" s="7"/>
      <c r="G210" s="7"/>
      <c r="H210" s="10"/>
      <c r="S210" s="1"/>
      <c r="W210" s="7"/>
      <c r="X210" s="7"/>
      <c r="Y210" s="7"/>
      <c r="Z210" s="7"/>
      <c r="AA210" s="7"/>
      <c r="AB210" s="7"/>
    </row>
    <row r="211" ht="15.75" customHeight="1">
      <c r="E211" s="9"/>
      <c r="F211" s="7"/>
      <c r="G211" s="7"/>
      <c r="H211" s="10"/>
      <c r="S211" s="1"/>
      <c r="W211" s="7"/>
      <c r="X211" s="7"/>
      <c r="Y211" s="7"/>
      <c r="Z211" s="7"/>
      <c r="AA211" s="7"/>
      <c r="AB211" s="7"/>
    </row>
    <row r="212" ht="15.75" customHeight="1">
      <c r="E212" s="9"/>
      <c r="F212" s="7"/>
      <c r="G212" s="7"/>
      <c r="H212" s="10"/>
      <c r="S212" s="1"/>
      <c r="W212" s="7"/>
      <c r="X212" s="7"/>
      <c r="Y212" s="7"/>
      <c r="Z212" s="7"/>
      <c r="AA212" s="7"/>
      <c r="AB212" s="7"/>
    </row>
    <row r="213" ht="15.75" customHeight="1">
      <c r="E213" s="9"/>
      <c r="F213" s="7"/>
      <c r="G213" s="7"/>
      <c r="H213" s="10"/>
      <c r="S213" s="1"/>
      <c r="W213" s="7"/>
      <c r="X213" s="7"/>
      <c r="Y213" s="7"/>
      <c r="Z213" s="7"/>
      <c r="AA213" s="7"/>
      <c r="AB213" s="7"/>
    </row>
    <row r="214" ht="15.75" customHeight="1">
      <c r="E214" s="9"/>
      <c r="F214" s="7"/>
      <c r="G214" s="7"/>
      <c r="H214" s="10"/>
      <c r="S214" s="1"/>
      <c r="W214" s="7"/>
      <c r="X214" s="7"/>
      <c r="Y214" s="7"/>
      <c r="Z214" s="7"/>
      <c r="AA214" s="7"/>
      <c r="AB214" s="7"/>
    </row>
    <row r="215" ht="15.75" customHeight="1">
      <c r="E215" s="9"/>
      <c r="F215" s="7"/>
      <c r="G215" s="7"/>
      <c r="H215" s="10"/>
      <c r="S215" s="1"/>
      <c r="W215" s="7"/>
      <c r="X215" s="7"/>
      <c r="Y215" s="7"/>
      <c r="Z215" s="7"/>
      <c r="AA215" s="7"/>
      <c r="AB215" s="7"/>
    </row>
    <row r="216" ht="15.75" customHeight="1">
      <c r="E216" s="9"/>
      <c r="F216" s="7"/>
      <c r="G216" s="7"/>
      <c r="H216" s="10"/>
      <c r="S216" s="1"/>
      <c r="W216" s="7"/>
      <c r="X216" s="7"/>
      <c r="Y216" s="7"/>
      <c r="Z216" s="7"/>
      <c r="AA216" s="7"/>
      <c r="AB216" s="7"/>
    </row>
    <row r="217" ht="15.75" customHeight="1">
      <c r="E217" s="9"/>
      <c r="F217" s="7"/>
      <c r="G217" s="7"/>
      <c r="H217" s="10"/>
      <c r="S217" s="1"/>
      <c r="W217" s="7"/>
      <c r="X217" s="7"/>
      <c r="Y217" s="7"/>
      <c r="Z217" s="7"/>
      <c r="AA217" s="7"/>
      <c r="AB217" s="7"/>
    </row>
    <row r="218" ht="15.75" customHeight="1">
      <c r="E218" s="9"/>
      <c r="F218" s="7"/>
      <c r="G218" s="7"/>
      <c r="H218" s="10"/>
      <c r="S218" s="1"/>
      <c r="W218" s="7"/>
      <c r="X218" s="7"/>
      <c r="Y218" s="7"/>
      <c r="Z218" s="7"/>
      <c r="AA218" s="7"/>
      <c r="AB218" s="7"/>
    </row>
    <row r="219" ht="15.75" customHeight="1">
      <c r="E219" s="9"/>
      <c r="F219" s="7"/>
      <c r="G219" s="7"/>
      <c r="H219" s="10"/>
      <c r="S219" s="1"/>
      <c r="W219" s="7"/>
      <c r="X219" s="7"/>
      <c r="Y219" s="7"/>
      <c r="Z219" s="7"/>
      <c r="AA219" s="7"/>
      <c r="AB219" s="7"/>
    </row>
    <row r="220" ht="15.75" customHeight="1">
      <c r="E220" s="9"/>
      <c r="F220" s="7"/>
      <c r="G220" s="7"/>
      <c r="H220" s="10"/>
      <c r="S220" s="1"/>
      <c r="W220" s="7"/>
      <c r="X220" s="7"/>
      <c r="Y220" s="7"/>
      <c r="Z220" s="7"/>
      <c r="AA220" s="7"/>
      <c r="AB220" s="7"/>
    </row>
    <row r="221" ht="15.75" customHeight="1">
      <c r="E221" s="9"/>
      <c r="F221" s="7"/>
      <c r="G221" s="7"/>
      <c r="H221" s="10"/>
      <c r="S221" s="1"/>
      <c r="W221" s="7"/>
      <c r="X221" s="7"/>
      <c r="Y221" s="7"/>
      <c r="Z221" s="7"/>
      <c r="AA221" s="7"/>
      <c r="AB221" s="7"/>
    </row>
    <row r="222" ht="15.75" customHeight="1">
      <c r="E222" s="9"/>
      <c r="F222" s="7"/>
      <c r="G222" s="7"/>
      <c r="H222" s="10"/>
      <c r="S222" s="1"/>
      <c r="W222" s="7"/>
      <c r="X222" s="7"/>
      <c r="Y222" s="7"/>
      <c r="Z222" s="7"/>
      <c r="AA222" s="7"/>
      <c r="AB222" s="7"/>
    </row>
    <row r="223" ht="15.75" customHeight="1">
      <c r="E223" s="9"/>
      <c r="F223" s="7"/>
      <c r="G223" s="7"/>
      <c r="H223" s="10"/>
      <c r="S223" s="1"/>
      <c r="W223" s="7"/>
      <c r="X223" s="7"/>
      <c r="Y223" s="7"/>
      <c r="Z223" s="7"/>
      <c r="AA223" s="7"/>
      <c r="AB223" s="7"/>
    </row>
    <row r="224" ht="15.75" customHeight="1">
      <c r="E224" s="9"/>
      <c r="F224" s="7"/>
      <c r="G224" s="7"/>
      <c r="H224" s="10"/>
      <c r="S224" s="1"/>
      <c r="W224" s="7"/>
      <c r="X224" s="7"/>
      <c r="Y224" s="7"/>
      <c r="Z224" s="7"/>
      <c r="AA224" s="7"/>
      <c r="AB224" s="7"/>
    </row>
    <row r="225" ht="15.75" customHeight="1">
      <c r="E225" s="9"/>
      <c r="F225" s="7"/>
      <c r="G225" s="7"/>
      <c r="H225" s="10"/>
      <c r="S225" s="1"/>
      <c r="W225" s="7"/>
      <c r="X225" s="7"/>
      <c r="Y225" s="7"/>
      <c r="Z225" s="7"/>
      <c r="AA225" s="7"/>
      <c r="AB225" s="7"/>
    </row>
    <row r="226" ht="15.75" customHeight="1">
      <c r="E226" s="9"/>
      <c r="F226" s="7"/>
      <c r="G226" s="7"/>
      <c r="H226" s="10"/>
      <c r="S226" s="1"/>
      <c r="W226" s="7"/>
      <c r="X226" s="7"/>
      <c r="Y226" s="7"/>
      <c r="Z226" s="7"/>
      <c r="AA226" s="7"/>
      <c r="AB226" s="7"/>
    </row>
    <row r="227" ht="15.75" customHeight="1">
      <c r="E227" s="9"/>
      <c r="F227" s="7"/>
      <c r="G227" s="7"/>
      <c r="H227" s="10"/>
      <c r="S227" s="1"/>
      <c r="W227" s="7"/>
      <c r="X227" s="7"/>
      <c r="Y227" s="7"/>
      <c r="Z227" s="7"/>
      <c r="AA227" s="7"/>
      <c r="AB227" s="7"/>
    </row>
    <row r="228" ht="15.75" customHeight="1">
      <c r="E228" s="9"/>
      <c r="F228" s="7"/>
      <c r="G228" s="7"/>
      <c r="H228" s="10"/>
      <c r="S228" s="1"/>
      <c r="W228" s="7"/>
      <c r="X228" s="7"/>
      <c r="Y228" s="7"/>
      <c r="Z228" s="7"/>
      <c r="AA228" s="7"/>
      <c r="AB228" s="7"/>
    </row>
    <row r="229" ht="15.75" customHeight="1">
      <c r="E229" s="9"/>
      <c r="F229" s="7"/>
      <c r="G229" s="7"/>
      <c r="H229" s="10"/>
      <c r="S229" s="1"/>
      <c r="W229" s="7"/>
      <c r="X229" s="7"/>
      <c r="Y229" s="7"/>
      <c r="Z229" s="7"/>
      <c r="AA229" s="7"/>
      <c r="AB229" s="7"/>
    </row>
    <row r="230" ht="15.75" customHeight="1">
      <c r="E230" s="9"/>
      <c r="F230" s="7"/>
      <c r="G230" s="7"/>
      <c r="H230" s="10"/>
      <c r="S230" s="1"/>
      <c r="W230" s="7"/>
      <c r="X230" s="7"/>
      <c r="Y230" s="7"/>
      <c r="Z230" s="7"/>
      <c r="AA230" s="7"/>
      <c r="AB230" s="7"/>
    </row>
    <row r="231" ht="15.75" customHeight="1">
      <c r="E231" s="9"/>
      <c r="F231" s="7"/>
      <c r="G231" s="7"/>
      <c r="H231" s="10"/>
      <c r="S231" s="1"/>
      <c r="W231" s="7"/>
      <c r="X231" s="7"/>
      <c r="Y231" s="7"/>
      <c r="Z231" s="7"/>
      <c r="AA231" s="7"/>
      <c r="AB231" s="7"/>
    </row>
    <row r="232" ht="15.75" customHeight="1">
      <c r="E232" s="9"/>
      <c r="F232" s="7"/>
      <c r="G232" s="7"/>
      <c r="H232" s="10"/>
      <c r="S232" s="1"/>
      <c r="W232" s="7"/>
      <c r="X232" s="7"/>
      <c r="Y232" s="7"/>
      <c r="Z232" s="7"/>
      <c r="AA232" s="7"/>
      <c r="AB232" s="7"/>
    </row>
    <row r="233" ht="15.75" customHeight="1">
      <c r="E233" s="9"/>
      <c r="F233" s="7"/>
      <c r="G233" s="7"/>
      <c r="H233" s="10"/>
      <c r="S233" s="1"/>
      <c r="W233" s="7"/>
      <c r="X233" s="7"/>
      <c r="Y233" s="7"/>
      <c r="Z233" s="7"/>
      <c r="AA233" s="7"/>
      <c r="AB233" s="7"/>
    </row>
    <row r="234" ht="15.75" customHeight="1">
      <c r="E234" s="9"/>
      <c r="F234" s="7"/>
      <c r="G234" s="7"/>
      <c r="H234" s="10"/>
      <c r="S234" s="1"/>
      <c r="W234" s="7"/>
      <c r="X234" s="7"/>
      <c r="Y234" s="7"/>
      <c r="Z234" s="7"/>
      <c r="AA234" s="7"/>
      <c r="AB234" s="7"/>
    </row>
    <row r="235" ht="15.75" customHeight="1">
      <c r="E235" s="9"/>
      <c r="F235" s="7"/>
      <c r="G235" s="7"/>
      <c r="H235" s="10"/>
      <c r="S235" s="1"/>
      <c r="W235" s="7"/>
      <c r="X235" s="7"/>
      <c r="Y235" s="7"/>
      <c r="Z235" s="7"/>
      <c r="AA235" s="7"/>
      <c r="AB235" s="7"/>
    </row>
    <row r="236" ht="15.75" customHeight="1">
      <c r="E236" s="9"/>
      <c r="F236" s="7"/>
      <c r="G236" s="7"/>
      <c r="H236" s="10"/>
      <c r="S236" s="1"/>
      <c r="W236" s="7"/>
      <c r="X236" s="7"/>
      <c r="Y236" s="7"/>
      <c r="Z236" s="7"/>
      <c r="AA236" s="7"/>
      <c r="AB236" s="7"/>
    </row>
    <row r="237" ht="15.75" customHeight="1">
      <c r="E237" s="9"/>
      <c r="F237" s="7"/>
      <c r="G237" s="7"/>
      <c r="H237" s="10"/>
      <c r="S237" s="1"/>
      <c r="W237" s="7"/>
      <c r="X237" s="7"/>
      <c r="Y237" s="7"/>
      <c r="Z237" s="7"/>
      <c r="AA237" s="7"/>
      <c r="AB237" s="7"/>
    </row>
    <row r="238" ht="15.75" customHeight="1">
      <c r="E238" s="9"/>
      <c r="F238" s="7"/>
      <c r="G238" s="7"/>
      <c r="H238" s="10"/>
      <c r="S238" s="1"/>
      <c r="W238" s="7"/>
      <c r="X238" s="7"/>
      <c r="Y238" s="7"/>
      <c r="Z238" s="7"/>
      <c r="AA238" s="7"/>
      <c r="AB238" s="7"/>
    </row>
    <row r="239" ht="15.75" customHeight="1">
      <c r="E239" s="9"/>
      <c r="F239" s="7"/>
      <c r="G239" s="7"/>
      <c r="H239" s="10"/>
      <c r="S239" s="1"/>
      <c r="W239" s="7"/>
      <c r="X239" s="7"/>
      <c r="Y239" s="7"/>
      <c r="Z239" s="7"/>
      <c r="AA239" s="7"/>
      <c r="AB239" s="7"/>
    </row>
    <row r="240" ht="15.75" customHeight="1">
      <c r="E240" s="9"/>
      <c r="F240" s="7"/>
      <c r="G240" s="7"/>
      <c r="H240" s="10"/>
      <c r="S240" s="1"/>
      <c r="W240" s="7"/>
      <c r="X240" s="7"/>
      <c r="Y240" s="7"/>
      <c r="Z240" s="7"/>
      <c r="AA240" s="7"/>
      <c r="AB240" s="7"/>
    </row>
    <row r="241" ht="15.75" customHeight="1">
      <c r="E241" s="9"/>
      <c r="F241" s="7"/>
      <c r="G241" s="7"/>
      <c r="H241" s="10"/>
      <c r="S241" s="1"/>
      <c r="W241" s="7"/>
      <c r="X241" s="7"/>
      <c r="Y241" s="7"/>
      <c r="Z241" s="7"/>
      <c r="AA241" s="7"/>
      <c r="AB241" s="7"/>
    </row>
    <row r="242" ht="15.75" customHeight="1">
      <c r="E242" s="9"/>
      <c r="F242" s="7"/>
      <c r="G242" s="7"/>
      <c r="H242" s="10"/>
      <c r="S242" s="1"/>
      <c r="W242" s="7"/>
      <c r="X242" s="7"/>
      <c r="Y242" s="7"/>
      <c r="Z242" s="7"/>
      <c r="AA242" s="7"/>
      <c r="AB242" s="7"/>
    </row>
    <row r="243" ht="15.75" customHeight="1">
      <c r="E243" s="9"/>
      <c r="F243" s="7"/>
      <c r="G243" s="7"/>
      <c r="H243" s="10"/>
      <c r="S243" s="1"/>
      <c r="W243" s="7"/>
      <c r="X243" s="7"/>
      <c r="Y243" s="7"/>
      <c r="Z243" s="7"/>
      <c r="AA243" s="7"/>
      <c r="AB243" s="7"/>
    </row>
    <row r="244" ht="15.75" customHeight="1">
      <c r="E244" s="9"/>
      <c r="F244" s="7"/>
      <c r="G244" s="7"/>
      <c r="H244" s="10"/>
      <c r="S244" s="1"/>
      <c r="W244" s="7"/>
      <c r="X244" s="7"/>
      <c r="Y244" s="7"/>
      <c r="Z244" s="7"/>
      <c r="AA244" s="7"/>
      <c r="AB244" s="7"/>
    </row>
    <row r="245" ht="15.75" customHeight="1">
      <c r="E245" s="9"/>
      <c r="F245" s="7"/>
      <c r="G245" s="7"/>
      <c r="H245" s="10"/>
      <c r="S245" s="1"/>
      <c r="W245" s="7"/>
      <c r="X245" s="7"/>
      <c r="Y245" s="7"/>
      <c r="Z245" s="7"/>
      <c r="AA245" s="7"/>
      <c r="AB245" s="7"/>
    </row>
    <row r="246" ht="15.75" customHeight="1">
      <c r="E246" s="9"/>
      <c r="F246" s="7"/>
      <c r="G246" s="7"/>
      <c r="H246" s="10"/>
      <c r="S246" s="1"/>
      <c r="W246" s="7"/>
      <c r="X246" s="7"/>
      <c r="Y246" s="7"/>
      <c r="Z246" s="7"/>
      <c r="AA246" s="7"/>
      <c r="AB246" s="7"/>
    </row>
    <row r="247" ht="15.75" customHeight="1">
      <c r="E247" s="9"/>
      <c r="F247" s="7"/>
      <c r="G247" s="7"/>
      <c r="H247" s="10"/>
      <c r="S247" s="1"/>
      <c r="W247" s="7"/>
      <c r="X247" s="7"/>
      <c r="Y247" s="7"/>
      <c r="Z247" s="7"/>
      <c r="AA247" s="7"/>
      <c r="AB247" s="7"/>
    </row>
    <row r="248" ht="15.75" customHeight="1">
      <c r="E248" s="9"/>
      <c r="F248" s="7"/>
      <c r="G248" s="7"/>
      <c r="H248" s="10"/>
      <c r="S248" s="1"/>
      <c r="W248" s="7"/>
      <c r="X248" s="7"/>
      <c r="Y248" s="7"/>
      <c r="Z248" s="7"/>
      <c r="AA248" s="7"/>
      <c r="AB248" s="7"/>
    </row>
    <row r="249" ht="15.75" customHeight="1">
      <c r="E249" s="9"/>
      <c r="F249" s="7"/>
      <c r="G249" s="7"/>
      <c r="H249" s="10"/>
      <c r="S249" s="1"/>
      <c r="W249" s="7"/>
      <c r="X249" s="7"/>
      <c r="Y249" s="7"/>
      <c r="Z249" s="7"/>
      <c r="AA249" s="7"/>
      <c r="AB249" s="7"/>
    </row>
    <row r="250" ht="15.75" customHeight="1">
      <c r="E250" s="9"/>
      <c r="F250" s="7"/>
      <c r="G250" s="7"/>
      <c r="H250" s="10"/>
      <c r="S250" s="1"/>
      <c r="W250" s="7"/>
      <c r="X250" s="7"/>
      <c r="Y250" s="7"/>
      <c r="Z250" s="7"/>
      <c r="AA250" s="7"/>
      <c r="AB250" s="7"/>
    </row>
    <row r="251" ht="15.75" customHeight="1">
      <c r="E251" s="9"/>
      <c r="F251" s="7"/>
      <c r="G251" s="7"/>
      <c r="H251" s="10"/>
      <c r="S251" s="1"/>
      <c r="W251" s="7"/>
      <c r="X251" s="7"/>
      <c r="Y251" s="7"/>
      <c r="Z251" s="7"/>
      <c r="AA251" s="7"/>
      <c r="AB251" s="7"/>
    </row>
    <row r="252" ht="15.75" customHeight="1">
      <c r="E252" s="9"/>
      <c r="F252" s="7"/>
      <c r="G252" s="7"/>
      <c r="H252" s="10"/>
      <c r="S252" s="1"/>
      <c r="W252" s="7"/>
      <c r="X252" s="7"/>
      <c r="Y252" s="7"/>
      <c r="Z252" s="7"/>
      <c r="AA252" s="7"/>
      <c r="AB252" s="7"/>
    </row>
    <row r="253" ht="15.75" customHeight="1">
      <c r="E253" s="9"/>
      <c r="F253" s="7"/>
      <c r="G253" s="7"/>
      <c r="H253" s="10"/>
      <c r="S253" s="1"/>
      <c r="W253" s="7"/>
      <c r="X253" s="7"/>
      <c r="Y253" s="7"/>
      <c r="Z253" s="7"/>
      <c r="AA253" s="7"/>
      <c r="AB253" s="7"/>
    </row>
    <row r="254" ht="15.75" customHeight="1">
      <c r="E254" s="9"/>
      <c r="F254" s="7"/>
      <c r="G254" s="7"/>
      <c r="H254" s="10"/>
      <c r="S254" s="1"/>
      <c r="W254" s="7"/>
      <c r="X254" s="7"/>
      <c r="Y254" s="7"/>
      <c r="Z254" s="7"/>
      <c r="AA254" s="7"/>
      <c r="AB254" s="7"/>
    </row>
    <row r="255" ht="15.75" customHeight="1">
      <c r="E255" s="9"/>
      <c r="F255" s="7"/>
      <c r="G255" s="7"/>
      <c r="H255" s="10"/>
      <c r="S255" s="1"/>
      <c r="W255" s="7"/>
      <c r="X255" s="7"/>
      <c r="Y255" s="7"/>
      <c r="Z255" s="7"/>
      <c r="AA255" s="7"/>
      <c r="AB255" s="7"/>
    </row>
    <row r="256" ht="15.75" customHeight="1">
      <c r="E256" s="9"/>
      <c r="F256" s="7"/>
      <c r="G256" s="7"/>
      <c r="H256" s="10"/>
      <c r="S256" s="1"/>
      <c r="W256" s="7"/>
      <c r="X256" s="7"/>
      <c r="Y256" s="7"/>
      <c r="Z256" s="7"/>
      <c r="AA256" s="7"/>
      <c r="AB256" s="7"/>
    </row>
    <row r="257" ht="15.75" customHeight="1">
      <c r="E257" s="9"/>
      <c r="F257" s="7"/>
      <c r="G257" s="7"/>
      <c r="H257" s="10"/>
      <c r="S257" s="1"/>
      <c r="W257" s="7"/>
      <c r="X257" s="7"/>
      <c r="Y257" s="7"/>
      <c r="Z257" s="7"/>
      <c r="AA257" s="7"/>
      <c r="AB257" s="7"/>
    </row>
    <row r="258" ht="15.75" customHeight="1">
      <c r="E258" s="9"/>
      <c r="F258" s="7"/>
      <c r="G258" s="7"/>
      <c r="H258" s="10"/>
      <c r="S258" s="1"/>
      <c r="W258" s="7"/>
      <c r="X258" s="7"/>
      <c r="Y258" s="7"/>
      <c r="Z258" s="7"/>
      <c r="AA258" s="7"/>
      <c r="AB258" s="7"/>
    </row>
    <row r="259" ht="15.75" customHeight="1">
      <c r="E259" s="9"/>
      <c r="F259" s="7"/>
      <c r="G259" s="7"/>
      <c r="H259" s="10"/>
      <c r="S259" s="1"/>
      <c r="W259" s="7"/>
      <c r="X259" s="7"/>
      <c r="Y259" s="7"/>
      <c r="Z259" s="7"/>
      <c r="AA259" s="7"/>
      <c r="AB259" s="7"/>
    </row>
    <row r="260" ht="15.75" customHeight="1">
      <c r="E260" s="9"/>
      <c r="F260" s="7"/>
      <c r="G260" s="7"/>
      <c r="H260" s="10"/>
      <c r="S260" s="1"/>
      <c r="W260" s="7"/>
      <c r="X260" s="7"/>
      <c r="Y260" s="7"/>
      <c r="Z260" s="7"/>
      <c r="AA260" s="7"/>
      <c r="AB260" s="7"/>
    </row>
    <row r="261" ht="15.75" customHeight="1">
      <c r="E261" s="9"/>
      <c r="F261" s="7"/>
      <c r="G261" s="7"/>
      <c r="H261" s="10"/>
      <c r="S261" s="1"/>
      <c r="W261" s="7"/>
      <c r="X261" s="7"/>
      <c r="Y261" s="7"/>
      <c r="Z261" s="7"/>
      <c r="AA261" s="7"/>
      <c r="AB261" s="7"/>
    </row>
    <row r="262" ht="15.75" customHeight="1">
      <c r="E262" s="9"/>
      <c r="F262" s="7"/>
      <c r="G262" s="7"/>
      <c r="H262" s="10"/>
      <c r="S262" s="1"/>
      <c r="W262" s="7"/>
      <c r="X262" s="7"/>
      <c r="Y262" s="7"/>
      <c r="Z262" s="7"/>
      <c r="AA262" s="7"/>
      <c r="AB262" s="7"/>
    </row>
    <row r="263" ht="15.75" customHeight="1">
      <c r="E263" s="9"/>
      <c r="F263" s="7"/>
      <c r="G263" s="7"/>
      <c r="H263" s="10"/>
      <c r="S263" s="1"/>
      <c r="W263" s="7"/>
      <c r="X263" s="7"/>
      <c r="Y263" s="7"/>
      <c r="Z263" s="7"/>
      <c r="AA263" s="7"/>
      <c r="AB263" s="7"/>
    </row>
    <row r="264" ht="15.75" customHeight="1">
      <c r="E264" s="9"/>
      <c r="F264" s="7"/>
      <c r="G264" s="7"/>
      <c r="H264" s="10"/>
      <c r="S264" s="1"/>
      <c r="W264" s="7"/>
      <c r="X264" s="7"/>
      <c r="Y264" s="7"/>
      <c r="Z264" s="7"/>
      <c r="AA264" s="7"/>
      <c r="AB264" s="7"/>
    </row>
    <row r="265" ht="15.75" customHeight="1">
      <c r="E265" s="9"/>
      <c r="F265" s="7"/>
      <c r="G265" s="7"/>
      <c r="H265" s="10"/>
      <c r="S265" s="1"/>
      <c r="W265" s="7"/>
      <c r="X265" s="7"/>
      <c r="Y265" s="7"/>
      <c r="Z265" s="7"/>
      <c r="AA265" s="7"/>
      <c r="AB265" s="7"/>
    </row>
    <row r="266" ht="15.75" customHeight="1">
      <c r="E266" s="9"/>
      <c r="F266" s="7"/>
      <c r="G266" s="7"/>
      <c r="H266" s="10"/>
      <c r="S266" s="1"/>
      <c r="W266" s="7"/>
      <c r="X266" s="7"/>
      <c r="Y266" s="7"/>
      <c r="Z266" s="7"/>
      <c r="AA266" s="7"/>
      <c r="AB266" s="7"/>
    </row>
    <row r="267" ht="15.75" customHeight="1">
      <c r="E267" s="9"/>
      <c r="F267" s="7"/>
      <c r="G267" s="7"/>
      <c r="H267" s="10"/>
      <c r="S267" s="1"/>
      <c r="W267" s="7"/>
      <c r="X267" s="7"/>
      <c r="Y267" s="7"/>
      <c r="Z267" s="7"/>
      <c r="AA267" s="7"/>
      <c r="AB267" s="7"/>
    </row>
    <row r="268" ht="15.75" customHeight="1">
      <c r="E268" s="9"/>
      <c r="F268" s="7"/>
      <c r="G268" s="7"/>
      <c r="H268" s="10"/>
      <c r="S268" s="1"/>
      <c r="W268" s="7"/>
      <c r="X268" s="7"/>
      <c r="Y268" s="7"/>
      <c r="Z268" s="7"/>
      <c r="AA268" s="7"/>
      <c r="AB268" s="7"/>
    </row>
    <row r="269" ht="15.75" customHeight="1">
      <c r="E269" s="9"/>
      <c r="F269" s="7"/>
      <c r="G269" s="7"/>
      <c r="H269" s="10"/>
      <c r="S269" s="1"/>
      <c r="W269" s="7"/>
      <c r="X269" s="7"/>
      <c r="Y269" s="7"/>
      <c r="Z269" s="7"/>
      <c r="AA269" s="7"/>
      <c r="AB269" s="7"/>
    </row>
    <row r="270" ht="15.75" customHeight="1">
      <c r="E270" s="9"/>
      <c r="F270" s="7"/>
      <c r="G270" s="7"/>
      <c r="H270" s="10"/>
      <c r="S270" s="1"/>
      <c r="W270" s="7"/>
      <c r="X270" s="7"/>
      <c r="Y270" s="7"/>
      <c r="Z270" s="7"/>
      <c r="AA270" s="7"/>
      <c r="AB270" s="7"/>
    </row>
    <row r="271" ht="15.75" customHeight="1">
      <c r="E271" s="9"/>
      <c r="F271" s="7"/>
      <c r="G271" s="7"/>
      <c r="H271" s="10"/>
      <c r="S271" s="1"/>
      <c r="W271" s="7"/>
      <c r="X271" s="7"/>
      <c r="Y271" s="7"/>
      <c r="Z271" s="7"/>
      <c r="AA271" s="7"/>
      <c r="AB271" s="7"/>
    </row>
    <row r="272" ht="15.75" customHeight="1">
      <c r="E272" s="9"/>
      <c r="F272" s="7"/>
      <c r="G272" s="7"/>
      <c r="H272" s="10"/>
      <c r="S272" s="1"/>
      <c r="W272" s="7"/>
      <c r="X272" s="7"/>
      <c r="Y272" s="7"/>
      <c r="Z272" s="7"/>
      <c r="AA272" s="7"/>
      <c r="AB272" s="7"/>
    </row>
    <row r="273" ht="15.75" customHeight="1">
      <c r="E273" s="9"/>
      <c r="F273" s="7"/>
      <c r="G273" s="7"/>
      <c r="H273" s="10"/>
      <c r="S273" s="1"/>
      <c r="W273" s="7"/>
      <c r="X273" s="7"/>
      <c r="Y273" s="7"/>
      <c r="Z273" s="7"/>
      <c r="AA273" s="7"/>
      <c r="AB273" s="7"/>
    </row>
    <row r="274" ht="15.75" customHeight="1">
      <c r="E274" s="9"/>
      <c r="F274" s="7"/>
      <c r="G274" s="7"/>
      <c r="H274" s="10"/>
      <c r="S274" s="1"/>
      <c r="W274" s="7"/>
      <c r="X274" s="7"/>
      <c r="Y274" s="7"/>
      <c r="Z274" s="7"/>
      <c r="AA274" s="7"/>
      <c r="AB274" s="7"/>
    </row>
    <row r="275" ht="15.75" customHeight="1">
      <c r="E275" s="9"/>
      <c r="F275" s="7"/>
      <c r="G275" s="7"/>
      <c r="H275" s="10"/>
      <c r="S275" s="1"/>
      <c r="W275" s="7"/>
      <c r="X275" s="7"/>
      <c r="Y275" s="7"/>
      <c r="Z275" s="7"/>
      <c r="AA275" s="7"/>
      <c r="AB275" s="7"/>
    </row>
    <row r="276" ht="15.75" customHeight="1">
      <c r="E276" s="9"/>
      <c r="F276" s="7"/>
      <c r="G276" s="7"/>
      <c r="H276" s="10"/>
      <c r="S276" s="1"/>
      <c r="W276" s="7"/>
      <c r="X276" s="7"/>
      <c r="Y276" s="7"/>
      <c r="Z276" s="7"/>
      <c r="AA276" s="7"/>
      <c r="AB276" s="7"/>
    </row>
    <row r="277" ht="15.75" customHeight="1">
      <c r="E277" s="9"/>
      <c r="F277" s="7"/>
      <c r="G277" s="7"/>
      <c r="H277" s="10"/>
      <c r="S277" s="1"/>
      <c r="W277" s="7"/>
      <c r="X277" s="7"/>
      <c r="Y277" s="7"/>
      <c r="Z277" s="7"/>
      <c r="AA277" s="7"/>
      <c r="AB277" s="7"/>
    </row>
    <row r="278" ht="15.75" customHeight="1">
      <c r="E278" s="9"/>
      <c r="F278" s="7"/>
      <c r="G278" s="7"/>
      <c r="H278" s="10"/>
      <c r="S278" s="1"/>
      <c r="W278" s="7"/>
      <c r="X278" s="7"/>
      <c r="Y278" s="7"/>
      <c r="Z278" s="7"/>
      <c r="AA278" s="7"/>
      <c r="AB278" s="7"/>
    </row>
    <row r="279" ht="15.75" customHeight="1">
      <c r="E279" s="9"/>
      <c r="F279" s="7"/>
      <c r="G279" s="7"/>
      <c r="H279" s="10"/>
      <c r="S279" s="1"/>
      <c r="W279" s="7"/>
      <c r="X279" s="7"/>
      <c r="Y279" s="7"/>
      <c r="Z279" s="7"/>
      <c r="AA279" s="7"/>
      <c r="AB279" s="7"/>
    </row>
    <row r="280" ht="15.75" customHeight="1">
      <c r="E280" s="9"/>
      <c r="F280" s="7"/>
      <c r="G280" s="7"/>
      <c r="H280" s="10"/>
      <c r="S280" s="1"/>
      <c r="W280" s="7"/>
      <c r="X280" s="7"/>
      <c r="Y280" s="7"/>
      <c r="Z280" s="7"/>
      <c r="AA280" s="7"/>
      <c r="AB280" s="7"/>
    </row>
    <row r="281" ht="15.75" customHeight="1">
      <c r="E281" s="9"/>
      <c r="F281" s="7"/>
      <c r="G281" s="7"/>
      <c r="H281" s="10"/>
      <c r="S281" s="1"/>
      <c r="W281" s="7"/>
      <c r="X281" s="7"/>
      <c r="Y281" s="7"/>
      <c r="Z281" s="7"/>
      <c r="AA281" s="7"/>
      <c r="AB281" s="7"/>
    </row>
    <row r="282" ht="15.75" customHeight="1">
      <c r="E282" s="9"/>
      <c r="F282" s="7"/>
      <c r="G282" s="7"/>
      <c r="H282" s="10"/>
      <c r="S282" s="1"/>
      <c r="W282" s="7"/>
      <c r="X282" s="7"/>
      <c r="Y282" s="7"/>
      <c r="Z282" s="7"/>
      <c r="AA282" s="7"/>
      <c r="AB282" s="7"/>
    </row>
    <row r="283" ht="15.75" customHeight="1">
      <c r="E283" s="9"/>
      <c r="F283" s="7"/>
      <c r="G283" s="7"/>
      <c r="H283" s="10"/>
      <c r="S283" s="1"/>
      <c r="W283" s="7"/>
      <c r="X283" s="7"/>
      <c r="Y283" s="7"/>
      <c r="Z283" s="7"/>
      <c r="AA283" s="7"/>
      <c r="AB283" s="7"/>
    </row>
    <row r="284" ht="15.75" customHeight="1">
      <c r="E284" s="9"/>
      <c r="F284" s="7"/>
      <c r="G284" s="7"/>
      <c r="H284" s="10"/>
      <c r="S284" s="1"/>
      <c r="W284" s="7"/>
      <c r="X284" s="7"/>
      <c r="Y284" s="7"/>
      <c r="Z284" s="7"/>
      <c r="AA284" s="7"/>
      <c r="AB284" s="7"/>
    </row>
    <row r="285" ht="15.75" customHeight="1">
      <c r="E285" s="9"/>
      <c r="F285" s="7"/>
      <c r="G285" s="7"/>
      <c r="H285" s="10"/>
      <c r="S285" s="1"/>
      <c r="W285" s="7"/>
      <c r="X285" s="7"/>
      <c r="Y285" s="7"/>
      <c r="Z285" s="7"/>
      <c r="AA285" s="7"/>
      <c r="AB285" s="7"/>
    </row>
    <row r="286" ht="15.75" customHeight="1">
      <c r="E286" s="9"/>
      <c r="F286" s="7"/>
      <c r="G286" s="7"/>
      <c r="H286" s="10"/>
      <c r="S286" s="1"/>
      <c r="W286" s="7"/>
      <c r="X286" s="7"/>
      <c r="Y286" s="7"/>
      <c r="Z286" s="7"/>
      <c r="AA286" s="7"/>
      <c r="AB286" s="7"/>
    </row>
    <row r="287" ht="15.75" customHeight="1">
      <c r="E287" s="9"/>
      <c r="F287" s="7"/>
      <c r="G287" s="7"/>
      <c r="H287" s="10"/>
      <c r="S287" s="1"/>
      <c r="W287" s="7"/>
      <c r="X287" s="7"/>
      <c r="Y287" s="7"/>
      <c r="Z287" s="7"/>
      <c r="AA287" s="7"/>
      <c r="AB287" s="7"/>
    </row>
    <row r="288" ht="15.75" customHeight="1">
      <c r="E288" s="9"/>
      <c r="F288" s="7"/>
      <c r="G288" s="7"/>
      <c r="H288" s="10"/>
      <c r="S288" s="1"/>
      <c r="W288" s="7"/>
      <c r="X288" s="7"/>
      <c r="Y288" s="7"/>
      <c r="Z288" s="7"/>
      <c r="AA288" s="7"/>
      <c r="AB288" s="7"/>
    </row>
    <row r="289" ht="15.75" customHeight="1">
      <c r="E289" s="9"/>
      <c r="F289" s="7"/>
      <c r="G289" s="7"/>
      <c r="H289" s="10"/>
      <c r="S289" s="1"/>
      <c r="W289" s="7"/>
      <c r="X289" s="7"/>
      <c r="Y289" s="7"/>
      <c r="Z289" s="7"/>
      <c r="AA289" s="7"/>
      <c r="AB289" s="7"/>
    </row>
    <row r="290" ht="15.75" customHeight="1">
      <c r="E290" s="9"/>
      <c r="F290" s="7"/>
      <c r="G290" s="7"/>
      <c r="H290" s="10"/>
      <c r="S290" s="1"/>
      <c r="W290" s="7"/>
      <c r="X290" s="7"/>
      <c r="Y290" s="7"/>
      <c r="Z290" s="7"/>
      <c r="AA290" s="7"/>
      <c r="AB290" s="7"/>
    </row>
    <row r="291" ht="15.75" customHeight="1">
      <c r="E291" s="9"/>
      <c r="F291" s="7"/>
      <c r="G291" s="7"/>
      <c r="H291" s="10"/>
      <c r="S291" s="1"/>
      <c r="W291" s="7"/>
      <c r="X291" s="7"/>
      <c r="Y291" s="7"/>
      <c r="Z291" s="7"/>
      <c r="AA291" s="7"/>
      <c r="AB291" s="7"/>
    </row>
    <row r="292" ht="15.75" customHeight="1">
      <c r="E292" s="9"/>
      <c r="F292" s="7"/>
      <c r="G292" s="7"/>
      <c r="H292" s="10"/>
      <c r="S292" s="1"/>
      <c r="W292" s="7"/>
      <c r="X292" s="7"/>
      <c r="Y292" s="7"/>
      <c r="Z292" s="7"/>
      <c r="AA292" s="7"/>
      <c r="AB292" s="7"/>
    </row>
    <row r="293" ht="15.75" customHeight="1">
      <c r="E293" s="9"/>
      <c r="F293" s="7"/>
      <c r="G293" s="7"/>
      <c r="H293" s="10"/>
      <c r="S293" s="1"/>
      <c r="W293" s="7"/>
      <c r="X293" s="7"/>
      <c r="Y293" s="7"/>
      <c r="Z293" s="7"/>
      <c r="AA293" s="7"/>
      <c r="AB293" s="7"/>
    </row>
    <row r="294" ht="15.75" customHeight="1">
      <c r="E294" s="9"/>
      <c r="F294" s="7"/>
      <c r="G294" s="7"/>
      <c r="H294" s="10"/>
      <c r="S294" s="1"/>
      <c r="W294" s="7"/>
      <c r="X294" s="7"/>
      <c r="Y294" s="7"/>
      <c r="Z294" s="7"/>
      <c r="AA294" s="7"/>
      <c r="AB294" s="7"/>
    </row>
    <row r="295" ht="15.75" customHeight="1">
      <c r="E295" s="9"/>
      <c r="F295" s="7"/>
      <c r="G295" s="7"/>
      <c r="H295" s="10"/>
      <c r="S295" s="1"/>
      <c r="W295" s="7"/>
      <c r="X295" s="7"/>
      <c r="Y295" s="7"/>
      <c r="Z295" s="7"/>
      <c r="AA295" s="7"/>
      <c r="AB295" s="7"/>
    </row>
    <row r="296" ht="15.75" customHeight="1">
      <c r="E296" s="9"/>
      <c r="F296" s="7"/>
      <c r="G296" s="7"/>
      <c r="H296" s="10"/>
      <c r="S296" s="1"/>
      <c r="W296" s="7"/>
      <c r="X296" s="7"/>
      <c r="Y296" s="7"/>
      <c r="Z296" s="7"/>
      <c r="AA296" s="7"/>
      <c r="AB296" s="7"/>
    </row>
    <row r="297" ht="15.75" customHeight="1">
      <c r="E297" s="9"/>
      <c r="F297" s="7"/>
      <c r="G297" s="7"/>
      <c r="H297" s="10"/>
      <c r="S297" s="1"/>
      <c r="W297" s="7"/>
      <c r="X297" s="7"/>
      <c r="Y297" s="7"/>
      <c r="Z297" s="7"/>
      <c r="AA297" s="7"/>
      <c r="AB297" s="7"/>
    </row>
    <row r="298" ht="15.75" customHeight="1">
      <c r="E298" s="9"/>
      <c r="F298" s="7"/>
      <c r="G298" s="7"/>
      <c r="H298" s="10"/>
      <c r="S298" s="1"/>
      <c r="W298" s="7"/>
      <c r="X298" s="7"/>
      <c r="Y298" s="7"/>
      <c r="Z298" s="7"/>
      <c r="AA298" s="7"/>
      <c r="AB298" s="7"/>
    </row>
    <row r="299" ht="15.75" customHeight="1">
      <c r="E299" s="9"/>
      <c r="F299" s="7"/>
      <c r="G299" s="7"/>
      <c r="H299" s="10"/>
      <c r="S299" s="1"/>
      <c r="W299" s="7"/>
      <c r="X299" s="7"/>
      <c r="Y299" s="7"/>
      <c r="Z299" s="7"/>
      <c r="AA299" s="7"/>
      <c r="AB299" s="7"/>
    </row>
    <row r="300" ht="15.75" customHeight="1">
      <c r="E300" s="9"/>
      <c r="F300" s="7"/>
      <c r="G300" s="7"/>
      <c r="H300" s="10"/>
      <c r="S300" s="1"/>
      <c r="W300" s="7"/>
      <c r="X300" s="7"/>
      <c r="Y300" s="7"/>
      <c r="Z300" s="7"/>
      <c r="AA300" s="7"/>
      <c r="AB300" s="7"/>
    </row>
    <row r="301" ht="15.75" customHeight="1">
      <c r="E301" s="9"/>
      <c r="F301" s="7"/>
      <c r="G301" s="7"/>
      <c r="H301" s="10"/>
      <c r="S301" s="1"/>
      <c r="W301" s="7"/>
      <c r="X301" s="7"/>
      <c r="Y301" s="7"/>
      <c r="Z301" s="7"/>
      <c r="AA301" s="7"/>
      <c r="AB301" s="7"/>
    </row>
    <row r="302" ht="15.75" customHeight="1">
      <c r="E302" s="9"/>
      <c r="F302" s="7"/>
      <c r="G302" s="7"/>
      <c r="H302" s="10"/>
      <c r="S302" s="1"/>
      <c r="W302" s="7"/>
      <c r="X302" s="7"/>
      <c r="Y302" s="7"/>
      <c r="Z302" s="7"/>
      <c r="AA302" s="7"/>
      <c r="AB302" s="7"/>
    </row>
    <row r="303" ht="15.75" customHeight="1">
      <c r="E303" s="9"/>
      <c r="F303" s="7"/>
      <c r="G303" s="7"/>
      <c r="H303" s="10"/>
      <c r="S303" s="1"/>
      <c r="W303" s="7"/>
      <c r="X303" s="7"/>
      <c r="Y303" s="7"/>
      <c r="Z303" s="7"/>
      <c r="AA303" s="7"/>
      <c r="AB303" s="7"/>
    </row>
    <row r="304" ht="15.75" customHeight="1">
      <c r="E304" s="9"/>
      <c r="F304" s="7"/>
      <c r="G304" s="7"/>
      <c r="H304" s="10"/>
      <c r="S304" s="1"/>
      <c r="W304" s="7"/>
      <c r="X304" s="7"/>
      <c r="Y304" s="7"/>
      <c r="Z304" s="7"/>
      <c r="AA304" s="7"/>
      <c r="AB304" s="7"/>
    </row>
    <row r="305" ht="15.75" customHeight="1">
      <c r="E305" s="9"/>
      <c r="F305" s="7"/>
      <c r="G305" s="7"/>
      <c r="H305" s="10"/>
      <c r="S305" s="1"/>
      <c r="W305" s="7"/>
      <c r="X305" s="7"/>
      <c r="Y305" s="7"/>
      <c r="Z305" s="7"/>
      <c r="AA305" s="7"/>
      <c r="AB305" s="7"/>
    </row>
    <row r="306" ht="15.75" customHeight="1">
      <c r="E306" s="9"/>
      <c r="F306" s="7"/>
      <c r="G306" s="7"/>
      <c r="H306" s="10"/>
      <c r="S306" s="1"/>
      <c r="W306" s="7"/>
      <c r="X306" s="7"/>
      <c r="Y306" s="7"/>
      <c r="Z306" s="7"/>
      <c r="AA306" s="7"/>
      <c r="AB306" s="7"/>
    </row>
    <row r="307" ht="15.75" customHeight="1">
      <c r="E307" s="9"/>
      <c r="F307" s="7"/>
      <c r="G307" s="7"/>
      <c r="H307" s="10"/>
      <c r="S307" s="1"/>
      <c r="W307" s="7"/>
      <c r="X307" s="7"/>
      <c r="Y307" s="7"/>
      <c r="Z307" s="7"/>
      <c r="AA307" s="7"/>
      <c r="AB307" s="7"/>
    </row>
    <row r="308" ht="15.75" customHeight="1">
      <c r="E308" s="9"/>
      <c r="F308" s="7"/>
      <c r="G308" s="7"/>
      <c r="H308" s="10"/>
      <c r="S308" s="1"/>
      <c r="W308" s="7"/>
      <c r="X308" s="7"/>
      <c r="Y308" s="7"/>
      <c r="Z308" s="7"/>
      <c r="AA308" s="7"/>
      <c r="AB308" s="7"/>
    </row>
    <row r="309" ht="15.75" customHeight="1">
      <c r="E309" s="9"/>
      <c r="F309" s="7"/>
      <c r="G309" s="7"/>
      <c r="H309" s="10"/>
      <c r="S309" s="1"/>
      <c r="W309" s="7"/>
      <c r="X309" s="7"/>
      <c r="Y309" s="7"/>
      <c r="Z309" s="7"/>
      <c r="AA309" s="7"/>
      <c r="AB309" s="7"/>
    </row>
    <row r="310" ht="15.75" customHeight="1">
      <c r="E310" s="9"/>
      <c r="F310" s="7"/>
      <c r="G310" s="7"/>
      <c r="H310" s="10"/>
      <c r="S310" s="1"/>
      <c r="W310" s="7"/>
      <c r="X310" s="7"/>
      <c r="Y310" s="7"/>
      <c r="Z310" s="7"/>
      <c r="AA310" s="7"/>
      <c r="AB310" s="7"/>
    </row>
    <row r="311" ht="15.75" customHeight="1">
      <c r="E311" s="9"/>
      <c r="F311" s="7"/>
      <c r="G311" s="7"/>
      <c r="H311" s="10"/>
      <c r="S311" s="1"/>
      <c r="W311" s="7"/>
      <c r="X311" s="7"/>
      <c r="Y311" s="7"/>
      <c r="Z311" s="7"/>
      <c r="AA311" s="7"/>
      <c r="AB311" s="7"/>
    </row>
    <row r="312" ht="15.75" customHeight="1">
      <c r="E312" s="9"/>
      <c r="F312" s="7"/>
      <c r="G312" s="7"/>
      <c r="H312" s="10"/>
      <c r="S312" s="1"/>
      <c r="W312" s="7"/>
      <c r="X312" s="7"/>
      <c r="Y312" s="7"/>
      <c r="Z312" s="7"/>
      <c r="AA312" s="7"/>
      <c r="AB312" s="7"/>
    </row>
    <row r="313" ht="15.75" customHeight="1">
      <c r="E313" s="9"/>
      <c r="F313" s="7"/>
      <c r="G313" s="7"/>
      <c r="H313" s="10"/>
      <c r="S313" s="1"/>
      <c r="W313" s="7"/>
      <c r="X313" s="7"/>
      <c r="Y313" s="7"/>
      <c r="Z313" s="7"/>
      <c r="AA313" s="7"/>
      <c r="AB313" s="7"/>
    </row>
    <row r="314" ht="15.75" customHeight="1">
      <c r="E314" s="9"/>
      <c r="F314" s="7"/>
      <c r="G314" s="7"/>
      <c r="H314" s="10"/>
      <c r="S314" s="1"/>
      <c r="W314" s="7"/>
      <c r="X314" s="7"/>
      <c r="Y314" s="7"/>
      <c r="Z314" s="7"/>
      <c r="AA314" s="7"/>
      <c r="AB314" s="7"/>
    </row>
    <row r="315" ht="15.75" customHeight="1">
      <c r="E315" s="9"/>
      <c r="F315" s="7"/>
      <c r="G315" s="7"/>
      <c r="H315" s="10"/>
      <c r="S315" s="1"/>
      <c r="W315" s="7"/>
      <c r="X315" s="7"/>
      <c r="Y315" s="7"/>
      <c r="Z315" s="7"/>
      <c r="AA315" s="7"/>
      <c r="AB315" s="7"/>
    </row>
    <row r="316" ht="15.75" customHeight="1">
      <c r="E316" s="9"/>
      <c r="F316" s="7"/>
      <c r="G316" s="7"/>
      <c r="H316" s="10"/>
      <c r="S316" s="1"/>
      <c r="W316" s="7"/>
      <c r="X316" s="7"/>
      <c r="Y316" s="7"/>
      <c r="Z316" s="7"/>
      <c r="AA316" s="7"/>
      <c r="AB316" s="7"/>
    </row>
    <row r="317" ht="15.75" customHeight="1">
      <c r="E317" s="9"/>
      <c r="F317" s="7"/>
      <c r="G317" s="7"/>
      <c r="H317" s="10"/>
      <c r="S317" s="1"/>
      <c r="W317" s="7"/>
      <c r="X317" s="7"/>
      <c r="Y317" s="7"/>
      <c r="Z317" s="7"/>
      <c r="AA317" s="7"/>
      <c r="AB317" s="7"/>
    </row>
    <row r="318" ht="15.75" customHeight="1">
      <c r="E318" s="9"/>
      <c r="F318" s="7"/>
      <c r="G318" s="7"/>
      <c r="H318" s="10"/>
      <c r="S318" s="1"/>
      <c r="W318" s="7"/>
      <c r="X318" s="7"/>
      <c r="Y318" s="7"/>
      <c r="Z318" s="7"/>
      <c r="AA318" s="7"/>
      <c r="AB318" s="7"/>
    </row>
    <row r="319" ht="15.75" customHeight="1">
      <c r="E319" s="9"/>
      <c r="F319" s="7"/>
      <c r="G319" s="7"/>
      <c r="H319" s="10"/>
      <c r="S319" s="1"/>
      <c r="W319" s="7"/>
      <c r="X319" s="7"/>
      <c r="Y319" s="7"/>
      <c r="Z319" s="7"/>
      <c r="AA319" s="7"/>
      <c r="AB319" s="7"/>
    </row>
    <row r="320" ht="15.75" customHeight="1">
      <c r="E320" s="9"/>
      <c r="F320" s="7"/>
      <c r="G320" s="7"/>
      <c r="H320" s="10"/>
      <c r="S320" s="1"/>
      <c r="W320" s="7"/>
      <c r="X320" s="7"/>
      <c r="Y320" s="7"/>
      <c r="Z320" s="7"/>
      <c r="AA320" s="7"/>
      <c r="AB320" s="7"/>
    </row>
    <row r="321" ht="15.75" customHeight="1">
      <c r="E321" s="9"/>
      <c r="F321" s="7"/>
      <c r="G321" s="7"/>
      <c r="H321" s="10"/>
      <c r="S321" s="1"/>
      <c r="W321" s="7"/>
      <c r="X321" s="7"/>
      <c r="Y321" s="7"/>
      <c r="Z321" s="7"/>
      <c r="AA321" s="7"/>
      <c r="AB321" s="7"/>
    </row>
    <row r="322" ht="15.75" customHeight="1">
      <c r="E322" s="9"/>
      <c r="F322" s="7"/>
      <c r="G322" s="7"/>
      <c r="H322" s="10"/>
      <c r="S322" s="1"/>
      <c r="W322" s="7"/>
      <c r="X322" s="7"/>
      <c r="Y322" s="7"/>
      <c r="Z322" s="7"/>
      <c r="AA322" s="7"/>
      <c r="AB322" s="7"/>
    </row>
    <row r="323" ht="15.75" customHeight="1">
      <c r="E323" s="9"/>
      <c r="F323" s="7"/>
      <c r="G323" s="7"/>
      <c r="H323" s="10"/>
      <c r="S323" s="1"/>
      <c r="W323" s="7"/>
      <c r="X323" s="7"/>
      <c r="Y323" s="7"/>
      <c r="Z323" s="7"/>
      <c r="AA323" s="7"/>
      <c r="AB323" s="7"/>
    </row>
    <row r="324" ht="15.75" customHeight="1">
      <c r="E324" s="9"/>
      <c r="F324" s="7"/>
      <c r="G324" s="7"/>
      <c r="H324" s="10"/>
      <c r="S324" s="1"/>
      <c r="W324" s="7"/>
      <c r="X324" s="7"/>
      <c r="Y324" s="7"/>
      <c r="Z324" s="7"/>
      <c r="AA324" s="7"/>
      <c r="AB324" s="7"/>
    </row>
    <row r="325" ht="15.75" customHeight="1">
      <c r="E325" s="9"/>
      <c r="F325" s="7"/>
      <c r="G325" s="7"/>
      <c r="H325" s="10"/>
      <c r="S325" s="1"/>
      <c r="W325" s="7"/>
      <c r="X325" s="7"/>
      <c r="Y325" s="7"/>
      <c r="Z325" s="7"/>
      <c r="AA325" s="7"/>
      <c r="AB325" s="7"/>
    </row>
    <row r="326" ht="15.75" customHeight="1">
      <c r="E326" s="9"/>
      <c r="F326" s="7"/>
      <c r="G326" s="7"/>
      <c r="H326" s="10"/>
      <c r="S326" s="1"/>
      <c r="W326" s="7"/>
      <c r="X326" s="7"/>
      <c r="Y326" s="7"/>
      <c r="Z326" s="7"/>
      <c r="AA326" s="7"/>
      <c r="AB326" s="7"/>
    </row>
    <row r="327" ht="15.75" customHeight="1">
      <c r="E327" s="9"/>
      <c r="F327" s="7"/>
      <c r="G327" s="7"/>
      <c r="H327" s="10"/>
      <c r="S327" s="1"/>
      <c r="W327" s="7"/>
      <c r="X327" s="7"/>
      <c r="Y327" s="7"/>
      <c r="Z327" s="7"/>
      <c r="AA327" s="7"/>
      <c r="AB327" s="7"/>
    </row>
    <row r="328" ht="15.75" customHeight="1">
      <c r="E328" s="9"/>
      <c r="F328" s="7"/>
      <c r="G328" s="7"/>
      <c r="H328" s="10"/>
      <c r="S328" s="1"/>
      <c r="W328" s="7"/>
      <c r="X328" s="7"/>
      <c r="Y328" s="7"/>
      <c r="Z328" s="7"/>
      <c r="AA328" s="7"/>
      <c r="AB328" s="7"/>
    </row>
    <row r="329" ht="15.75" customHeight="1">
      <c r="E329" s="9"/>
      <c r="F329" s="7"/>
      <c r="G329" s="7"/>
      <c r="H329" s="10"/>
      <c r="S329" s="1"/>
      <c r="W329" s="7"/>
      <c r="X329" s="7"/>
      <c r="Y329" s="7"/>
      <c r="Z329" s="7"/>
      <c r="AA329" s="7"/>
      <c r="AB329" s="7"/>
    </row>
    <row r="330" ht="15.75" customHeight="1">
      <c r="E330" s="9"/>
      <c r="F330" s="7"/>
      <c r="G330" s="7"/>
      <c r="H330" s="10"/>
      <c r="S330" s="1"/>
      <c r="W330" s="7"/>
      <c r="X330" s="7"/>
      <c r="Y330" s="7"/>
      <c r="Z330" s="7"/>
      <c r="AA330" s="7"/>
      <c r="AB330" s="7"/>
    </row>
    <row r="331" ht="15.75" customHeight="1">
      <c r="E331" s="9"/>
      <c r="F331" s="7"/>
      <c r="G331" s="7"/>
      <c r="H331" s="10"/>
      <c r="S331" s="1"/>
      <c r="W331" s="7"/>
      <c r="X331" s="7"/>
      <c r="Y331" s="7"/>
      <c r="Z331" s="7"/>
      <c r="AA331" s="7"/>
      <c r="AB331" s="7"/>
    </row>
    <row r="332" ht="15.75" customHeight="1">
      <c r="E332" s="9"/>
      <c r="F332" s="7"/>
      <c r="G332" s="7"/>
      <c r="H332" s="10"/>
      <c r="S332" s="1"/>
      <c r="W332" s="7"/>
      <c r="X332" s="7"/>
      <c r="Y332" s="7"/>
      <c r="Z332" s="7"/>
      <c r="AA332" s="7"/>
      <c r="AB332" s="7"/>
    </row>
    <row r="333" ht="15.75" customHeight="1">
      <c r="E333" s="9"/>
      <c r="F333" s="7"/>
      <c r="G333" s="7"/>
      <c r="H333" s="10"/>
      <c r="S333" s="1"/>
      <c r="W333" s="7"/>
      <c r="X333" s="7"/>
      <c r="Y333" s="7"/>
      <c r="Z333" s="7"/>
      <c r="AA333" s="7"/>
      <c r="AB333" s="7"/>
    </row>
    <row r="334" ht="15.75" customHeight="1">
      <c r="E334" s="9"/>
      <c r="F334" s="7"/>
      <c r="G334" s="7"/>
      <c r="H334" s="10"/>
      <c r="S334" s="1"/>
      <c r="W334" s="7"/>
      <c r="X334" s="7"/>
      <c r="Y334" s="7"/>
      <c r="Z334" s="7"/>
      <c r="AA334" s="7"/>
      <c r="AB334" s="7"/>
    </row>
    <row r="335" ht="15.75" customHeight="1">
      <c r="E335" s="9"/>
      <c r="F335" s="7"/>
      <c r="G335" s="7"/>
      <c r="H335" s="10"/>
      <c r="S335" s="1"/>
      <c r="W335" s="7"/>
      <c r="X335" s="7"/>
      <c r="Y335" s="7"/>
      <c r="Z335" s="7"/>
      <c r="AA335" s="7"/>
      <c r="AB335" s="7"/>
    </row>
    <row r="336" ht="15.75" customHeight="1">
      <c r="E336" s="9"/>
      <c r="F336" s="7"/>
      <c r="G336" s="7"/>
      <c r="H336" s="10"/>
      <c r="S336" s="1"/>
      <c r="W336" s="7"/>
      <c r="X336" s="7"/>
      <c r="Y336" s="7"/>
      <c r="Z336" s="7"/>
      <c r="AA336" s="7"/>
      <c r="AB336" s="7"/>
    </row>
    <row r="337" ht="15.75" customHeight="1">
      <c r="E337" s="9"/>
      <c r="F337" s="7"/>
      <c r="G337" s="7"/>
      <c r="H337" s="10"/>
      <c r="S337" s="1"/>
      <c r="W337" s="7"/>
      <c r="X337" s="7"/>
      <c r="Y337" s="7"/>
      <c r="Z337" s="7"/>
      <c r="AA337" s="7"/>
      <c r="AB337" s="7"/>
    </row>
    <row r="338" ht="15.75" customHeight="1">
      <c r="E338" s="9"/>
      <c r="F338" s="7"/>
      <c r="G338" s="7"/>
      <c r="H338" s="10"/>
      <c r="S338" s="1"/>
      <c r="W338" s="7"/>
      <c r="X338" s="7"/>
      <c r="Y338" s="7"/>
      <c r="Z338" s="7"/>
      <c r="AA338" s="7"/>
      <c r="AB338" s="7"/>
    </row>
    <row r="339" ht="15.75" customHeight="1">
      <c r="E339" s="9"/>
      <c r="F339" s="7"/>
      <c r="G339" s="7"/>
      <c r="H339" s="10"/>
      <c r="S339" s="1"/>
      <c r="W339" s="7"/>
      <c r="X339" s="7"/>
      <c r="Y339" s="7"/>
      <c r="Z339" s="7"/>
      <c r="AA339" s="7"/>
      <c r="AB339" s="7"/>
    </row>
    <row r="340" ht="15.75" customHeight="1">
      <c r="E340" s="9"/>
      <c r="F340" s="7"/>
      <c r="G340" s="7"/>
      <c r="H340" s="10"/>
      <c r="S340" s="1"/>
      <c r="W340" s="7"/>
      <c r="X340" s="7"/>
      <c r="Y340" s="7"/>
      <c r="Z340" s="7"/>
      <c r="AA340" s="7"/>
      <c r="AB340" s="7"/>
    </row>
    <row r="341" ht="15.75" customHeight="1">
      <c r="E341" s="9"/>
      <c r="F341" s="7"/>
      <c r="G341" s="7"/>
      <c r="H341" s="10"/>
      <c r="S341" s="1"/>
      <c r="W341" s="7"/>
      <c r="X341" s="7"/>
      <c r="Y341" s="7"/>
      <c r="Z341" s="7"/>
      <c r="AA341" s="7"/>
      <c r="AB341" s="7"/>
    </row>
    <row r="342" ht="15.75" customHeight="1">
      <c r="E342" s="9"/>
      <c r="F342" s="7"/>
      <c r="G342" s="7"/>
      <c r="H342" s="10"/>
      <c r="S342" s="1"/>
      <c r="W342" s="7"/>
      <c r="X342" s="7"/>
      <c r="Y342" s="7"/>
      <c r="Z342" s="7"/>
      <c r="AA342" s="7"/>
      <c r="AB342" s="7"/>
    </row>
    <row r="343" ht="15.75" customHeight="1">
      <c r="E343" s="9"/>
      <c r="F343" s="7"/>
      <c r="G343" s="7"/>
      <c r="H343" s="10"/>
      <c r="S343" s="1"/>
      <c r="W343" s="7"/>
      <c r="X343" s="7"/>
      <c r="Y343" s="7"/>
      <c r="Z343" s="7"/>
      <c r="AA343" s="7"/>
      <c r="AB343" s="7"/>
    </row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96.75"/>
    <col customWidth="1" min="2" max="2" width="32.63"/>
    <col customWidth="1" min="3" max="3" width="45.38"/>
    <col customWidth="1" min="4" max="6" width="12.63"/>
    <col customWidth="1" min="7" max="7" width="45.38"/>
    <col customWidth="1" min="11" max="11" width="15.38"/>
    <col customWidth="1" min="14" max="14" width="54.13"/>
    <col customWidth="1" min="15" max="15" width="53.75"/>
    <col customWidth="1" min="16" max="16" width="46.75"/>
    <col customWidth="1" min="17" max="17" width="42.88"/>
    <col customWidth="1" min="18" max="19" width="50.0"/>
  </cols>
  <sheetData>
    <row r="1" ht="15.75" customHeight="1">
      <c r="A1" s="16" t="s">
        <v>44</v>
      </c>
      <c r="K1" s="1"/>
      <c r="N1" s="17" t="s">
        <v>925</v>
      </c>
      <c r="O1" s="2" t="s">
        <v>1491</v>
      </c>
      <c r="P1" s="18" t="s">
        <v>1492</v>
      </c>
      <c r="Q1" s="2" t="s">
        <v>1493</v>
      </c>
      <c r="R1" s="2" t="s">
        <v>1494</v>
      </c>
      <c r="S1" s="2" t="s">
        <v>1495</v>
      </c>
    </row>
    <row r="2" ht="15.75" customHeight="1">
      <c r="A2" s="14" t="s">
        <v>712</v>
      </c>
      <c r="B2" s="2" t="str">
        <f>IFERROR(__xludf.DUMMYFUNCTION("SPLIT(A2,""("")"),"Ar. Luva Nahid Chowdhury ")</f>
        <v>Ar. Luva Nahid Chowdhury </v>
      </c>
      <c r="C2" s="2" t="str">
        <f>IFERROR(__xludf.DUMMYFUNCTION("""COMPUTED_VALUE"""),"C-018) Managing Director")</f>
        <v>C-018) Managing Director</v>
      </c>
      <c r="G2" s="2" t="s">
        <v>1496</v>
      </c>
      <c r="H2" s="2" t="str">
        <f>IFERROR(__xludf.DUMMYFUNCTION("split(G2,"")"")"),"C-018")</f>
        <v>C-018</v>
      </c>
      <c r="I2" s="2" t="str">
        <f>IFERROR(__xludf.DUMMYFUNCTION("""COMPUTED_VALUE""")," Managing Director")</f>
        <v> Managing Director</v>
      </c>
      <c r="J2" s="2" t="s">
        <v>1497</v>
      </c>
      <c r="K2" s="1" t="str">
        <f>IFERROR(__xludf.DUMMYFUNCTION("SPLIT(J2,""&amp;"")")," Managing Director")</f>
        <v> Managing Director</v>
      </c>
      <c r="N2" s="19" t="s">
        <v>711</v>
      </c>
      <c r="O2" s="2" t="str">
        <f>IFERROR(__xludf.DUMMYFUNCTION("SPLIT(N2,""+"")"),"Website : www.abashan.com Contact: ")</f>
        <v>Website : www.abashan.com Contact: </v>
      </c>
      <c r="P2" s="18" t="str">
        <f>IFERROR(__xludf.DUMMYFUNCTION("""COMPUTED_VALUE"""),"88-02-8901185, 8901180")</f>
        <v>88-02-8901185, 8901180</v>
      </c>
      <c r="Q2" s="18" t="s">
        <v>1498</v>
      </c>
      <c r="R2" s="2" t="str">
        <f t="shared" ref="R2:R143" si="1">JOIN("_",P2,Q2)</f>
        <v>88-02-8901185, 8901180_N/A</v>
      </c>
      <c r="S2" s="18" t="s">
        <v>1499</v>
      </c>
    </row>
    <row r="3" ht="15.75" customHeight="1">
      <c r="A3" s="14" t="s">
        <v>717</v>
      </c>
      <c r="B3" s="2" t="str">
        <f>IFERROR(__xludf.DUMMYFUNCTION("SPLIT(A3,""("")"),"Ar. Md. Sayedul Hasan ")</f>
        <v>Ar. Md. Sayedul Hasan </v>
      </c>
      <c r="C3" s="2" t="str">
        <f>IFERROR(__xludf.DUMMYFUNCTION("""COMPUTED_VALUE"""),"H-103) Principal Architect")</f>
        <v>H-103) Principal Architect</v>
      </c>
      <c r="G3" s="2" t="s">
        <v>1500</v>
      </c>
      <c r="H3" s="2" t="str">
        <f>IFERROR(__xludf.DUMMYFUNCTION("split(G3,"")"")"),"H-103")</f>
        <v>H-103</v>
      </c>
      <c r="I3" s="2" t="str">
        <f>IFERROR(__xludf.DUMMYFUNCTION("""COMPUTED_VALUE""")," Principal Architect")</f>
        <v> Principal Architect</v>
      </c>
      <c r="J3" s="2" t="s">
        <v>1501</v>
      </c>
      <c r="K3" s="1" t="str">
        <f>IFERROR(__xludf.DUMMYFUNCTION("SPLIT(J3,""&amp;"")")," Principal Architect")</f>
        <v> Principal Architect</v>
      </c>
      <c r="N3" s="19" t="s">
        <v>936</v>
      </c>
      <c r="O3" s="2" t="str">
        <f>IFERROR(__xludf.DUMMYFUNCTION("SPLIT(N3,""+"")"),"website:")</f>
        <v>website:</v>
      </c>
      <c r="P3" s="18"/>
      <c r="Q3" s="18" t="s">
        <v>1502</v>
      </c>
      <c r="R3" s="2" t="str">
        <f t="shared" si="1"/>
        <v>_ +88-02-8950536</v>
      </c>
      <c r="S3" s="18" t="s">
        <v>1502</v>
      </c>
    </row>
    <row r="4" ht="15.75" customHeight="1">
      <c r="A4" s="14" t="s">
        <v>724</v>
      </c>
      <c r="B4" s="2" t="str">
        <f>IFERROR(__xludf.DUMMYFUNCTION("SPLIT(A4,""("")"),"Ar. Monir Hossain Khan ")</f>
        <v>Ar. Monir Hossain Khan </v>
      </c>
      <c r="C4" s="2" t="str">
        <f>IFERROR(__xludf.DUMMYFUNCTION("""COMPUTED_VALUE"""),"K-104) Architect")</f>
        <v>K-104) Architect</v>
      </c>
      <c r="G4" s="2" t="s">
        <v>1503</v>
      </c>
      <c r="H4" s="2" t="str">
        <f>IFERROR(__xludf.DUMMYFUNCTION("split(G4,"")"")"),"K-104")</f>
        <v>K-104</v>
      </c>
      <c r="I4" s="2" t="str">
        <f>IFERROR(__xludf.DUMMYFUNCTION("""COMPUTED_VALUE""")," Architect")</f>
        <v> Architect</v>
      </c>
      <c r="J4" s="2" t="s">
        <v>1504</v>
      </c>
      <c r="K4" s="1" t="str">
        <f>IFERROR(__xludf.DUMMYFUNCTION("SPLIT(J4,""&amp;"")")," Architect")</f>
        <v> Architect</v>
      </c>
      <c r="N4" s="19" t="s">
        <v>723</v>
      </c>
      <c r="O4" s="2" t="str">
        <f>IFERROR(__xludf.DUMMYFUNCTION("SPLIT(N4,""+"")"),"Website : www.akritybd.com Contact: ")</f>
        <v>Website : www.akritybd.com Contact: </v>
      </c>
      <c r="P4" s="18" t="str">
        <f>IFERROR(__xludf.DUMMYFUNCTION("""COMPUTED_VALUE"""),"88-02-9111557")</f>
        <v>88-02-9111557</v>
      </c>
      <c r="Q4" s="18" t="s">
        <v>1498</v>
      </c>
      <c r="R4" s="2" t="str">
        <f t="shared" si="1"/>
        <v>88-02-9111557_N/A</v>
      </c>
      <c r="S4" s="18" t="s">
        <v>1505</v>
      </c>
    </row>
    <row r="5" ht="15.75" customHeight="1">
      <c r="A5" s="14" t="s">
        <v>729</v>
      </c>
      <c r="B5" s="2" t="str">
        <f>IFERROR(__xludf.DUMMYFUNCTION("SPLIT(A5,""("")"),"Ar. Anwarul Haq Chow ")</f>
        <v>Ar. Anwarul Haq Chow </v>
      </c>
      <c r="C5" s="2" t="str">
        <f>IFERROR(__xludf.DUMMYFUNCTION("""COMPUTED_VALUE"""),"C-021) Principal Architect")</f>
        <v>C-021) Principal Architect</v>
      </c>
      <c r="G5" s="2" t="s">
        <v>1506</v>
      </c>
      <c r="H5" s="2" t="str">
        <f>IFERROR(__xludf.DUMMYFUNCTION("split(G5,"")"")"),"C-021")</f>
        <v>C-021</v>
      </c>
      <c r="I5" s="2" t="str">
        <f>IFERROR(__xludf.DUMMYFUNCTION("""COMPUTED_VALUE""")," Principal Architect")</f>
        <v> Principal Architect</v>
      </c>
      <c r="J5" s="2" t="s">
        <v>1501</v>
      </c>
      <c r="K5" s="1" t="str">
        <f>IFERROR(__xludf.DUMMYFUNCTION("SPLIT(J5,""&amp;"")")," Principal Architect")</f>
        <v> Principal Architect</v>
      </c>
      <c r="N5" s="19" t="s">
        <v>936</v>
      </c>
      <c r="O5" s="2" t="str">
        <f>IFERROR(__xludf.DUMMYFUNCTION("SPLIT(N5,""+"")"),"website:")</f>
        <v>website:</v>
      </c>
      <c r="P5" s="18"/>
      <c r="Q5" s="18" t="s">
        <v>1507</v>
      </c>
      <c r="R5" s="2" t="str">
        <f t="shared" si="1"/>
        <v>_ +88-02-8837313</v>
      </c>
      <c r="S5" s="18" t="s">
        <v>1507</v>
      </c>
    </row>
    <row r="6" ht="15.75" customHeight="1">
      <c r="A6" s="14" t="s">
        <v>736</v>
      </c>
      <c r="B6" s="2" t="str">
        <f>IFERROR(__xludf.DUMMYFUNCTION("SPLIT(A6,""("")"),"Ar. Nahas Ahmed khalil ")</f>
        <v>Ar. Nahas Ahmed khalil </v>
      </c>
      <c r="C6" s="2" t="str">
        <f>IFERROR(__xludf.DUMMYFUNCTION("""COMPUTED_VALUE"""),"K-022) Principal Architect")</f>
        <v>K-022) Principal Architect</v>
      </c>
      <c r="G6" s="2" t="s">
        <v>1508</v>
      </c>
      <c r="H6" s="2" t="str">
        <f>IFERROR(__xludf.DUMMYFUNCTION("split(G6,"")"")"),"K-022")</f>
        <v>K-022</v>
      </c>
      <c r="I6" s="2" t="str">
        <f>IFERROR(__xludf.DUMMYFUNCTION("""COMPUTED_VALUE""")," Principal Architect")</f>
        <v> Principal Architect</v>
      </c>
      <c r="J6" s="2" t="s">
        <v>1501</v>
      </c>
      <c r="K6" s="1" t="str">
        <f>IFERROR(__xludf.DUMMYFUNCTION("SPLIT(J6,""&amp;"")")," Principal Architect")</f>
        <v> Principal Architect</v>
      </c>
      <c r="N6" s="19" t="s">
        <v>735</v>
      </c>
      <c r="O6" s="2" t="str">
        <f>IFERROR(__xludf.DUMMYFUNCTION("SPLIT(N6,""+"")"),"Website : Contact: ")</f>
        <v>Website : Contact: </v>
      </c>
      <c r="P6" s="18" t="str">
        <f>IFERROR(__xludf.DUMMYFUNCTION("""COMPUTED_VALUE"""),"88-02-8117462")</f>
        <v>88-02-8117462</v>
      </c>
      <c r="Q6" s="18" t="s">
        <v>1498</v>
      </c>
      <c r="R6" s="2" t="str">
        <f t="shared" si="1"/>
        <v>88-02-8117462_N/A</v>
      </c>
      <c r="S6" s="18" t="s">
        <v>1509</v>
      </c>
    </row>
    <row r="7" ht="15.75" customHeight="1">
      <c r="A7" s="14" t="s">
        <v>971</v>
      </c>
      <c r="B7" s="2" t="str">
        <f>IFERROR(__xludf.DUMMYFUNCTION("SPLIT(A7,""("")"),"Ar. Quazi Fahima Naz ")</f>
        <v>Ar. Quazi Fahima Naz </v>
      </c>
      <c r="C7" s="2" t="str">
        <f>IFERROR(__xludf.DUMMYFUNCTION("""COMPUTED_VALUE"""),"N-024) Partner Architect &amp; Ar. Subrata CH.Sikder ")</f>
        <v>N-024) Partner Architect &amp; Ar. Subrata CH.Sikder </v>
      </c>
      <c r="D7" s="2" t="str">
        <f>IFERROR(__xludf.DUMMYFUNCTION("""COMPUTED_VALUE"""),"S-112) Partner Architect")</f>
        <v>S-112) Partner Architect</v>
      </c>
      <c r="G7" s="2" t="s">
        <v>1510</v>
      </c>
      <c r="H7" s="2" t="str">
        <f>IFERROR(__xludf.DUMMYFUNCTION("split(G7,"")"")"),"N-024")</f>
        <v>N-024</v>
      </c>
      <c r="I7" s="2" t="str">
        <f>IFERROR(__xludf.DUMMYFUNCTION("""COMPUTED_VALUE""")," Partner Architect &amp; Ar. Subrata CH.Sikder ")</f>
        <v> Partner Architect &amp; Ar. Subrata CH.Sikder </v>
      </c>
      <c r="J7" s="2" t="s">
        <v>1511</v>
      </c>
      <c r="K7" s="1" t="str">
        <f>IFERROR(__xludf.DUMMYFUNCTION("SPLIT(J7,""&amp;"")")," Partner Architect ")</f>
        <v> Partner Architect </v>
      </c>
      <c r="L7" s="2" t="str">
        <f>IFERROR(__xludf.DUMMYFUNCTION("""COMPUTED_VALUE""")," Ar. Subrata CH.Sikder ")</f>
        <v> Ar. Subrata CH.Sikder </v>
      </c>
      <c r="N7" s="19" t="s">
        <v>936</v>
      </c>
      <c r="O7" s="2" t="str">
        <f>IFERROR(__xludf.DUMMYFUNCTION("SPLIT(N7,""+"")"),"website:")</f>
        <v>website:</v>
      </c>
      <c r="P7" s="18"/>
      <c r="Q7" s="18" t="s">
        <v>1512</v>
      </c>
      <c r="R7" s="2" t="str">
        <f t="shared" si="1"/>
        <v>_ 01816506988, 01816506989</v>
      </c>
      <c r="S7" s="18" t="s">
        <v>1512</v>
      </c>
    </row>
    <row r="8" ht="15.75" customHeight="1">
      <c r="A8" s="14" t="s">
        <v>972</v>
      </c>
      <c r="B8" s="2" t="str">
        <f>IFERROR(__xludf.DUMMYFUNCTION("SPLIT(A8,""("")"),"Ar. Nabi Newaz Khan ")</f>
        <v>Ar. Nabi Newaz Khan </v>
      </c>
      <c r="C8" s="2" t="str">
        <f>IFERROR(__xludf.DUMMYFUNCTION("""COMPUTED_VALUE"""),"K-106) Chairman &amp; Ar. Lutfullahil Majid ")</f>
        <v>K-106) Chairman &amp; Ar. Lutfullahil Majid </v>
      </c>
      <c r="D8" s="2" t="str">
        <f>IFERROR(__xludf.DUMMYFUNCTION("""COMPUTED_VALUE"""),"M-076) Managing Director &amp; Ar. Md. Jubair Hasan ")</f>
        <v>M-076) Managing Director &amp; Ar. Md. Jubair Hasan </v>
      </c>
      <c r="E8" s="2" t="str">
        <f>IFERROR(__xludf.DUMMYFUNCTION("""COMPUTED_VALUE"""),"H-163) Director")</f>
        <v>H-163) Director</v>
      </c>
      <c r="G8" s="2" t="s">
        <v>1513</v>
      </c>
      <c r="H8" s="2" t="str">
        <f>IFERROR(__xludf.DUMMYFUNCTION("split(G8,"")"")"),"K-106")</f>
        <v>K-106</v>
      </c>
      <c r="I8" s="2" t="str">
        <f>IFERROR(__xludf.DUMMYFUNCTION("""COMPUTED_VALUE""")," Chairman &amp; Ar. Lutfullahil Majid ")</f>
        <v> Chairman &amp; Ar. Lutfullahil Majid </v>
      </c>
      <c r="J8" s="2" t="s">
        <v>1514</v>
      </c>
      <c r="K8" s="1" t="str">
        <f>IFERROR(__xludf.DUMMYFUNCTION("SPLIT(J8,""&amp;"")")," Chairman ")</f>
        <v> Chairman </v>
      </c>
      <c r="L8" s="2" t="str">
        <f>IFERROR(__xludf.DUMMYFUNCTION("""COMPUTED_VALUE""")," Ar. Lutfullahil Majid ")</f>
        <v> Ar. Lutfullahil Majid </v>
      </c>
      <c r="N8" s="19" t="s">
        <v>748</v>
      </c>
      <c r="O8" s="2" t="str">
        <f>IFERROR(__xludf.DUMMYFUNCTION("SPLIT(N8,""+"")"),"Website : www.archeground.com Contact: ")</f>
        <v>Website : www.archeground.com Contact: </v>
      </c>
      <c r="P8" s="18" t="str">
        <f>IFERROR(__xludf.DUMMYFUNCTION("""COMPUTED_VALUE"""),"88-02-9138516")</f>
        <v>88-02-9138516</v>
      </c>
      <c r="Q8" s="18" t="s">
        <v>1498</v>
      </c>
      <c r="R8" s="2" t="str">
        <f t="shared" si="1"/>
        <v>88-02-9138516_N/A</v>
      </c>
      <c r="S8" s="18" t="s">
        <v>1515</v>
      </c>
    </row>
    <row r="9" ht="15.75" customHeight="1">
      <c r="A9" s="14" t="s">
        <v>973</v>
      </c>
      <c r="B9" s="2" t="str">
        <f>IFERROR(__xludf.DUMMYFUNCTION("SPLIT(A9,""("")"),"Ar. Syeda Nitee Mahbub ")</f>
        <v>Ar. Syeda Nitee Mahbub </v>
      </c>
      <c r="C9" s="2" t="str">
        <f>IFERROR(__xludf.DUMMYFUNCTION("""COMPUTED_VALUE"""),"M-090) Partner &amp; Ar. Wares-Ul-Ambia ")</f>
        <v>M-090) Partner &amp; Ar. Wares-Ul-Ambia </v>
      </c>
      <c r="D9" s="2" t="str">
        <f>IFERROR(__xludf.DUMMYFUNCTION("""COMPUTED_VALUE"""),"A-145) Partner")</f>
        <v>A-145) Partner</v>
      </c>
      <c r="G9" s="2" t="s">
        <v>1516</v>
      </c>
      <c r="H9" s="2" t="str">
        <f>IFERROR(__xludf.DUMMYFUNCTION("split(G9,"")"")"),"M-090")</f>
        <v>M-090</v>
      </c>
      <c r="I9" s="2" t="str">
        <f>IFERROR(__xludf.DUMMYFUNCTION("""COMPUTED_VALUE""")," Partner &amp; Ar. Wares-Ul-Ambia ")</f>
        <v> Partner &amp; Ar. Wares-Ul-Ambia </v>
      </c>
      <c r="J9" s="2" t="s">
        <v>1517</v>
      </c>
      <c r="K9" s="1" t="str">
        <f>IFERROR(__xludf.DUMMYFUNCTION("SPLIT(J9,""&amp;"")")," Partner ")</f>
        <v> Partner </v>
      </c>
      <c r="L9" s="2" t="str">
        <f>IFERROR(__xludf.DUMMYFUNCTION("""COMPUTED_VALUE""")," Ar. Wares-Ul-Ambia ")</f>
        <v> Ar. Wares-Ul-Ambia </v>
      </c>
      <c r="N9" s="19" t="s">
        <v>936</v>
      </c>
      <c r="O9" s="2" t="str">
        <f>IFERROR(__xludf.DUMMYFUNCTION("SPLIT(N9,""+"")"),"website:")</f>
        <v>website:</v>
      </c>
      <c r="P9" s="18"/>
      <c r="Q9" s="18" t="s">
        <v>1518</v>
      </c>
      <c r="R9" s="2" t="str">
        <f t="shared" si="1"/>
        <v>_ 01713338002, 01819117710</v>
      </c>
      <c r="S9" s="18" t="s">
        <v>1518</v>
      </c>
    </row>
    <row r="10" ht="15.75" customHeight="1">
      <c r="A10" s="14" t="s">
        <v>764</v>
      </c>
      <c r="B10" s="2" t="str">
        <f>IFERROR(__xludf.DUMMYFUNCTION("SPLIT(A10,""("")"),"Ar. Md. Hasan Shams Uddin ")</f>
        <v>Ar. Md. Hasan Shams Uddin </v>
      </c>
      <c r="C10" s="2" t="str">
        <f>IFERROR(__xludf.DUMMYFUNCTION("""COMPUTED_VALUE"""),"S-014) Managing Director")</f>
        <v>S-014) Managing Director</v>
      </c>
      <c r="G10" s="2" t="s">
        <v>1519</v>
      </c>
      <c r="H10" s="2" t="str">
        <f>IFERROR(__xludf.DUMMYFUNCTION("split(G10,"")"")"),"S-014")</f>
        <v>S-014</v>
      </c>
      <c r="I10" s="2" t="str">
        <f>IFERROR(__xludf.DUMMYFUNCTION("""COMPUTED_VALUE""")," Managing Director")</f>
        <v> Managing Director</v>
      </c>
      <c r="J10" s="2" t="s">
        <v>1497</v>
      </c>
      <c r="K10" s="1" t="str">
        <f>IFERROR(__xludf.DUMMYFUNCTION("SPLIT(J10,""&amp;"")")," Managing Director")</f>
        <v> Managing Director</v>
      </c>
      <c r="N10" s="19" t="s">
        <v>936</v>
      </c>
      <c r="O10" s="2" t="str">
        <f>IFERROR(__xludf.DUMMYFUNCTION("SPLIT(N10,""+"")"),"website:")</f>
        <v>website:</v>
      </c>
      <c r="P10" s="18"/>
      <c r="Q10" s="18" t="s">
        <v>1520</v>
      </c>
      <c r="R10" s="2" t="str">
        <f t="shared" si="1"/>
        <v>_ +88-02-8125830</v>
      </c>
      <c r="S10" s="18" t="s">
        <v>1520</v>
      </c>
    </row>
    <row r="11" ht="15.75" customHeight="1">
      <c r="A11" s="14" t="s">
        <v>769</v>
      </c>
      <c r="B11" s="2" t="str">
        <f>IFERROR(__xludf.DUMMYFUNCTION("SPLIT(A11,""("")"),"Ar. S.M. Helaluddin Ahmed ")</f>
        <v>Ar. S.M. Helaluddin Ahmed </v>
      </c>
      <c r="C11" s="2" t="str">
        <f>IFERROR(__xludf.DUMMYFUNCTION("""COMPUTED_VALUE"""),"A-101) Proprietor")</f>
        <v>A-101) Proprietor</v>
      </c>
      <c r="G11" s="2" t="s">
        <v>1521</v>
      </c>
      <c r="H11" s="2" t="str">
        <f>IFERROR(__xludf.DUMMYFUNCTION("split(G11,"")"")"),"A-101")</f>
        <v>A-101</v>
      </c>
      <c r="I11" s="2" t="str">
        <f>IFERROR(__xludf.DUMMYFUNCTION("""COMPUTED_VALUE""")," Proprietor")</f>
        <v> Proprietor</v>
      </c>
      <c r="J11" s="2" t="s">
        <v>1522</v>
      </c>
      <c r="K11" s="1" t="str">
        <f>IFERROR(__xludf.DUMMYFUNCTION("SPLIT(J11,""&amp;"")")," Proprietor")</f>
        <v> Proprietor</v>
      </c>
      <c r="N11" s="19" t="s">
        <v>936</v>
      </c>
      <c r="O11" s="2" t="str">
        <f>IFERROR(__xludf.DUMMYFUNCTION("SPLIT(N11,""+"")"),"website:")</f>
        <v>website:</v>
      </c>
      <c r="P11" s="18"/>
      <c r="Q11" s="18" t="s">
        <v>1523</v>
      </c>
      <c r="R11" s="2" t="str">
        <f t="shared" si="1"/>
        <v>_ 044-78004350, 044-78004353</v>
      </c>
      <c r="S11" s="18" t="s">
        <v>1523</v>
      </c>
    </row>
    <row r="12" ht="15.75" customHeight="1">
      <c r="A12" s="14" t="s">
        <v>775</v>
      </c>
      <c r="B12" s="2" t="str">
        <f>IFERROR(__xludf.DUMMYFUNCTION("SPLIT(A12,""("")"),"Ar. Mohammad Arefeen Ibrahim ")</f>
        <v>Ar. Mohammad Arefeen Ibrahim </v>
      </c>
      <c r="C12" s="2" t="str">
        <f>IFERROR(__xludf.DUMMYFUNCTION("""COMPUTED_VALUE"""),"I-047) Proprietor")</f>
        <v>I-047) Proprietor</v>
      </c>
      <c r="G12" s="2" t="s">
        <v>1524</v>
      </c>
      <c r="H12" s="2" t="str">
        <f>IFERROR(__xludf.DUMMYFUNCTION("split(G12,"")"")"),"I-047")</f>
        <v>I-047</v>
      </c>
      <c r="I12" s="2" t="str">
        <f>IFERROR(__xludf.DUMMYFUNCTION("""COMPUTED_VALUE""")," Proprietor")</f>
        <v> Proprietor</v>
      </c>
      <c r="J12" s="2" t="s">
        <v>1522</v>
      </c>
      <c r="K12" s="1" t="str">
        <f>IFERROR(__xludf.DUMMYFUNCTION("SPLIT(J12,""&amp;"")")," Proprietor")</f>
        <v> Proprietor</v>
      </c>
      <c r="N12" s="19" t="s">
        <v>774</v>
      </c>
      <c r="O12" s="2" t="str">
        <f>IFERROR(__xludf.DUMMYFUNCTION("SPLIT(N12,""+"")"),"Website : www.archiworks.bd.wix.com/Home Contact:")</f>
        <v>Website : www.archiworks.bd.wix.com/Home Contact:</v>
      </c>
      <c r="P12" s="18"/>
      <c r="Q12" s="18" t="s">
        <v>1498</v>
      </c>
      <c r="R12" s="2" t="str">
        <f t="shared" si="1"/>
        <v>_N/A</v>
      </c>
      <c r="S12" s="18"/>
    </row>
    <row r="13" ht="15.75" customHeight="1">
      <c r="A13" s="14" t="s">
        <v>781</v>
      </c>
      <c r="B13" s="2" t="str">
        <f>IFERROR(__xludf.DUMMYFUNCTION("SPLIT(A13,""("")"),"Ar. Imtiaz Farid Chowdhury")</f>
        <v>Ar. Imtiaz Farid Chowdhury</v>
      </c>
      <c r="C13" s="2" t="str">
        <f>IFERROR(__xludf.DUMMYFUNCTION("""COMPUTED_VALUE"""),"C-036) Chief Architect")</f>
        <v>C-036) Chief Architect</v>
      </c>
      <c r="G13" s="2" t="s">
        <v>1525</v>
      </c>
      <c r="H13" s="2" t="str">
        <f>IFERROR(__xludf.DUMMYFUNCTION("split(G13,"")"")"),"C-036")</f>
        <v>C-036</v>
      </c>
      <c r="I13" s="2" t="str">
        <f>IFERROR(__xludf.DUMMYFUNCTION("""COMPUTED_VALUE""")," Chief Architect")</f>
        <v> Chief Architect</v>
      </c>
      <c r="J13" s="2" t="s">
        <v>1526</v>
      </c>
      <c r="K13" s="1" t="str">
        <f>IFERROR(__xludf.DUMMYFUNCTION("SPLIT(J13,""&amp;"")")," Chief Architect")</f>
        <v> Chief Architect</v>
      </c>
      <c r="N13" s="19" t="s">
        <v>780</v>
      </c>
      <c r="O13" s="2" t="str">
        <f>IFERROR(__xludf.DUMMYFUNCTION("SPLIT(N13,""+"")"),"Website : www.archsel.com Contact: ")</f>
        <v>Website : www.archsel.com Contact: </v>
      </c>
      <c r="P13" s="18" t="str">
        <f>IFERROR(__xludf.DUMMYFUNCTION("""COMPUTED_VALUE"""),"88-02-8124698, 8116617")</f>
        <v>88-02-8124698, 8116617</v>
      </c>
      <c r="Q13" s="18" t="s">
        <v>1498</v>
      </c>
      <c r="R13" s="2" t="str">
        <f t="shared" si="1"/>
        <v>88-02-8124698, 8116617_N/A</v>
      </c>
      <c r="S13" s="18" t="s">
        <v>1527</v>
      </c>
    </row>
    <row r="14" ht="15.75" customHeight="1">
      <c r="A14" s="14" t="s">
        <v>787</v>
      </c>
      <c r="B14" s="2" t="str">
        <f>IFERROR(__xludf.DUMMYFUNCTION("SPLIT(A14,""("")"),"Ar. Md. Helal Uddin ")</f>
        <v>Ar. Md. Helal Uddin </v>
      </c>
      <c r="C14" s="2" t="str">
        <f>IFERROR(__xludf.DUMMYFUNCTION("""COMPUTED_VALUE"""),"U-006) CEO/Proprietor")</f>
        <v>U-006) CEO/Proprietor</v>
      </c>
      <c r="G14" s="2" t="s">
        <v>1528</v>
      </c>
      <c r="H14" s="2" t="str">
        <f>IFERROR(__xludf.DUMMYFUNCTION("split(G14,"")"")"),"U-006")</f>
        <v>U-006</v>
      </c>
      <c r="I14" s="2" t="str">
        <f>IFERROR(__xludf.DUMMYFUNCTION("""COMPUTED_VALUE""")," CEO/Proprietor")</f>
        <v> CEO/Proprietor</v>
      </c>
      <c r="J14" s="2" t="s">
        <v>1529</v>
      </c>
      <c r="K14" s="1" t="str">
        <f>IFERROR(__xludf.DUMMYFUNCTION("SPLIT(J14,""&amp;"")")," CEO/Proprietor")</f>
        <v> CEO/Proprietor</v>
      </c>
      <c r="N14" s="19" t="s">
        <v>936</v>
      </c>
      <c r="O14" s="2" t="str">
        <f>IFERROR(__xludf.DUMMYFUNCTION("SPLIT(N14,""+"")"),"website:")</f>
        <v>website:</v>
      </c>
      <c r="P14" s="18"/>
      <c r="Q14" s="18" t="s">
        <v>1530</v>
      </c>
      <c r="R14" s="2" t="str">
        <f t="shared" si="1"/>
        <v>_ +88-02-8151121</v>
      </c>
      <c r="S14" s="18" t="s">
        <v>1530</v>
      </c>
    </row>
    <row r="15" ht="15.75" customHeight="1">
      <c r="A15" s="14" t="s">
        <v>793</v>
      </c>
      <c r="B15" s="2" t="str">
        <f>IFERROR(__xludf.DUMMYFUNCTION("SPLIT(A15,""("")"),"Ar. Sayeed Parvez Reza Latif ")</f>
        <v>Ar. Sayeed Parvez Reza Latif </v>
      </c>
      <c r="C15" s="2" t="str">
        <f>IFERROR(__xludf.DUMMYFUNCTION("""COMPUTED_VALUE"""),"L-007) Managing Director")</f>
        <v>L-007) Managing Director</v>
      </c>
      <c r="G15" s="2" t="s">
        <v>1531</v>
      </c>
      <c r="H15" s="2" t="str">
        <f>IFERROR(__xludf.DUMMYFUNCTION("split(G15,"")"")"),"L-007")</f>
        <v>L-007</v>
      </c>
      <c r="I15" s="2" t="str">
        <f>IFERROR(__xludf.DUMMYFUNCTION("""COMPUTED_VALUE""")," Managing Director")</f>
        <v> Managing Director</v>
      </c>
      <c r="J15" s="2" t="s">
        <v>1497</v>
      </c>
      <c r="K15" s="1" t="str">
        <f>IFERROR(__xludf.DUMMYFUNCTION("SPLIT(J15,""&amp;"")")," Managing Director")</f>
        <v> Managing Director</v>
      </c>
      <c r="N15" s="19" t="s">
        <v>792</v>
      </c>
      <c r="O15" s="2" t="str">
        <f>IFERROR(__xludf.DUMMYFUNCTION("SPLIT(N15,""+"")"),"Website : www.artisanbd.com Contact: ")</f>
        <v>Website : www.artisanbd.com Contact: </v>
      </c>
      <c r="P15" s="18" t="str">
        <f>IFERROR(__xludf.DUMMYFUNCTION("""COMPUTED_VALUE"""),"88-02-8813992, 9889360")</f>
        <v>88-02-8813992, 9889360</v>
      </c>
      <c r="Q15" s="18" t="s">
        <v>1498</v>
      </c>
      <c r="R15" s="2" t="str">
        <f t="shared" si="1"/>
        <v>88-02-8813992, 9889360_N/A</v>
      </c>
      <c r="S15" s="18" t="s">
        <v>1532</v>
      </c>
    </row>
    <row r="16" ht="15.75" customHeight="1">
      <c r="A16" s="14" t="s">
        <v>798</v>
      </c>
      <c r="B16" s="2" t="str">
        <f>IFERROR(__xludf.DUMMYFUNCTION("SPLIT(A16,""("")"),"Ar. Ananya Bikash Barua ")</f>
        <v>Ar. Ananya Bikash Barua </v>
      </c>
      <c r="C16" s="2" t="str">
        <f>IFERROR(__xludf.DUMMYFUNCTION("""COMPUTED_VALUE"""),"B-040) Chief Architect")</f>
        <v>B-040) Chief Architect</v>
      </c>
      <c r="G16" s="2" t="s">
        <v>1533</v>
      </c>
      <c r="H16" s="2" t="str">
        <f>IFERROR(__xludf.DUMMYFUNCTION("split(G16,"")"")"),"B-040")</f>
        <v>B-040</v>
      </c>
      <c r="I16" s="2" t="str">
        <f>IFERROR(__xludf.DUMMYFUNCTION("""COMPUTED_VALUE""")," Chief Architect")</f>
        <v> Chief Architect</v>
      </c>
      <c r="J16" s="2" t="s">
        <v>1526</v>
      </c>
      <c r="K16" s="1" t="str">
        <f>IFERROR(__xludf.DUMMYFUNCTION("SPLIT(J16,""&amp;"")")," Chief Architect")</f>
        <v> Chief Architect</v>
      </c>
      <c r="N16" s="19" t="s">
        <v>936</v>
      </c>
      <c r="O16" s="2" t="str">
        <f>IFERROR(__xludf.DUMMYFUNCTION("SPLIT(N16,""+"")"),"website:")</f>
        <v>website:</v>
      </c>
      <c r="P16" s="18"/>
      <c r="Q16" s="18" t="s">
        <v>1534</v>
      </c>
      <c r="R16" s="2" t="str">
        <f t="shared" si="1"/>
        <v>_ +88-031-2867388</v>
      </c>
      <c r="S16" s="18" t="s">
        <v>1534</v>
      </c>
    </row>
    <row r="17" ht="15.75" customHeight="1">
      <c r="A17" s="14" t="s">
        <v>803</v>
      </c>
      <c r="B17" s="2" t="str">
        <f>IFERROR(__xludf.DUMMYFUNCTION("SPLIT(A17,""("")"),"Ar. Ashraful Alam Ahmed ")</f>
        <v>Ar. Ashraful Alam Ahmed </v>
      </c>
      <c r="C17" s="2" t="str">
        <f>IFERROR(__xludf.DUMMYFUNCTION("""COMPUTED_VALUE"""),"A-182) Principal Architect")</f>
        <v>A-182) Principal Architect</v>
      </c>
      <c r="G17" s="2" t="s">
        <v>1535</v>
      </c>
      <c r="H17" s="2" t="str">
        <f>IFERROR(__xludf.DUMMYFUNCTION("split(G17,"")"")"),"A-182")</f>
        <v>A-182</v>
      </c>
      <c r="I17" s="2" t="str">
        <f>IFERROR(__xludf.DUMMYFUNCTION("""COMPUTED_VALUE""")," Principal Architect")</f>
        <v> Principal Architect</v>
      </c>
      <c r="J17" s="2" t="s">
        <v>1501</v>
      </c>
      <c r="K17" s="1" t="str">
        <f>IFERROR(__xludf.DUMMYFUNCTION("SPLIT(J17,""&amp;"")")," Principal Architect")</f>
        <v> Principal Architect</v>
      </c>
      <c r="N17" s="19" t="s">
        <v>936</v>
      </c>
      <c r="O17" s="2" t="str">
        <f>IFERROR(__xludf.DUMMYFUNCTION("SPLIT(N17,""+"")"),"website:")</f>
        <v>website:</v>
      </c>
      <c r="P17" s="18"/>
      <c r="Q17" s="18" t="s">
        <v>1536</v>
      </c>
      <c r="R17" s="2" t="str">
        <f t="shared" si="1"/>
        <v>_ +88016179672992, +8801727672992</v>
      </c>
      <c r="S17" s="18" t="s">
        <v>1536</v>
      </c>
    </row>
    <row r="18" ht="15.75" customHeight="1">
      <c r="A18" s="14" t="s">
        <v>810</v>
      </c>
      <c r="B18" s="2" t="str">
        <f>IFERROR(__xludf.DUMMYFUNCTION("SPLIT(A18,""("")"),"Ar. Hossan Murad ")</f>
        <v>Ar. Hossan Murad </v>
      </c>
      <c r="C18" s="2" t="str">
        <f>IFERROR(__xludf.DUMMYFUNCTION("""COMPUTED_VALUE"""),"M-084) CEO &amp; Proprietor")</f>
        <v>M-084) CEO &amp; Proprietor</v>
      </c>
      <c r="G18" s="2" t="s">
        <v>1537</v>
      </c>
      <c r="H18" s="2" t="str">
        <f>IFERROR(__xludf.DUMMYFUNCTION("split(G18,"")"")"),"M-084")</f>
        <v>M-084</v>
      </c>
      <c r="I18" s="2" t="str">
        <f>IFERROR(__xludf.DUMMYFUNCTION("""COMPUTED_VALUE""")," CEO &amp; Proprietor")</f>
        <v> CEO &amp; Proprietor</v>
      </c>
      <c r="J18" s="2" t="s">
        <v>1538</v>
      </c>
      <c r="K18" s="1" t="str">
        <f>IFERROR(__xludf.DUMMYFUNCTION("SPLIT(J18,""&amp;"")")," CEO ")</f>
        <v> CEO </v>
      </c>
      <c r="L18" s="2" t="str">
        <f>IFERROR(__xludf.DUMMYFUNCTION("""COMPUTED_VALUE""")," Proprietor")</f>
        <v> Proprietor</v>
      </c>
      <c r="N18" s="19" t="s">
        <v>809</v>
      </c>
      <c r="O18" s="2" t="str">
        <f>IFERROR(__xludf.DUMMYFUNCTION("SPLIT(N18,""+"")"),"Website : http://aligngroupbd.com/webmail Contact: ")</f>
        <v>Website : http://aligngroupbd.com/webmail Contact: </v>
      </c>
      <c r="P18" s="18">
        <f>IFERROR(__xludf.DUMMYFUNCTION("""COMPUTED_VALUE"""),8.801737280617E12)</f>
        <v>8801737280617</v>
      </c>
      <c r="Q18" s="18" t="s">
        <v>1498</v>
      </c>
      <c r="R18" s="2" t="str">
        <f t="shared" si="1"/>
        <v>8801737280617_N/A</v>
      </c>
      <c r="S18" s="18">
        <v>8.801737280617E12</v>
      </c>
    </row>
    <row r="19" ht="15.75" customHeight="1">
      <c r="A19" s="14" t="s">
        <v>815</v>
      </c>
      <c r="B19" s="2" t="str">
        <f>IFERROR(__xludf.DUMMYFUNCTION("SPLIT(A19,""("")"),"Ar. Nusrat Jahan ")</f>
        <v>Ar. Nusrat Jahan </v>
      </c>
      <c r="C19" s="2" t="str">
        <f>IFERROR(__xludf.DUMMYFUNCTION("""COMPUTED_VALUE"""),"J-016) Managing Director")</f>
        <v>J-016) Managing Director</v>
      </c>
      <c r="G19" s="2" t="s">
        <v>1539</v>
      </c>
      <c r="H19" s="2" t="str">
        <f>IFERROR(__xludf.DUMMYFUNCTION("split(G19,"")"")"),"J-016")</f>
        <v>J-016</v>
      </c>
      <c r="I19" s="2" t="str">
        <f>IFERROR(__xludf.DUMMYFUNCTION("""COMPUTED_VALUE""")," Managing Director")</f>
        <v> Managing Director</v>
      </c>
      <c r="J19" s="2" t="s">
        <v>1497</v>
      </c>
      <c r="K19" s="1" t="str">
        <f>IFERROR(__xludf.DUMMYFUNCTION("SPLIT(J19,""&amp;"")")," Managing Director")</f>
        <v> Managing Director</v>
      </c>
      <c r="N19" s="19" t="s">
        <v>936</v>
      </c>
      <c r="O19" s="2" t="str">
        <f>IFERROR(__xludf.DUMMYFUNCTION("SPLIT(N19,""+"")"),"website:")</f>
        <v>website:</v>
      </c>
      <c r="P19" s="18"/>
      <c r="Q19" s="18" t="s">
        <v>1540</v>
      </c>
      <c r="R19" s="2" t="str">
        <f t="shared" si="1"/>
        <v>_ +88-02-9890855</v>
      </c>
      <c r="S19" s="18" t="s">
        <v>1540</v>
      </c>
    </row>
    <row r="20" ht="15.75" customHeight="1">
      <c r="A20" s="14" t="s">
        <v>821</v>
      </c>
      <c r="B20" s="2" t="str">
        <f>IFERROR(__xludf.DUMMYFUNCTION("SPLIT(A20,""("")"),"Ar. Mohammad Sajjadul Islam ")</f>
        <v>Ar. Mohammad Sajjadul Islam </v>
      </c>
      <c r="C20" s="2" t="str">
        <f>IFERROR(__xludf.DUMMYFUNCTION("""COMPUTED_VALUE"""),"I-075) Principal Architect &amp; CEO")</f>
        <v>I-075) Principal Architect &amp; CEO</v>
      </c>
      <c r="G20" s="2" t="s">
        <v>1541</v>
      </c>
      <c r="H20" s="2" t="str">
        <f>IFERROR(__xludf.DUMMYFUNCTION("split(G20,"")"")"),"I-075")</f>
        <v>I-075</v>
      </c>
      <c r="I20" s="2" t="str">
        <f>IFERROR(__xludf.DUMMYFUNCTION("""COMPUTED_VALUE""")," Principal Architect &amp; CEO")</f>
        <v> Principal Architect &amp; CEO</v>
      </c>
      <c r="J20" s="2" t="s">
        <v>1542</v>
      </c>
      <c r="K20" s="1" t="str">
        <f>IFERROR(__xludf.DUMMYFUNCTION("SPLIT(J20,""&amp;"")")," Principal Architect ")</f>
        <v> Principal Architect </v>
      </c>
      <c r="L20" s="2" t="str">
        <f>IFERROR(__xludf.DUMMYFUNCTION("""COMPUTED_VALUE""")," CEO")</f>
        <v> CEO</v>
      </c>
      <c r="N20" s="19" t="s">
        <v>820</v>
      </c>
      <c r="O20" s="2" t="str">
        <f>IFERROR(__xludf.DUMMYFUNCTION("SPLIT(N20,""+"")"),"Website : www.archpmc.com Contact: ")</f>
        <v>Website : www.archpmc.com Contact: </v>
      </c>
      <c r="P20" s="18">
        <f>IFERROR(__xludf.DUMMYFUNCTION("""COMPUTED_VALUE"""),8.801799586501E12)</f>
        <v>8801799586501</v>
      </c>
      <c r="Q20" s="18" t="s">
        <v>1498</v>
      </c>
      <c r="R20" s="2" t="str">
        <f t="shared" si="1"/>
        <v>8801799586501_N/A</v>
      </c>
      <c r="S20" s="18">
        <v>8.801799586501E12</v>
      </c>
    </row>
    <row r="21" ht="15.75" customHeight="1">
      <c r="A21" s="14" t="s">
        <v>826</v>
      </c>
      <c r="B21" s="2" t="str">
        <f>IFERROR(__xludf.DUMMYFUNCTION("SPLIT(A21,""("")"),"Ar. Shohel Ahamed ")</f>
        <v>Ar. Shohel Ahamed </v>
      </c>
      <c r="C21" s="2" t="str">
        <f>IFERROR(__xludf.DUMMYFUNCTION("""COMPUTED_VALUE"""),"A-180) Managing Partner")</f>
        <v>A-180) Managing Partner</v>
      </c>
      <c r="G21" s="2" t="s">
        <v>1543</v>
      </c>
      <c r="H21" s="2" t="str">
        <f>IFERROR(__xludf.DUMMYFUNCTION("split(G21,"")"")"),"A-180")</f>
        <v>A-180</v>
      </c>
      <c r="I21" s="2" t="str">
        <f>IFERROR(__xludf.DUMMYFUNCTION("""COMPUTED_VALUE""")," Managing Partner")</f>
        <v> Managing Partner</v>
      </c>
      <c r="J21" s="2" t="s">
        <v>1544</v>
      </c>
      <c r="K21" s="1" t="str">
        <f>IFERROR(__xludf.DUMMYFUNCTION("SPLIT(J21,""&amp;"")")," Managing Partner")</f>
        <v> Managing Partner</v>
      </c>
      <c r="N21" s="19" t="s">
        <v>936</v>
      </c>
      <c r="O21" s="2" t="str">
        <f>IFERROR(__xludf.DUMMYFUNCTION("SPLIT(N21,""+"")"),"website:")</f>
        <v>website:</v>
      </c>
      <c r="P21" s="18"/>
      <c r="Q21" s="18">
        <v>8.801679224304E12</v>
      </c>
      <c r="R21" s="2" t="str">
        <f t="shared" si="1"/>
        <v>_8801679224304</v>
      </c>
      <c r="S21" s="18">
        <v>8.801679224304E12</v>
      </c>
    </row>
    <row r="22" ht="15.75" customHeight="1">
      <c r="A22" s="14" t="s">
        <v>831</v>
      </c>
      <c r="B22" s="2" t="str">
        <f>IFERROR(__xludf.DUMMYFUNCTION("SPLIT(A22,""("")"),"Ar. Iftekhar Ahmed ")</f>
        <v>Ar. Iftekhar Ahmed </v>
      </c>
      <c r="C22" s="2" t="str">
        <f>IFERROR(__xludf.DUMMYFUNCTION("""COMPUTED_VALUE"""),"A-143) Principal Architect &amp; CEO")</f>
        <v>A-143) Principal Architect &amp; CEO</v>
      </c>
      <c r="G22" s="2" t="s">
        <v>1545</v>
      </c>
      <c r="H22" s="2" t="str">
        <f>IFERROR(__xludf.DUMMYFUNCTION("split(G22,"")"")"),"A-143")</f>
        <v>A-143</v>
      </c>
      <c r="I22" s="2" t="str">
        <f>IFERROR(__xludf.DUMMYFUNCTION("""COMPUTED_VALUE""")," Principal Architect &amp; CEO")</f>
        <v> Principal Architect &amp; CEO</v>
      </c>
      <c r="J22" s="2" t="s">
        <v>1542</v>
      </c>
      <c r="K22" s="1" t="str">
        <f>IFERROR(__xludf.DUMMYFUNCTION("SPLIT(J22,""&amp;"")")," Principal Architect ")</f>
        <v> Principal Architect </v>
      </c>
      <c r="L22" s="2" t="str">
        <f>IFERROR(__xludf.DUMMYFUNCTION("""COMPUTED_VALUE""")," CEO")</f>
        <v> CEO</v>
      </c>
      <c r="N22" s="19" t="s">
        <v>936</v>
      </c>
      <c r="O22" s="2" t="str">
        <f>IFERROR(__xludf.DUMMYFUNCTION("SPLIT(N22,""+"")"),"website:")</f>
        <v>website:</v>
      </c>
      <c r="P22" s="18"/>
      <c r="Q22" s="18">
        <v>8.801712228469E12</v>
      </c>
      <c r="R22" s="2" t="str">
        <f t="shared" si="1"/>
        <v>_8801712228469</v>
      </c>
      <c r="S22" s="18">
        <v>8.801712228469E12</v>
      </c>
    </row>
    <row r="23" ht="15.75" customHeight="1">
      <c r="A23" s="14" t="s">
        <v>974</v>
      </c>
      <c r="B23" s="2" t="str">
        <f>IFERROR(__xludf.DUMMYFUNCTION("SPLIT(A23,""("")"),"Ar. Minhasur Rahman ")</f>
        <v>Ar. Minhasur Rahman </v>
      </c>
      <c r="C23" s="2" t="str">
        <f>IFERROR(__xludf.DUMMYFUNCTION("""COMPUTED_VALUE"""),"R-044) Managing Director &amp; Ar. Fuad Hassan Mallick ")</f>
        <v>R-044) Managing Director &amp; Ar. Fuad Hassan Mallick </v>
      </c>
      <c r="D23" s="2" t="str">
        <f>IFERROR(__xludf.DUMMYFUNCTION("""COMPUTED_VALUE"""),"M-012) Share Holder")</f>
        <v>M-012) Share Holder</v>
      </c>
      <c r="G23" s="2" t="s">
        <v>1546</v>
      </c>
      <c r="H23" s="2" t="str">
        <f>IFERROR(__xludf.DUMMYFUNCTION("split(G23,"")"")"),"R-044")</f>
        <v>R-044</v>
      </c>
      <c r="I23" s="2" t="str">
        <f>IFERROR(__xludf.DUMMYFUNCTION("""COMPUTED_VALUE""")," Managing Director &amp; Ar. Fuad Hassan Mallick ")</f>
        <v> Managing Director &amp; Ar. Fuad Hassan Mallick </v>
      </c>
      <c r="J23" s="2" t="s">
        <v>1547</v>
      </c>
      <c r="K23" s="1" t="str">
        <f>IFERROR(__xludf.DUMMYFUNCTION("SPLIT(J23,""&amp;"")")," Managing Director ")</f>
        <v> Managing Director </v>
      </c>
      <c r="L23" s="2" t="str">
        <f>IFERROR(__xludf.DUMMYFUNCTION("""COMPUTED_VALUE""")," Ar. Fuad Hassan Mallick ")</f>
        <v> Ar. Fuad Hassan Mallick </v>
      </c>
      <c r="N23" s="19" t="s">
        <v>936</v>
      </c>
      <c r="O23" s="2" t="str">
        <f>IFERROR(__xludf.DUMMYFUNCTION("SPLIT(N23,""+"")"),"website:")</f>
        <v>website:</v>
      </c>
      <c r="P23" s="18"/>
      <c r="Q23" s="18" t="s">
        <v>1548</v>
      </c>
      <c r="R23" s="2" t="str">
        <f t="shared" si="1"/>
        <v>_ +88-02-9862930, +8801711520963</v>
      </c>
      <c r="S23" s="18" t="s">
        <v>1548</v>
      </c>
    </row>
    <row r="24" ht="15.75" customHeight="1">
      <c r="A24" s="14" t="s">
        <v>843</v>
      </c>
      <c r="B24" s="2" t="str">
        <f>IFERROR(__xludf.DUMMYFUNCTION("SPLIT(A24,""("")"),"Ar. Salma Begum ")</f>
        <v>Ar. Salma Begum </v>
      </c>
      <c r="C24" s="2" t="str">
        <f>IFERROR(__xludf.DUMMYFUNCTION("""COMPUTED_VALUE"""),"B-044) Architect")</f>
        <v>B-044) Architect</v>
      </c>
      <c r="G24" s="2" t="s">
        <v>1549</v>
      </c>
      <c r="H24" s="2" t="str">
        <f>IFERROR(__xludf.DUMMYFUNCTION("split(G24,"")"")"),"B-044")</f>
        <v>B-044</v>
      </c>
      <c r="I24" s="2" t="str">
        <f>IFERROR(__xludf.DUMMYFUNCTION("""COMPUTED_VALUE""")," Architect")</f>
        <v> Architect</v>
      </c>
      <c r="J24" s="2" t="s">
        <v>1504</v>
      </c>
      <c r="K24" s="1" t="str">
        <f>IFERROR(__xludf.DUMMYFUNCTION("SPLIT(J24,""&amp;"")")," Architect")</f>
        <v> Architect</v>
      </c>
      <c r="N24" s="19" t="s">
        <v>936</v>
      </c>
      <c r="O24" s="2" t="str">
        <f>IFERROR(__xludf.DUMMYFUNCTION("SPLIT(N24,""+"")"),"website:")</f>
        <v>website:</v>
      </c>
      <c r="P24" s="18"/>
      <c r="Q24" s="18">
        <v>8.801716897632E12</v>
      </c>
      <c r="R24" s="2" t="str">
        <f t="shared" si="1"/>
        <v>_8801716897632</v>
      </c>
      <c r="S24" s="18">
        <v>8.801716897632E12</v>
      </c>
    </row>
    <row r="25" ht="15.75" customHeight="1">
      <c r="A25" s="14" t="s">
        <v>850</v>
      </c>
      <c r="B25" s="2" t="str">
        <f>IFERROR(__xludf.DUMMYFUNCTION("SPLIT(A25,""("")"),"Ar. Zahidul Hoque Shaikot ")</f>
        <v>Ar. Zahidul Hoque Shaikot </v>
      </c>
      <c r="C25" s="2" t="str">
        <f>IFERROR(__xludf.DUMMYFUNCTION("""COMPUTED_VALUE"""),"S-135) Managing Director")</f>
        <v>S-135) Managing Director</v>
      </c>
      <c r="G25" s="2" t="s">
        <v>1550</v>
      </c>
      <c r="H25" s="2" t="str">
        <f>IFERROR(__xludf.DUMMYFUNCTION("split(G25,"")"")"),"S-135")</f>
        <v>S-135</v>
      </c>
      <c r="I25" s="2" t="str">
        <f>IFERROR(__xludf.DUMMYFUNCTION("""COMPUTED_VALUE""")," Managing Director")</f>
        <v> Managing Director</v>
      </c>
      <c r="J25" s="2" t="s">
        <v>1497</v>
      </c>
      <c r="K25" s="1" t="str">
        <f>IFERROR(__xludf.DUMMYFUNCTION("SPLIT(J25,""&amp;"")")," Managing Director")</f>
        <v> Managing Director</v>
      </c>
      <c r="N25" s="19" t="s">
        <v>849</v>
      </c>
      <c r="O25" s="2" t="str">
        <f>IFERROR(__xludf.DUMMYFUNCTION("SPLIT(N25,""+"")"),"Website : www.archytasltd.com Contact: ")</f>
        <v>Website : www.archytasltd.com Contact: </v>
      </c>
      <c r="P25" s="18">
        <f>IFERROR(__xludf.DUMMYFUNCTION("""COMPUTED_VALUE"""),8.801911386561E12)</f>
        <v>8801911386561</v>
      </c>
      <c r="Q25" s="18" t="s">
        <v>1498</v>
      </c>
      <c r="R25" s="2" t="str">
        <f t="shared" si="1"/>
        <v>8801911386561_N/A</v>
      </c>
      <c r="S25" s="18">
        <v>8.801911386561E12</v>
      </c>
    </row>
    <row r="26" ht="15.75" customHeight="1">
      <c r="A26" s="14" t="s">
        <v>856</v>
      </c>
      <c r="B26" s="2" t="str">
        <f>IFERROR(__xludf.DUMMYFUNCTION("SPLIT(A26,""("")"),"Ar. Fariha Sharmeen Akbar ")</f>
        <v>Ar. Fariha Sharmeen Akbar </v>
      </c>
      <c r="C26" s="2" t="str">
        <f>IFERROR(__xludf.DUMMYFUNCTION("""COMPUTED_VALUE"""),"A-198) Proprietor")</f>
        <v>A-198) Proprietor</v>
      </c>
      <c r="G26" s="2" t="s">
        <v>1551</v>
      </c>
      <c r="H26" s="2" t="str">
        <f>IFERROR(__xludf.DUMMYFUNCTION("split(G26,"")"")"),"A-198")</f>
        <v>A-198</v>
      </c>
      <c r="I26" s="2" t="str">
        <f>IFERROR(__xludf.DUMMYFUNCTION("""COMPUTED_VALUE""")," Proprietor")</f>
        <v> Proprietor</v>
      </c>
      <c r="J26" s="2" t="s">
        <v>1522</v>
      </c>
      <c r="K26" s="1" t="str">
        <f>IFERROR(__xludf.DUMMYFUNCTION("SPLIT(J26,""&amp;"")")," Proprietor")</f>
        <v> Proprietor</v>
      </c>
      <c r="N26" s="19" t="s">
        <v>936</v>
      </c>
      <c r="O26" s="2" t="str">
        <f>IFERROR(__xludf.DUMMYFUNCTION("SPLIT(N26,""+"")"),"website:")</f>
        <v>website:</v>
      </c>
      <c r="P26" s="18"/>
      <c r="Q26" s="18">
        <v>8.8024102181E11</v>
      </c>
      <c r="R26" s="2" t="str">
        <f t="shared" si="1"/>
        <v>_880241021810</v>
      </c>
      <c r="S26" s="18">
        <v>8.8024102181E11</v>
      </c>
    </row>
    <row r="27" ht="15.75" customHeight="1">
      <c r="A27" s="14" t="s">
        <v>975</v>
      </c>
      <c r="B27" s="2" t="str">
        <f>IFERROR(__xludf.DUMMYFUNCTION("SPLIT(A27,""("")"),"Ar. Fariha Sharmeen Akbar ")</f>
        <v>Ar. Fariha Sharmeen Akbar </v>
      </c>
      <c r="C27" s="2" t="str">
        <f>IFERROR(__xludf.DUMMYFUNCTION("""COMPUTED_VALUE"""),"A-198) Chairman &amp; Ar. Md. Shafiul Azam Shamim ")</f>
        <v>A-198) Chairman &amp; Ar. Md. Shafiul Azam Shamim </v>
      </c>
      <c r="D27" s="2" t="str">
        <f>IFERROR(__xludf.DUMMYFUNCTION("""COMPUTED_VALUE"""),"S-127) Managing Director")</f>
        <v>S-127) Managing Director</v>
      </c>
      <c r="G27" s="2" t="s">
        <v>1552</v>
      </c>
      <c r="H27" s="2" t="str">
        <f>IFERROR(__xludf.DUMMYFUNCTION("split(G27,"")"")"),"A-198")</f>
        <v>A-198</v>
      </c>
      <c r="I27" s="2" t="str">
        <f>IFERROR(__xludf.DUMMYFUNCTION("""COMPUTED_VALUE""")," Chairman &amp; Ar. Md. Shafiul Azam Shamim ")</f>
        <v> Chairman &amp; Ar. Md. Shafiul Azam Shamim </v>
      </c>
      <c r="J27" s="2" t="s">
        <v>1553</v>
      </c>
      <c r="K27" s="1" t="str">
        <f>IFERROR(__xludf.DUMMYFUNCTION("SPLIT(J27,""&amp;"")")," Chairman ")</f>
        <v> Chairman </v>
      </c>
      <c r="L27" s="2" t="str">
        <f>IFERROR(__xludf.DUMMYFUNCTION("""COMPUTED_VALUE""")," Ar. Md. Shafiul Azam Shamim ")</f>
        <v> Ar. Md. Shafiul Azam Shamim </v>
      </c>
      <c r="N27" s="19" t="s">
        <v>860</v>
      </c>
      <c r="O27" s="2" t="str">
        <f>IFERROR(__xludf.DUMMYFUNCTION("SPLIT(N27,""+"")"),"Website : www.arquitecturabd.com Contact: ")</f>
        <v>Website : www.arquitecturabd.com Contact: </v>
      </c>
      <c r="P27" s="18">
        <f>IFERROR(__xludf.DUMMYFUNCTION("""COMPUTED_VALUE"""),8.8024102181E11)</f>
        <v>880241021810</v>
      </c>
      <c r="Q27" s="18" t="s">
        <v>1498</v>
      </c>
      <c r="R27" s="2" t="str">
        <f t="shared" si="1"/>
        <v>880241021810_N/A</v>
      </c>
      <c r="S27" s="18">
        <v>8.8024102181E11</v>
      </c>
    </row>
    <row r="28" ht="15.75" customHeight="1">
      <c r="A28" s="14" t="s">
        <v>869</v>
      </c>
      <c r="B28" s="2" t="str">
        <f>IFERROR(__xludf.DUMMYFUNCTION("SPLIT(A28,""("")"),"Ar. Muhammed Kasif Hasnaen ")</f>
        <v>Ar. Muhammed Kasif Hasnaen </v>
      </c>
      <c r="C28" s="2" t="str">
        <f>IFERROR(__xludf.DUMMYFUNCTION("""COMPUTED_VALUE"""),"H-172) Managing Partner")</f>
        <v>H-172) Managing Partner</v>
      </c>
      <c r="G28" s="2" t="s">
        <v>1554</v>
      </c>
      <c r="H28" s="2" t="str">
        <f>IFERROR(__xludf.DUMMYFUNCTION("split(G28,"")"")"),"H-172")</f>
        <v>H-172</v>
      </c>
      <c r="I28" s="2" t="str">
        <f>IFERROR(__xludf.DUMMYFUNCTION("""COMPUTED_VALUE""")," Managing Partner")</f>
        <v> Managing Partner</v>
      </c>
      <c r="J28" s="2" t="s">
        <v>1544</v>
      </c>
      <c r="K28" s="1" t="str">
        <f>IFERROR(__xludf.DUMMYFUNCTION("SPLIT(J28,""&amp;"")")," Managing Partner")</f>
        <v> Managing Partner</v>
      </c>
      <c r="N28" s="19" t="s">
        <v>868</v>
      </c>
      <c r="O28" s="2" t="str">
        <f>IFERROR(__xludf.DUMMYFUNCTION("SPLIT(N28,""+"")"),"Website : www.ayoteek.com")</f>
        <v>Website : www.ayoteek.com</v>
      </c>
      <c r="P28" s="18"/>
      <c r="Q28" s="18" t="s">
        <v>1555</v>
      </c>
      <c r="R28" s="2" t="str">
        <f t="shared" si="1"/>
        <v>_ +88-02-9882689, +8801712511535</v>
      </c>
      <c r="S28" s="18" t="s">
        <v>1555</v>
      </c>
    </row>
    <row r="29" ht="15.75" customHeight="1">
      <c r="A29" s="14" t="s">
        <v>875</v>
      </c>
      <c r="B29" s="2" t="str">
        <f>IFERROR(__xludf.DUMMYFUNCTION("SPLIT(A29,""("")"),"Ar. Mohammad Saifuzzaman ")</f>
        <v>Ar. Mohammad Saifuzzaman </v>
      </c>
      <c r="C29" s="2" t="str">
        <f>IFERROR(__xludf.DUMMYFUNCTION("""COMPUTED_VALUE"""),"S-111) Principal Architect &amp; Managing Director")</f>
        <v>S-111) Principal Architect &amp; Managing Director</v>
      </c>
      <c r="G29" s="2" t="s">
        <v>1556</v>
      </c>
      <c r="H29" s="2" t="str">
        <f>IFERROR(__xludf.DUMMYFUNCTION("split(G29,"")"")"),"S-111")</f>
        <v>S-111</v>
      </c>
      <c r="I29" s="2" t="str">
        <f>IFERROR(__xludf.DUMMYFUNCTION("""COMPUTED_VALUE""")," Principal Architect &amp; Managing Director")</f>
        <v> Principal Architect &amp; Managing Director</v>
      </c>
      <c r="J29" s="2" t="s">
        <v>1557</v>
      </c>
      <c r="K29" s="1" t="str">
        <f>IFERROR(__xludf.DUMMYFUNCTION("SPLIT(J29,""&amp;"")")," Principal Architect ")</f>
        <v> Principal Architect </v>
      </c>
      <c r="L29" s="2" t="str">
        <f>IFERROR(__xludf.DUMMYFUNCTION("""COMPUTED_VALUE""")," Managing Director")</f>
        <v> Managing Director</v>
      </c>
      <c r="N29" s="19" t="s">
        <v>874</v>
      </c>
      <c r="O29" s="2" t="str">
        <f>IFERROR(__xludf.DUMMYFUNCTION("SPLIT(N29,""+"")"),"Website : www.architecturetomorrow.com")</f>
        <v>Website : www.architecturetomorrow.com</v>
      </c>
      <c r="P29" s="18"/>
      <c r="Q29" s="18" t="s">
        <v>1558</v>
      </c>
      <c r="R29" s="2" t="str">
        <f t="shared" si="1"/>
        <v>_ +88-02-8080884, +8801716526915</v>
      </c>
      <c r="S29" s="18" t="s">
        <v>1558</v>
      </c>
    </row>
    <row r="30" ht="15.75" customHeight="1">
      <c r="A30" s="14" t="s">
        <v>879</v>
      </c>
      <c r="B30" s="2" t="str">
        <f>IFERROR(__xludf.DUMMYFUNCTION("SPLIT(A30,""("")"),"Ar. Md. Helal Uddin ")</f>
        <v>Ar. Md. Helal Uddin </v>
      </c>
      <c r="C30" s="2" t="str">
        <f>IFERROR(__xludf.DUMMYFUNCTION("""COMPUTED_VALUE"""),"U-006) Principal Architect")</f>
        <v>U-006) Principal Architect</v>
      </c>
      <c r="G30" s="2" t="s">
        <v>1559</v>
      </c>
      <c r="H30" s="2" t="str">
        <f>IFERROR(__xludf.DUMMYFUNCTION("split(G30,"")"")"),"U-006")</f>
        <v>U-006</v>
      </c>
      <c r="I30" s="2" t="str">
        <f>IFERROR(__xludf.DUMMYFUNCTION("""COMPUTED_VALUE""")," Principal Architect")</f>
        <v> Principal Architect</v>
      </c>
      <c r="J30" s="2" t="s">
        <v>1501</v>
      </c>
      <c r="K30" s="1" t="str">
        <f>IFERROR(__xludf.DUMMYFUNCTION("SPLIT(J30,""&amp;"")")," Principal Architect")</f>
        <v> Principal Architect</v>
      </c>
      <c r="N30" s="19" t="s">
        <v>936</v>
      </c>
      <c r="O30" s="2" t="str">
        <f>IFERROR(__xludf.DUMMYFUNCTION("SPLIT(N30,""+"")"),"website:")</f>
        <v>website:</v>
      </c>
      <c r="P30" s="18"/>
      <c r="Q30" s="18" t="s">
        <v>1560</v>
      </c>
      <c r="R30" s="2" t="str">
        <f t="shared" si="1"/>
        <v>_ +88-02-8151121, +8801713037260</v>
      </c>
      <c r="S30" s="18" t="s">
        <v>1560</v>
      </c>
    </row>
    <row r="31" ht="15.75" customHeight="1">
      <c r="A31" s="14" t="s">
        <v>885</v>
      </c>
      <c r="B31" s="2" t="str">
        <f>IFERROR(__xludf.DUMMYFUNCTION("SPLIT(A31,""("")"),"Ar. Biplob Kumar Mondal ")</f>
        <v>Ar. Biplob Kumar Mondal </v>
      </c>
      <c r="C31" s="2" t="str">
        <f>IFERROR(__xludf.DUMMYFUNCTION("""COMPUTED_VALUE"""),"M-116) Founder &amp; Lead Architect")</f>
        <v>M-116) Founder &amp; Lead Architect</v>
      </c>
      <c r="G31" s="2" t="s">
        <v>1561</v>
      </c>
      <c r="H31" s="2" t="str">
        <f>IFERROR(__xludf.DUMMYFUNCTION("split(G31,"")"")"),"M-116")</f>
        <v>M-116</v>
      </c>
      <c r="I31" s="2" t="str">
        <f>IFERROR(__xludf.DUMMYFUNCTION("""COMPUTED_VALUE""")," Founder &amp; Lead Architect")</f>
        <v> Founder &amp; Lead Architect</v>
      </c>
      <c r="J31" s="2" t="s">
        <v>1562</v>
      </c>
      <c r="K31" s="1" t="str">
        <f>IFERROR(__xludf.DUMMYFUNCTION("SPLIT(J31,""&amp;"")")," Founder ")</f>
        <v> Founder </v>
      </c>
      <c r="L31" s="2" t="str">
        <f>IFERROR(__xludf.DUMMYFUNCTION("""COMPUTED_VALUE""")," Lead Architect")</f>
        <v> Lead Architect</v>
      </c>
      <c r="N31" s="19" t="s">
        <v>884</v>
      </c>
      <c r="O31" s="2" t="str">
        <f>IFERROR(__xludf.DUMMYFUNCTION("SPLIT(N31,""+"")"),"Website : www.architectshorizon.com")</f>
        <v>Website : www.architectshorizon.com</v>
      </c>
      <c r="P31" s="18"/>
      <c r="Q31" s="18" t="s">
        <v>1563</v>
      </c>
      <c r="R31" s="2" t="str">
        <f t="shared" si="1"/>
        <v>_ +88-02-55098138, +8801755599208</v>
      </c>
      <c r="S31" s="18" t="s">
        <v>1563</v>
      </c>
    </row>
    <row r="32" ht="15.75" customHeight="1">
      <c r="A32" s="14" t="s">
        <v>891</v>
      </c>
      <c r="B32" s="2" t="str">
        <f>IFERROR(__xludf.DUMMYFUNCTION("SPLIT(A32,""("")"),"Ar. Mubasshar Hussain ")</f>
        <v>Ar. Mubasshar Hussain </v>
      </c>
      <c r="C32" s="2" t="str">
        <f>IFERROR(__xludf.DUMMYFUNCTION("""COMPUTED_VALUE"""),"H-013) Managing Director")</f>
        <v>H-013) Managing Director</v>
      </c>
      <c r="G32" s="2" t="s">
        <v>1564</v>
      </c>
      <c r="H32" s="2" t="str">
        <f>IFERROR(__xludf.DUMMYFUNCTION("split(G32,"")"")"),"H-013")</f>
        <v>H-013</v>
      </c>
      <c r="I32" s="2" t="str">
        <f>IFERROR(__xludf.DUMMYFUNCTION("""COMPUTED_VALUE""")," Managing Director")</f>
        <v> Managing Director</v>
      </c>
      <c r="J32" s="2" t="s">
        <v>1497</v>
      </c>
      <c r="K32" s="1" t="str">
        <f>IFERROR(__xludf.DUMMYFUNCTION("SPLIT(J32,""&amp;"")")," Managing Director")</f>
        <v> Managing Director</v>
      </c>
      <c r="N32" s="19" t="s">
        <v>50</v>
      </c>
      <c r="O32" s="2" t="str">
        <f>IFERROR(__xludf.DUMMYFUNCTION("SPLIT(N32,""+"")"),"Website :")</f>
        <v>Website :</v>
      </c>
      <c r="P32" s="18"/>
      <c r="Q32" s="18" t="s">
        <v>1565</v>
      </c>
      <c r="R32" s="2" t="str">
        <f t="shared" si="1"/>
        <v>_ +88-02-9004662, +88-02-9004663</v>
      </c>
      <c r="S32" s="18" t="s">
        <v>1565</v>
      </c>
    </row>
    <row r="33" ht="15.75" customHeight="1">
      <c r="A33" s="14" t="s">
        <v>976</v>
      </c>
      <c r="B33" s="2" t="str">
        <f>IFERROR(__xludf.DUMMYFUNCTION("SPLIT(A33,""("")"),"Ar. Mohammad Mahbub Hossain ")</f>
        <v>Ar. Mohammad Mahbub Hossain </v>
      </c>
      <c r="C33" s="2" t="str">
        <f>IFERROR(__xludf.DUMMYFUNCTION("""COMPUTED_VALUE"""),"H-149) Managing Partner &amp; Ar. Nusrat Sumaiya ")</f>
        <v>H-149) Managing Partner &amp; Ar. Nusrat Sumaiya </v>
      </c>
      <c r="D33" s="2" t="str">
        <f>IFERROR(__xludf.DUMMYFUNCTION("""COMPUTED_VALUE"""),"S-118) Managing Partner")</f>
        <v>S-118) Managing Partner</v>
      </c>
      <c r="G33" s="2" t="s">
        <v>1566</v>
      </c>
      <c r="H33" s="2" t="str">
        <f>IFERROR(__xludf.DUMMYFUNCTION("split(G33,"")"")"),"H-149")</f>
        <v>H-149</v>
      </c>
      <c r="I33" s="2" t="str">
        <f>IFERROR(__xludf.DUMMYFUNCTION("""COMPUTED_VALUE""")," Managing Partner &amp; Ar. Nusrat Sumaiya ")</f>
        <v> Managing Partner &amp; Ar. Nusrat Sumaiya </v>
      </c>
      <c r="J33" s="2" t="s">
        <v>1567</v>
      </c>
      <c r="K33" s="1" t="str">
        <f>IFERROR(__xludf.DUMMYFUNCTION("SPLIT(J33,""&amp;"")")," Managing Partner ")</f>
        <v> Managing Partner </v>
      </c>
      <c r="L33" s="2" t="str">
        <f>IFERROR(__xludf.DUMMYFUNCTION("""COMPUTED_VALUE""")," Ar. Nusrat Sumaiya ")</f>
        <v> Ar. Nusrat Sumaiya </v>
      </c>
      <c r="N33" s="19" t="s">
        <v>936</v>
      </c>
      <c r="O33" s="2" t="str">
        <f>IFERROR(__xludf.DUMMYFUNCTION("SPLIT(N33,""+"")"),"website:")</f>
        <v>website:</v>
      </c>
      <c r="P33" s="18"/>
      <c r="Q33" s="18" t="s">
        <v>1568</v>
      </c>
      <c r="R33" s="2" t="str">
        <f t="shared" si="1"/>
        <v>_ +88 01815258257</v>
      </c>
      <c r="S33" s="18" t="s">
        <v>1568</v>
      </c>
    </row>
    <row r="34" ht="15.75" customHeight="1">
      <c r="A34" s="14" t="s">
        <v>904</v>
      </c>
      <c r="B34" s="2" t="str">
        <f>IFERROR(__xludf.DUMMYFUNCTION("SPLIT(A34,""("")"),"Ar. Mahbubul Hasan ")</f>
        <v>Ar. Mahbubul Hasan </v>
      </c>
      <c r="C34" s="2" t="str">
        <f>IFERROR(__xludf.DUMMYFUNCTION("""COMPUTED_VALUE"""),"H-209) Principal Architect")</f>
        <v>H-209) Principal Architect</v>
      </c>
      <c r="G34" s="2" t="s">
        <v>1569</v>
      </c>
      <c r="H34" s="2" t="str">
        <f>IFERROR(__xludf.DUMMYFUNCTION("split(G34,"")"")"),"H-209")</f>
        <v>H-209</v>
      </c>
      <c r="I34" s="2" t="str">
        <f>IFERROR(__xludf.DUMMYFUNCTION("""COMPUTED_VALUE""")," Principal Architect")</f>
        <v> Principal Architect</v>
      </c>
      <c r="J34" s="2" t="s">
        <v>1501</v>
      </c>
      <c r="K34" s="1" t="str">
        <f>IFERROR(__xludf.DUMMYFUNCTION("SPLIT(J34,""&amp;"")")," Principal Architect")</f>
        <v> Principal Architect</v>
      </c>
      <c r="N34" s="19" t="s">
        <v>289</v>
      </c>
      <c r="O34" s="2" t="str">
        <f>IFERROR(__xludf.DUMMYFUNCTION("SPLIT(N34,""+"")"),"Website:")</f>
        <v>Website:</v>
      </c>
      <c r="P34" s="18"/>
      <c r="Q34" s="18" t="s">
        <v>1570</v>
      </c>
      <c r="R34" s="2" t="str">
        <f t="shared" si="1"/>
        <v>_ +88 01758742536, +88 02-47215613</v>
      </c>
      <c r="S34" s="18" t="s">
        <v>1570</v>
      </c>
    </row>
    <row r="35" ht="15.75" customHeight="1">
      <c r="A35" s="14" t="s">
        <v>909</v>
      </c>
      <c r="B35" s="2" t="str">
        <f>IFERROR(__xludf.DUMMYFUNCTION("SPLIT(A35,""("")"),"Ar. M. Arefeen Ibrahim ")</f>
        <v>Ar. M. Arefeen Ibrahim </v>
      </c>
      <c r="C35" s="2" t="str">
        <f>IFERROR(__xludf.DUMMYFUNCTION("""COMPUTED_VALUE"""),"I-047) Principal Architect")</f>
        <v>I-047) Principal Architect</v>
      </c>
      <c r="G35" s="2" t="s">
        <v>1571</v>
      </c>
      <c r="H35" s="2" t="str">
        <f>IFERROR(__xludf.DUMMYFUNCTION("split(G35,"")"")"),"I-047")</f>
        <v>I-047</v>
      </c>
      <c r="I35" s="2" t="str">
        <f>IFERROR(__xludf.DUMMYFUNCTION("""COMPUTED_VALUE""")," Principal Architect")</f>
        <v> Principal Architect</v>
      </c>
      <c r="J35" s="2" t="s">
        <v>1501</v>
      </c>
      <c r="K35" s="1" t="str">
        <f>IFERROR(__xludf.DUMMYFUNCTION("SPLIT(J35,""&amp;"")")," Principal Architect")</f>
        <v> Principal Architect</v>
      </c>
      <c r="N35" s="19" t="s">
        <v>908</v>
      </c>
      <c r="O35" s="2" t="str">
        <f>IFERROR(__xludf.DUMMYFUNCTION("SPLIT(N35,""+"")"),"Website: archiworksbd.wixsite.com/home")</f>
        <v>Website: archiworksbd.wixsite.com/home</v>
      </c>
      <c r="P35" s="18"/>
      <c r="Q35" s="18" t="s">
        <v>1572</v>
      </c>
      <c r="R35" s="2" t="str">
        <f t="shared" si="1"/>
        <v>_ +88 01715035772</v>
      </c>
      <c r="S35" s="18" t="s">
        <v>1572</v>
      </c>
    </row>
    <row r="36" ht="15.75" customHeight="1">
      <c r="A36" s="14" t="s">
        <v>914</v>
      </c>
      <c r="B36" s="2" t="str">
        <f>IFERROR(__xludf.DUMMYFUNCTION("SPLIT(A36,""("")"),"Ar. Md. Momanul Islam Emun ")</f>
        <v>Ar. Md. Momanul Islam Emun </v>
      </c>
      <c r="C36" s="2" t="str">
        <f>IFERROR(__xludf.DUMMYFUNCTION("""COMPUTED_VALUE"""),"E-008) Principal Architect")</f>
        <v>E-008) Principal Architect</v>
      </c>
      <c r="G36" s="2" t="s">
        <v>1573</v>
      </c>
      <c r="H36" s="2" t="str">
        <f>IFERROR(__xludf.DUMMYFUNCTION("split(G36,"")"")"),"E-008")</f>
        <v>E-008</v>
      </c>
      <c r="I36" s="2" t="str">
        <f>IFERROR(__xludf.DUMMYFUNCTION("""COMPUTED_VALUE""")," Principal Architect")</f>
        <v> Principal Architect</v>
      </c>
      <c r="J36" s="2" t="s">
        <v>1501</v>
      </c>
      <c r="K36" s="1" t="str">
        <f>IFERROR(__xludf.DUMMYFUNCTION("SPLIT(J36,""&amp;"")")," Principal Architect")</f>
        <v> Principal Architect</v>
      </c>
      <c r="N36" s="19" t="s">
        <v>289</v>
      </c>
      <c r="O36" s="2" t="str">
        <f>IFERROR(__xludf.DUMMYFUNCTION("SPLIT(N36,""+"")"),"Website:")</f>
        <v>Website:</v>
      </c>
      <c r="P36" s="18"/>
      <c r="Q36" s="18" t="s">
        <v>1574</v>
      </c>
      <c r="R36" s="2" t="str">
        <f t="shared" si="1"/>
        <v>_ +88 01711829295</v>
      </c>
      <c r="S36" s="18" t="s">
        <v>1574</v>
      </c>
    </row>
    <row r="37" ht="15.75" customHeight="1">
      <c r="A37" s="14" t="s">
        <v>977</v>
      </c>
      <c r="B37" s="2" t="str">
        <f>IFERROR(__xludf.DUMMYFUNCTION("SPLIT(A37,""("")"),"Ar. Nahas Ahmed Khalil ")</f>
        <v>Ar. Nahas Ahmed Khalil </v>
      </c>
      <c r="C37" s="2" t="str">
        <f>IFERROR(__xludf.DUMMYFUNCTION("""COMPUTED_VALUE"""),"K-022) Partner &amp; Ar. Md. Momanul Islam Emun ")</f>
        <v>K-022) Partner &amp; Ar. Md. Momanul Islam Emun </v>
      </c>
      <c r="D37" s="2" t="str">
        <f>IFERROR(__xludf.DUMMYFUNCTION("""COMPUTED_VALUE"""),"E-008) Partner")</f>
        <v>E-008) Partner</v>
      </c>
      <c r="G37" s="2" t="s">
        <v>1575</v>
      </c>
      <c r="H37" s="2" t="str">
        <f>IFERROR(__xludf.DUMMYFUNCTION("split(G37,"")"")"),"K-022")</f>
        <v>K-022</v>
      </c>
      <c r="I37" s="2" t="str">
        <f>IFERROR(__xludf.DUMMYFUNCTION("""COMPUTED_VALUE""")," Partner &amp; Ar. Md. Momanul Islam Emun ")</f>
        <v> Partner &amp; Ar. Md. Momanul Islam Emun </v>
      </c>
      <c r="J37" s="2" t="s">
        <v>1576</v>
      </c>
      <c r="K37" s="1" t="str">
        <f>IFERROR(__xludf.DUMMYFUNCTION("SPLIT(J37,""&amp;"")")," Partner ")</f>
        <v> Partner </v>
      </c>
      <c r="L37" s="2" t="str">
        <f>IFERROR(__xludf.DUMMYFUNCTION("""COMPUTED_VALUE""")," Ar. Md. Momanul Islam Emun ")</f>
        <v> Ar. Md. Momanul Islam Emun </v>
      </c>
      <c r="N37" s="19" t="s">
        <v>289</v>
      </c>
      <c r="O37" s="2" t="str">
        <f>IFERROR(__xludf.DUMMYFUNCTION("SPLIT(N37,""+"")"),"Website:")</f>
        <v>Website:</v>
      </c>
      <c r="P37" s="18"/>
      <c r="Q37" s="18" t="s">
        <v>1574</v>
      </c>
      <c r="R37" s="2" t="str">
        <f t="shared" si="1"/>
        <v>_ +88 01711829295</v>
      </c>
      <c r="S37" s="18" t="s">
        <v>1574</v>
      </c>
    </row>
    <row r="38" ht="15.75" customHeight="1">
      <c r="A38" s="14" t="s">
        <v>8</v>
      </c>
      <c r="B38" s="2" t="str">
        <f>IFERROR(__xludf.DUMMYFUNCTION("SPLIT(A38,""("")"),"Ar. Asfarul Islam ")</f>
        <v>Ar. Asfarul Islam </v>
      </c>
      <c r="C38" s="2" t="str">
        <f>IFERROR(__xludf.DUMMYFUNCTION("""COMPUTED_VALUE"""),"I‐020) Proprietor")</f>
        <v>I‐020) Proprietor</v>
      </c>
      <c r="G38" s="2" t="s">
        <v>1577</v>
      </c>
      <c r="H38" s="2" t="str">
        <f>IFERROR(__xludf.DUMMYFUNCTION("split(G38,"")"")"),"I‐020")</f>
        <v>I‐020</v>
      </c>
      <c r="I38" s="2" t="str">
        <f>IFERROR(__xludf.DUMMYFUNCTION("""COMPUTED_VALUE""")," Proprietor")</f>
        <v> Proprietor</v>
      </c>
      <c r="J38" s="2" t="s">
        <v>1522</v>
      </c>
      <c r="K38" s="1" t="str">
        <f>IFERROR(__xludf.DUMMYFUNCTION("SPLIT(J38,""&amp;"")")," Proprietor")</f>
        <v> Proprietor</v>
      </c>
      <c r="N38" s="19" t="s">
        <v>6</v>
      </c>
      <c r="O38" s="2" t="str">
        <f>IFERROR(__xludf.DUMMYFUNCTION("SPLIT(N38,""+"")"),"Website : www.basatikalpa.com Contact: ")</f>
        <v>Website : www.basatikalpa.com Contact: </v>
      </c>
      <c r="P38" s="18" t="str">
        <f>IFERROR(__xludf.DUMMYFUNCTION("""COMPUTED_VALUE"""),"88‐02‐7252314")</f>
        <v>88‐02‐7252314</v>
      </c>
      <c r="Q38" s="18" t="s">
        <v>1498</v>
      </c>
      <c r="R38" s="2" t="str">
        <f t="shared" si="1"/>
        <v>88‐02‐7252314_N/A</v>
      </c>
      <c r="S38" s="18" t="s">
        <v>1578</v>
      </c>
    </row>
    <row r="39" ht="15.75" customHeight="1">
      <c r="A39" s="14" t="s">
        <v>15</v>
      </c>
      <c r="B39" s="2" t="str">
        <f>IFERROR(__xludf.DUMMYFUNCTION("SPLIT(A39,""("")"),"Ar. Tariqul Islam ")</f>
        <v>Ar. Tariqul Islam </v>
      </c>
      <c r="C39" s="2" t="str">
        <f>IFERROR(__xludf.DUMMYFUNCTION("""COMPUTED_VALUE"""),"I‐028) Proprietor")</f>
        <v>I‐028) Proprietor</v>
      </c>
      <c r="G39" s="2" t="s">
        <v>1579</v>
      </c>
      <c r="H39" s="2" t="str">
        <f>IFERROR(__xludf.DUMMYFUNCTION("split(G39,"")"")"),"I‐028")</f>
        <v>I‐028</v>
      </c>
      <c r="I39" s="2" t="str">
        <f>IFERROR(__xludf.DUMMYFUNCTION("""COMPUTED_VALUE""")," Proprietor")</f>
        <v> Proprietor</v>
      </c>
      <c r="J39" s="2" t="s">
        <v>1522</v>
      </c>
      <c r="K39" s="1" t="str">
        <f>IFERROR(__xludf.DUMMYFUNCTION("SPLIT(J39,""&amp;"")")," Proprietor")</f>
        <v> Proprietor</v>
      </c>
      <c r="N39" s="19" t="s">
        <v>289</v>
      </c>
      <c r="O39" s="2" t="str">
        <f>IFERROR(__xludf.DUMMYFUNCTION("SPLIT(N39,""+"")"),"Website:")</f>
        <v>Website:</v>
      </c>
      <c r="P39" s="18"/>
      <c r="Q39" s="18" t="s">
        <v>1580</v>
      </c>
      <c r="R39" s="2" t="str">
        <f t="shared" si="1"/>
        <v>_ 09611689575‐6</v>
      </c>
      <c r="S39" s="18" t="s">
        <v>1580</v>
      </c>
    </row>
    <row r="40" ht="15.75" customHeight="1">
      <c r="A40" s="14" t="s">
        <v>930</v>
      </c>
      <c r="B40" s="2" t="str">
        <f>IFERROR(__xludf.DUMMYFUNCTION("SPLIT(A40,""("")"),"Ar. Rahat Mujib Niaz ")</f>
        <v>Ar. Rahat Mujib Niaz </v>
      </c>
      <c r="C40" s="2" t="str">
        <f>IFERROR(__xludf.DUMMYFUNCTION("""COMPUTED_VALUE"""),"N‐029) Principal Architect &amp; Ar.Faisal Billah ")</f>
        <v>N‐029) Principal Architect &amp; Ar.Faisal Billah </v>
      </c>
      <c r="D40" s="2" t="str">
        <f>IFERROR(__xludf.DUMMYFUNCTION("""COMPUTED_VALUE"""),"B‐034) Architect Partner")</f>
        <v>B‐034) Architect Partner</v>
      </c>
      <c r="G40" s="2" t="s">
        <v>1581</v>
      </c>
      <c r="H40" s="2" t="str">
        <f>IFERROR(__xludf.DUMMYFUNCTION("split(G40,"")"")"),"N‐029")</f>
        <v>N‐029</v>
      </c>
      <c r="I40" s="2" t="str">
        <f>IFERROR(__xludf.DUMMYFUNCTION("""COMPUTED_VALUE""")," Principal Architect &amp; Ar.Faisal Billah ")</f>
        <v> Principal Architect &amp; Ar.Faisal Billah </v>
      </c>
      <c r="J40" s="2" t="s">
        <v>1582</v>
      </c>
      <c r="K40" s="1" t="str">
        <f>IFERROR(__xludf.DUMMYFUNCTION("SPLIT(J40,""&amp;"")")," Principal Architect ")</f>
        <v> Principal Architect </v>
      </c>
      <c r="L40" s="2" t="str">
        <f>IFERROR(__xludf.DUMMYFUNCTION("""COMPUTED_VALUE""")," Ar.Faisal Billah ")</f>
        <v> Ar.Faisal Billah </v>
      </c>
      <c r="N40" s="19" t="s">
        <v>21</v>
      </c>
      <c r="O40" s="2" t="str">
        <f>IFERROR(__xludf.DUMMYFUNCTION("SPLIT(N40,""+"")"),"Website : www.binyashltd.com Contact: ")</f>
        <v>Website : www.binyashltd.com Contact: </v>
      </c>
      <c r="P40" s="18" t="str">
        <f>IFERROR(__xludf.DUMMYFUNCTION("""COMPUTED_VALUE"""),"88‐02‐8715368")</f>
        <v>88‐02‐8715368</v>
      </c>
      <c r="Q40" s="18" t="s">
        <v>1498</v>
      </c>
      <c r="R40" s="2" t="str">
        <f t="shared" si="1"/>
        <v>88‐02‐8715368_N/A</v>
      </c>
      <c r="S40" s="18" t="s">
        <v>1583</v>
      </c>
    </row>
    <row r="41" ht="15.75" customHeight="1">
      <c r="A41" s="14" t="s">
        <v>30</v>
      </c>
      <c r="B41" s="2" t="str">
        <f>IFERROR(__xludf.DUMMYFUNCTION("SPLIT(A41,""("")"),"Ar. Bidhan Kumar Saha ")</f>
        <v>Ar. Bidhan Kumar Saha </v>
      </c>
      <c r="C41" s="2" t="str">
        <f>IFERROR(__xludf.DUMMYFUNCTION("""COMPUTED_VALUE"""),"S‐062) Proprietor")</f>
        <v>S‐062) Proprietor</v>
      </c>
      <c r="G41" s="2" t="s">
        <v>1584</v>
      </c>
      <c r="H41" s="2" t="str">
        <f>IFERROR(__xludf.DUMMYFUNCTION("split(G41,"")"")"),"S‐062")</f>
        <v>S‐062</v>
      </c>
      <c r="I41" s="2" t="str">
        <f>IFERROR(__xludf.DUMMYFUNCTION("""COMPUTED_VALUE""")," Proprietor")</f>
        <v> Proprietor</v>
      </c>
      <c r="J41" s="2" t="s">
        <v>1522</v>
      </c>
      <c r="K41" s="1" t="str">
        <f>IFERROR(__xludf.DUMMYFUNCTION("SPLIT(J41,""&amp;"")")," Proprietor")</f>
        <v> Proprietor</v>
      </c>
      <c r="N41" s="19" t="s">
        <v>29</v>
      </c>
      <c r="O41" s="2" t="str">
        <f>IFERROR(__xludf.DUMMYFUNCTION("SPLIT(N41,""+"")"),"Website : www.bksandassociates.com Contact: ")</f>
        <v>Website : www.bksandassociates.com Contact: </v>
      </c>
      <c r="P41" s="18" t="str">
        <f>IFERROR(__xludf.DUMMYFUNCTION("""COMPUTED_VALUE"""),"88‐02‐9677467")</f>
        <v>88‐02‐9677467</v>
      </c>
      <c r="Q41" s="18" t="s">
        <v>1498</v>
      </c>
      <c r="R41" s="2" t="str">
        <f t="shared" si="1"/>
        <v>88‐02‐9677467_N/A</v>
      </c>
      <c r="S41" s="18" t="s">
        <v>1585</v>
      </c>
    </row>
    <row r="42" ht="15.75" customHeight="1">
      <c r="A42" s="14" t="s">
        <v>36</v>
      </c>
      <c r="B42" s="2" t="str">
        <f>IFERROR(__xludf.DUMMYFUNCTION("SPLIT(A42,""("")"),"Ar. Ruksana Sultana ")</f>
        <v>Ar. Ruksana Sultana </v>
      </c>
      <c r="C42" s="2" t="str">
        <f>IFERROR(__xludf.DUMMYFUNCTION("""COMPUTED_VALUE"""),"S‐155) Principal")</f>
        <v>S‐155) Principal</v>
      </c>
      <c r="G42" s="2" t="s">
        <v>1586</v>
      </c>
      <c r="H42" s="2" t="str">
        <f>IFERROR(__xludf.DUMMYFUNCTION("split(G42,"")"")"),"S‐155")</f>
        <v>S‐155</v>
      </c>
      <c r="I42" s="2" t="str">
        <f>IFERROR(__xludf.DUMMYFUNCTION("""COMPUTED_VALUE""")," Principal")</f>
        <v> Principal</v>
      </c>
      <c r="J42" s="2" t="s">
        <v>1587</v>
      </c>
      <c r="K42" s="1" t="str">
        <f>IFERROR(__xludf.DUMMYFUNCTION("SPLIT(J42,""&amp;"")")," Principal")</f>
        <v> Principal</v>
      </c>
      <c r="N42" s="19" t="s">
        <v>289</v>
      </c>
      <c r="O42" s="2" t="str">
        <f>IFERROR(__xludf.DUMMYFUNCTION("SPLIT(N42,""+"")"),"Website:")</f>
        <v>Website:</v>
      </c>
      <c r="P42" s="18"/>
      <c r="Q42" s="18" t="s">
        <v>1588</v>
      </c>
      <c r="R42" s="2" t="str">
        <f t="shared" si="1"/>
        <v>_ +8801711593658, 8801713453239</v>
      </c>
      <c r="S42" s="18" t="s">
        <v>1588</v>
      </c>
    </row>
    <row r="43" ht="15.75" customHeight="1">
      <c r="A43" s="14" t="s">
        <v>45</v>
      </c>
      <c r="B43" s="2" t="str">
        <f>IFERROR(__xludf.DUMMYFUNCTION("SPLIT(A43,""("")"),"Ar. Faysal Kabir ")</f>
        <v>Ar. Faysal Kabir </v>
      </c>
      <c r="C43" s="2" t="str">
        <f>IFERROR(__xludf.DUMMYFUNCTION("""COMPUTED_VALUE"""),"K‐108) Principal Architect")</f>
        <v>K‐108) Principal Architect</v>
      </c>
      <c r="G43" s="2" t="s">
        <v>1589</v>
      </c>
      <c r="H43" s="2" t="str">
        <f>IFERROR(__xludf.DUMMYFUNCTION("split(G43,"")"")"),"K‐108")</f>
        <v>K‐108</v>
      </c>
      <c r="I43" s="2" t="str">
        <f>IFERROR(__xludf.DUMMYFUNCTION("""COMPUTED_VALUE""")," Principal Architect")</f>
        <v> Principal Architect</v>
      </c>
      <c r="J43" s="2" t="s">
        <v>1501</v>
      </c>
      <c r="K43" s="1" t="str">
        <f>IFERROR(__xludf.DUMMYFUNCTION("SPLIT(J43,""&amp;"")")," Principal Architect")</f>
        <v> Principal Architect</v>
      </c>
      <c r="N43" s="19" t="s">
        <v>43</v>
      </c>
      <c r="O43" s="2" t="str">
        <f>IFERROR(__xludf.DUMMYFUNCTION("SPLIT(N43,""+"")"),"Website : www.37bridge.net Contact: ")</f>
        <v>Website : www.37bridge.net Contact: </v>
      </c>
      <c r="P43" s="18" t="str">
        <f>IFERROR(__xludf.DUMMYFUNCTION("""COMPUTED_VALUE"""),"88‐02‐8051994")</f>
        <v>88‐02‐8051994</v>
      </c>
      <c r="Q43" s="18" t="s">
        <v>1498</v>
      </c>
      <c r="R43" s="2" t="str">
        <f t="shared" si="1"/>
        <v>88‐02‐8051994_N/A</v>
      </c>
      <c r="S43" s="18" t="s">
        <v>1590</v>
      </c>
    </row>
    <row r="44" ht="15.75" customHeight="1">
      <c r="A44" s="14" t="s">
        <v>51</v>
      </c>
      <c r="B44" s="2" t="str">
        <f>IFERROR(__xludf.DUMMYFUNCTION("SPLIT(A44,""("")"),"Ar. Dr. Prof. Nizamuddin Ahmed ")</f>
        <v>Ar. Dr. Prof. Nizamuddin Ahmed </v>
      </c>
      <c r="C44" s="2" t="str">
        <f>IFERROR(__xludf.DUMMYFUNCTION("""COMPUTED_VALUE"""),"A‐040) Managing Director")</f>
        <v>A‐040) Managing Director</v>
      </c>
      <c r="G44" s="2" t="s">
        <v>1591</v>
      </c>
      <c r="H44" s="2" t="str">
        <f>IFERROR(__xludf.DUMMYFUNCTION("split(G44,"")"")"),"A‐040")</f>
        <v>A‐040</v>
      </c>
      <c r="I44" s="2" t="str">
        <f>IFERROR(__xludf.DUMMYFUNCTION("""COMPUTED_VALUE""")," Managing Director")</f>
        <v> Managing Director</v>
      </c>
      <c r="J44" s="2" t="s">
        <v>1497</v>
      </c>
      <c r="K44" s="1" t="str">
        <f>IFERROR(__xludf.DUMMYFUNCTION("SPLIT(J44,""&amp;"")")," Managing Director")</f>
        <v> Managing Director</v>
      </c>
      <c r="N44" s="19" t="s">
        <v>50</v>
      </c>
      <c r="O44" s="2" t="str">
        <f>IFERROR(__xludf.DUMMYFUNCTION("SPLIT(N44,""+"")"),"Website :")</f>
        <v>Website :</v>
      </c>
      <c r="P44" s="18"/>
      <c r="Q44" s="18" t="s">
        <v>1592</v>
      </c>
      <c r="R44" s="2" t="str">
        <f t="shared" si="1"/>
        <v>_ +88‐01711534290</v>
      </c>
      <c r="S44" s="18" t="s">
        <v>1592</v>
      </c>
    </row>
    <row r="45" ht="15.75" customHeight="1">
      <c r="A45" s="14" t="s">
        <v>932</v>
      </c>
      <c r="B45" s="2" t="str">
        <f>IFERROR(__xludf.DUMMYFUNCTION("SPLIT(A45,""("")"),"Ar. B.K.S. Inan ")</f>
        <v>Ar. B.K.S. Inan </v>
      </c>
      <c r="C45" s="2" t="str">
        <f>IFERROR(__xludf.DUMMYFUNCTION("""COMPUTED_VALUE"""),"I‐015) Managing Director &amp; Ar. Sayeda Sultana ")</f>
        <v>I‐015) Managing Director &amp; Ar. Sayeda Sultana </v>
      </c>
      <c r="D45" s="2" t="str">
        <f>IFERROR(__xludf.DUMMYFUNCTION("""COMPUTED_VALUE"""),"S‐017) Director")</f>
        <v>S‐017) Director</v>
      </c>
      <c r="G45" s="2" t="s">
        <v>1593</v>
      </c>
      <c r="H45" s="2" t="str">
        <f>IFERROR(__xludf.DUMMYFUNCTION("split(G45,"")"")"),"I‐015")</f>
        <v>I‐015</v>
      </c>
      <c r="I45" s="2" t="str">
        <f>IFERROR(__xludf.DUMMYFUNCTION("""COMPUTED_VALUE""")," Managing Director &amp; Ar. Sayeda Sultana ")</f>
        <v> Managing Director &amp; Ar. Sayeda Sultana </v>
      </c>
      <c r="J45" s="2" t="s">
        <v>1594</v>
      </c>
      <c r="K45" s="1" t="str">
        <f>IFERROR(__xludf.DUMMYFUNCTION("SPLIT(J45,""&amp;"")")," Managing Director ")</f>
        <v> Managing Director </v>
      </c>
      <c r="L45" s="2" t="str">
        <f>IFERROR(__xludf.DUMMYFUNCTION("""COMPUTED_VALUE""")," Ar. Sayeda Sultana ")</f>
        <v> Ar. Sayeda Sultana </v>
      </c>
      <c r="N45" s="19" t="s">
        <v>289</v>
      </c>
      <c r="O45" s="2" t="str">
        <f>IFERROR(__xludf.DUMMYFUNCTION("SPLIT(N45,""+"")"),"Website:")</f>
        <v>Website:</v>
      </c>
      <c r="P45" s="18"/>
      <c r="Q45" s="18">
        <v>8.801671119933E12</v>
      </c>
      <c r="R45" s="2" t="str">
        <f t="shared" si="1"/>
        <v>_8801671119933</v>
      </c>
      <c r="S45" s="18">
        <v>8.801671119933E12</v>
      </c>
    </row>
    <row r="46" ht="15.75" customHeight="1">
      <c r="A46" s="14" t="s">
        <v>65</v>
      </c>
      <c r="B46" s="2" t="str">
        <f>IFERROR(__xludf.DUMMYFUNCTION("SPLIT(A46,""("")"),"Ar. Nazmul Haque Khan ")</f>
        <v>Ar. Nazmul Haque Khan </v>
      </c>
      <c r="C46" s="2" t="str">
        <f>IFERROR(__xludf.DUMMYFUNCTION("""COMPUTED_VALUE"""),"K‐056) Managing Partner")</f>
        <v>K‐056) Managing Partner</v>
      </c>
      <c r="G46" s="2" t="s">
        <v>1595</v>
      </c>
      <c r="H46" s="2" t="str">
        <f>IFERROR(__xludf.DUMMYFUNCTION("split(G46,"")"")"),"K‐056")</f>
        <v>K‐056</v>
      </c>
      <c r="I46" s="2" t="str">
        <f>IFERROR(__xludf.DUMMYFUNCTION("""COMPUTED_VALUE""")," Managing Partner")</f>
        <v> Managing Partner</v>
      </c>
      <c r="J46" s="2" t="s">
        <v>1544</v>
      </c>
      <c r="K46" s="1" t="str">
        <f>IFERROR(__xludf.DUMMYFUNCTION("SPLIT(J46,""&amp;"")")," Managing Partner")</f>
        <v> Managing Partner</v>
      </c>
      <c r="N46" s="19" t="s">
        <v>289</v>
      </c>
      <c r="O46" s="2" t="str">
        <f>IFERROR(__xludf.DUMMYFUNCTION("SPLIT(N46,""+"")"),"Website:")</f>
        <v>Website:</v>
      </c>
      <c r="P46" s="18"/>
      <c r="Q46" s="18">
        <v>8.801819272915E12</v>
      </c>
      <c r="R46" s="2" t="str">
        <f t="shared" si="1"/>
        <v>_8801819272915</v>
      </c>
      <c r="S46" s="18">
        <v>8.801819272915E12</v>
      </c>
    </row>
    <row r="47" ht="15.75" customHeight="1">
      <c r="A47" s="14" t="s">
        <v>933</v>
      </c>
      <c r="B47" s="2" t="str">
        <f>IFERROR(__xludf.DUMMYFUNCTION("SPLIT(A47,""("")"),"Ar. Khandaker Ashifuzzaman ")</f>
        <v>Ar. Khandaker Ashifuzzaman </v>
      </c>
      <c r="C47" s="2" t="str">
        <f>IFERROR(__xludf.DUMMYFUNCTION("""COMPUTED_VALUE"""),"A‐194) Managing Director &amp; Ar. Ahmed Firoj Ul Hoque ")</f>
        <v>A‐194) Managing Director &amp; Ar. Ahmed Firoj Ul Hoque </v>
      </c>
      <c r="D47" s="2" t="str">
        <f>IFERROR(__xludf.DUMMYFUNCTION("""COMPUTED_VALUE"""),"H‐213) Chairman &amp; Ar. Shakhawat Hossain ")</f>
        <v>H‐213) Chairman &amp; Ar. Shakhawat Hossain </v>
      </c>
      <c r="E47" s="2" t="str">
        <f>IFERROR(__xludf.DUMMYFUNCTION("""COMPUTED_VALUE"""),"H‐216) Director")</f>
        <v>H‐216) Director</v>
      </c>
      <c r="G47" s="2" t="s">
        <v>1596</v>
      </c>
      <c r="H47" s="2" t="str">
        <f>IFERROR(__xludf.DUMMYFUNCTION("split(G47,"")"")"),"A‐194")</f>
        <v>A‐194</v>
      </c>
      <c r="I47" s="2" t="str">
        <f>IFERROR(__xludf.DUMMYFUNCTION("""COMPUTED_VALUE""")," Managing Director &amp; Ar. Ahmed Firoj Ul Hoque ")</f>
        <v> Managing Director &amp; Ar. Ahmed Firoj Ul Hoque </v>
      </c>
      <c r="J47" s="2" t="s">
        <v>1597</v>
      </c>
      <c r="K47" s="1" t="str">
        <f>IFERROR(__xludf.DUMMYFUNCTION("SPLIT(J47,""&amp;"")")," Managing Director ")</f>
        <v> Managing Director </v>
      </c>
      <c r="L47" s="2" t="str">
        <f>IFERROR(__xludf.DUMMYFUNCTION("""COMPUTED_VALUE""")," Ar. Ahmed Firoj Ul Hoque ")</f>
        <v> Ar. Ahmed Firoj Ul Hoque </v>
      </c>
      <c r="N47" s="19" t="s">
        <v>71</v>
      </c>
      <c r="O47" s="2" t="str">
        <f>IFERROR(__xludf.DUMMYFUNCTION("SPLIT(N47,""+"")"),"Website : www.cubeinsidebd.com Contact: ")</f>
        <v>Website : www.cubeinsidebd.com Contact: </v>
      </c>
      <c r="P47" s="18" t="str">
        <f>IFERROR(__xludf.DUMMYFUNCTION("""COMPUTED_VALUE"""),"88‐02‐9870193")</f>
        <v>88‐02‐9870193</v>
      </c>
      <c r="Q47" s="18" t="s">
        <v>1498</v>
      </c>
      <c r="R47" s="2" t="str">
        <f t="shared" si="1"/>
        <v>88‐02‐9870193_N/A</v>
      </c>
      <c r="S47" s="18" t="s">
        <v>1598</v>
      </c>
    </row>
    <row r="48" ht="15.75" customHeight="1">
      <c r="A48" s="14" t="s">
        <v>934</v>
      </c>
      <c r="B48" s="2" t="str">
        <f>IFERROR(__xludf.DUMMYFUNCTION("SPLIT(A48,""("")"),"Ar. Munirul Haque ")</f>
        <v>Ar. Munirul Haque </v>
      </c>
      <c r="C48" s="2" t="str">
        <f>IFERROR(__xludf.DUMMYFUNCTION("""COMPUTED_VALUE"""),"H‐011) Managing Director &amp; Ar. Alfaz Hossain ")</f>
        <v>H‐011) Managing Director &amp; Ar. Alfaz Hossain </v>
      </c>
      <c r="D48" s="2" t="str">
        <f>IFERROR(__xludf.DUMMYFUNCTION("""COMPUTED_VALUE"""),"H‐003) Director")</f>
        <v>H‐003) Director</v>
      </c>
      <c r="G48" s="2" t="s">
        <v>1599</v>
      </c>
      <c r="H48" s="2" t="str">
        <f>IFERROR(__xludf.DUMMYFUNCTION("split(G48,"")"")"),"H‐011")</f>
        <v>H‐011</v>
      </c>
      <c r="I48" s="2" t="str">
        <f>IFERROR(__xludf.DUMMYFUNCTION("""COMPUTED_VALUE""")," Managing Director &amp; Ar. Alfaz Hossain ")</f>
        <v> Managing Director &amp; Ar. Alfaz Hossain </v>
      </c>
      <c r="J48" s="2" t="s">
        <v>1600</v>
      </c>
      <c r="K48" s="1" t="str">
        <f>IFERROR(__xludf.DUMMYFUNCTION("SPLIT(J48,""&amp;"")")," Managing Director ")</f>
        <v> Managing Director </v>
      </c>
      <c r="L48" s="2" t="str">
        <f>IFERROR(__xludf.DUMMYFUNCTION("""COMPUTED_VALUE""")," Ar. Alfaz Hossain ")</f>
        <v> Ar. Alfaz Hossain </v>
      </c>
      <c r="N48" s="19" t="s">
        <v>80</v>
      </c>
      <c r="O48" s="2" t="str">
        <f>IFERROR(__xludf.DUMMYFUNCTION("SPLIT(N48,""+"")"),"Website : www.deshupodesh.com Contact: ")</f>
        <v>Website : www.deshupodesh.com Contact: </v>
      </c>
      <c r="P48" s="18" t="str">
        <f>IFERROR(__xludf.DUMMYFUNCTION("""COMPUTED_VALUE"""),"88‐02‐8117694, 9137154")</f>
        <v>88‐02‐8117694, 9137154</v>
      </c>
      <c r="Q48" s="18" t="s">
        <v>1498</v>
      </c>
      <c r="R48" s="2" t="str">
        <f t="shared" si="1"/>
        <v>88‐02‐8117694, 9137154_N/A</v>
      </c>
      <c r="S48" s="18" t="s">
        <v>1601</v>
      </c>
    </row>
    <row r="49" ht="15.75" customHeight="1">
      <c r="A49" s="14" t="s">
        <v>88</v>
      </c>
      <c r="B49" s="2" t="str">
        <f>IFERROR(__xludf.DUMMYFUNCTION("SPLIT(A49,""("")"),"Ar. Arif Hasan ")</f>
        <v>Ar. Arif Hasan </v>
      </c>
      <c r="C49" s="2" t="str">
        <f>IFERROR(__xludf.DUMMYFUNCTION("""COMPUTED_VALUE"""),"H‐136) CEO")</f>
        <v>H‐136) CEO</v>
      </c>
      <c r="G49" s="2" t="s">
        <v>1602</v>
      </c>
      <c r="H49" s="2" t="str">
        <f>IFERROR(__xludf.DUMMYFUNCTION("split(G49,"")"")"),"H‐136")</f>
        <v>H‐136</v>
      </c>
      <c r="I49" s="2" t="str">
        <f>IFERROR(__xludf.DUMMYFUNCTION("""COMPUTED_VALUE""")," CEO")</f>
        <v> CEO</v>
      </c>
      <c r="J49" s="2" t="s">
        <v>1603</v>
      </c>
      <c r="K49" s="1" t="str">
        <f>IFERROR(__xludf.DUMMYFUNCTION("SPLIT(J49,""&amp;"")")," CEO")</f>
        <v> CEO</v>
      </c>
      <c r="N49" s="19" t="s">
        <v>289</v>
      </c>
      <c r="O49" s="2" t="str">
        <f>IFERROR(__xludf.DUMMYFUNCTION("SPLIT(N49,""+"")"),"Website:")</f>
        <v>Website:</v>
      </c>
      <c r="P49" s="18"/>
      <c r="Q49" s="18" t="s">
        <v>1604</v>
      </c>
      <c r="R49" s="2" t="str">
        <f t="shared" si="1"/>
        <v>_ +88‐02‐ 8150612</v>
      </c>
      <c r="S49" s="18" t="s">
        <v>1604</v>
      </c>
    </row>
    <row r="50" ht="15.75" customHeight="1">
      <c r="A50" s="14" t="s">
        <v>94</v>
      </c>
      <c r="B50" s="2" t="str">
        <f>IFERROR(__xludf.DUMMYFUNCTION("SPLIT(A50,""("")"),"Ar. Tajul Islam ")</f>
        <v>Ar. Tajul Islam </v>
      </c>
      <c r="C50" s="2" t="str">
        <f>IFERROR(__xludf.DUMMYFUNCTION("""COMPUTED_VALUE"""),"I‐019) Managing Director")</f>
        <v>I‐019) Managing Director</v>
      </c>
      <c r="G50" s="2" t="s">
        <v>1605</v>
      </c>
      <c r="H50" s="2" t="str">
        <f>IFERROR(__xludf.DUMMYFUNCTION("split(G50,"")"")"),"I‐019")</f>
        <v>I‐019</v>
      </c>
      <c r="I50" s="2" t="str">
        <f>IFERROR(__xludf.DUMMYFUNCTION("""COMPUTED_VALUE""")," Managing Director")</f>
        <v> Managing Director</v>
      </c>
      <c r="J50" s="2" t="s">
        <v>1497</v>
      </c>
      <c r="K50" s="1" t="str">
        <f>IFERROR(__xludf.DUMMYFUNCTION("SPLIT(J50,""&amp;"")")," Managing Director")</f>
        <v> Managing Director</v>
      </c>
      <c r="N50" s="19" t="s">
        <v>289</v>
      </c>
      <c r="O50" s="2" t="str">
        <f>IFERROR(__xludf.DUMMYFUNCTION("SPLIT(N50,""+"")"),"Website:")</f>
        <v>Website:</v>
      </c>
      <c r="P50" s="18"/>
      <c r="Q50" s="18" t="s">
        <v>1606</v>
      </c>
      <c r="R50" s="2" t="str">
        <f t="shared" si="1"/>
        <v>_ +88‐02‐9886055</v>
      </c>
      <c r="S50" s="18" t="s">
        <v>1606</v>
      </c>
    </row>
    <row r="51" ht="15.75" customHeight="1">
      <c r="A51" s="14" t="s">
        <v>935</v>
      </c>
      <c r="B51" s="2" t="str">
        <f>IFERROR(__xludf.DUMMYFUNCTION("SPLIT(A51,""("")"),"Ar. Alamgir Jalil ")</f>
        <v>Ar. Alamgir Jalil </v>
      </c>
      <c r="C51" s="2" t="str">
        <f>IFERROR(__xludf.DUMMYFUNCTION("""COMPUTED_VALUE"""),"J‐014) Managing Director &amp; Ar. Shamina Reza Ava ")</f>
        <v>J‐014) Managing Director &amp; Ar. Shamina Reza Ava </v>
      </c>
      <c r="D51" s="2" t="str">
        <f>IFERROR(__xludf.DUMMYFUNCTION("""COMPUTED_VALUE"""),"CA‐020) Chairman")</f>
        <v>CA‐020) Chairman</v>
      </c>
      <c r="G51" s="2" t="s">
        <v>1607</v>
      </c>
      <c r="H51" s="2" t="str">
        <f>IFERROR(__xludf.DUMMYFUNCTION("split(G51,"")"")"),"J‐014")</f>
        <v>J‐014</v>
      </c>
      <c r="I51" s="2" t="str">
        <f>IFERROR(__xludf.DUMMYFUNCTION("""COMPUTED_VALUE""")," Managing Director &amp; Ar. Shamina Reza Ava ")</f>
        <v> Managing Director &amp; Ar. Shamina Reza Ava </v>
      </c>
      <c r="J51" s="2" t="s">
        <v>1608</v>
      </c>
      <c r="K51" s="1" t="str">
        <f>IFERROR(__xludf.DUMMYFUNCTION("SPLIT(J51,""&amp;"")")," Managing Director ")</f>
        <v> Managing Director </v>
      </c>
      <c r="L51" s="2" t="str">
        <f>IFERROR(__xludf.DUMMYFUNCTION("""COMPUTED_VALUE""")," Ar. Shamina Reza Ava ")</f>
        <v> Ar. Shamina Reza Ava </v>
      </c>
      <c r="N51" s="19" t="s">
        <v>100</v>
      </c>
      <c r="O51" s="2" t="str">
        <f>IFERROR(__xludf.DUMMYFUNCTION("SPLIT(N51,""+"")"),"Website : www.designvision.com.bd Contact: ")</f>
        <v>Website : www.designvision.com.bd Contact: </v>
      </c>
      <c r="P51" s="18" t="str">
        <f>IFERROR(__xludf.DUMMYFUNCTION("""COMPUTED_VALUE"""),"88‐02‐9895183, 8834353")</f>
        <v>88‐02‐9895183, 8834353</v>
      </c>
      <c r="Q51" s="18" t="s">
        <v>1498</v>
      </c>
      <c r="R51" s="2" t="str">
        <f t="shared" si="1"/>
        <v>88‐02‐9895183, 8834353_N/A</v>
      </c>
      <c r="S51" s="18" t="s">
        <v>1609</v>
      </c>
    </row>
    <row r="52" ht="15.75" customHeight="1">
      <c r="A52" s="14" t="s">
        <v>109</v>
      </c>
      <c r="B52" s="2" t="str">
        <f>IFERROR(__xludf.DUMMYFUNCTION("SPLIT(A52,""("")"),"Ar. Mustafa Ameen ")</f>
        <v>Ar. Mustafa Ameen </v>
      </c>
      <c r="C52" s="2" t="str">
        <f>IFERROR(__xludf.DUMMYFUNCTION("""COMPUTED_VALUE"""),"A‐010) Proprietor")</f>
        <v>A‐010) Proprietor</v>
      </c>
      <c r="G52" s="2" t="s">
        <v>1610</v>
      </c>
      <c r="H52" s="2" t="str">
        <f>IFERROR(__xludf.DUMMYFUNCTION("split(G52,"")"")"),"A‐010")</f>
        <v>A‐010</v>
      </c>
      <c r="I52" s="2" t="str">
        <f>IFERROR(__xludf.DUMMYFUNCTION("""COMPUTED_VALUE""")," Proprietor")</f>
        <v> Proprietor</v>
      </c>
      <c r="J52" s="2" t="s">
        <v>1522</v>
      </c>
      <c r="K52" s="1" t="str">
        <f>IFERROR(__xludf.DUMMYFUNCTION("SPLIT(J52,""&amp;"")")," Proprietor")</f>
        <v> Proprietor</v>
      </c>
      <c r="N52" s="19" t="s">
        <v>108</v>
      </c>
      <c r="O52" s="2" t="str">
        <f>IFERROR(__xludf.DUMMYFUNCTION("SPLIT(N52,""+"")"),"Website : www.domusbdarchitects.com Contact: ")</f>
        <v>Website : www.domusbdarchitects.com Contact: </v>
      </c>
      <c r="P52" s="18" t="str">
        <f>IFERROR(__xludf.DUMMYFUNCTION("""COMPUTED_VALUE"""),"88‐02‐8822629,9820968,9820969,9889418")</f>
        <v>88‐02‐8822629,9820968,9820969,9889418</v>
      </c>
      <c r="Q52" s="18" t="s">
        <v>1498</v>
      </c>
      <c r="R52" s="2" t="str">
        <f t="shared" si="1"/>
        <v>88‐02‐8822629,9820968,9820969,9889418_N/A</v>
      </c>
      <c r="S52" s="18" t="s">
        <v>1611</v>
      </c>
    </row>
    <row r="53" ht="15.75" customHeight="1">
      <c r="A53" s="14" t="s">
        <v>115</v>
      </c>
      <c r="B53" s="2" t="str">
        <f>IFERROR(__xludf.DUMMYFUNCTION("SPLIT(A53,""("")"),"Ar. Abu Anas Faisal ")</f>
        <v>Ar. Abu Anas Faisal </v>
      </c>
      <c r="C53" s="2" t="str">
        <f>IFERROR(__xludf.DUMMYFUNCTION("""COMPUTED_VALUE"""),"F‐012) Partner")</f>
        <v>F‐012) Partner</v>
      </c>
      <c r="G53" s="2" t="s">
        <v>1612</v>
      </c>
      <c r="H53" s="2" t="str">
        <f>IFERROR(__xludf.DUMMYFUNCTION("split(G53,"")"")"),"F‐012")</f>
        <v>F‐012</v>
      </c>
      <c r="I53" s="2" t="str">
        <f>IFERROR(__xludf.DUMMYFUNCTION("""COMPUTED_VALUE""")," Partner")</f>
        <v> Partner</v>
      </c>
      <c r="J53" s="2" t="s">
        <v>1613</v>
      </c>
      <c r="K53" s="1" t="str">
        <f>IFERROR(__xludf.DUMMYFUNCTION("SPLIT(J53,""&amp;"")")," Partner")</f>
        <v> Partner</v>
      </c>
      <c r="N53" s="19" t="s">
        <v>936</v>
      </c>
      <c r="O53" s="2" t="str">
        <f>IFERROR(__xludf.DUMMYFUNCTION("SPLIT(N53,""+"")"),"website:")</f>
        <v>website:</v>
      </c>
      <c r="P53" s="18"/>
      <c r="Q53" s="18" t="s">
        <v>1614</v>
      </c>
      <c r="R53" s="2" t="str">
        <f t="shared" si="1"/>
        <v>_ : +8801711614551</v>
      </c>
      <c r="S53" s="18" t="s">
        <v>1614</v>
      </c>
    </row>
    <row r="54" ht="15.75" customHeight="1">
      <c r="A54" s="14" t="s">
        <v>122</v>
      </c>
      <c r="B54" s="2" t="str">
        <f>IFERROR(__xludf.DUMMYFUNCTION("SPLIT(A54,""("")"),"Ar. Rashed Hassan Chowdhury ")</f>
        <v>Ar. Rashed Hassan Chowdhury </v>
      </c>
      <c r="C54" s="2" t="str">
        <f>IFERROR(__xludf.DUMMYFUNCTION("""COMPUTED_VALUE"""),"C‐069) Principal Architect")</f>
        <v>C‐069) Principal Architect</v>
      </c>
      <c r="G54" s="2" t="s">
        <v>1615</v>
      </c>
      <c r="H54" s="2" t="str">
        <f>IFERROR(__xludf.DUMMYFUNCTION("split(G54,"")"")"),"C‐069")</f>
        <v>C‐069</v>
      </c>
      <c r="I54" s="2" t="str">
        <f>IFERROR(__xludf.DUMMYFUNCTION("""COMPUTED_VALUE""")," Principal Architect")</f>
        <v> Principal Architect</v>
      </c>
      <c r="J54" s="2" t="s">
        <v>1501</v>
      </c>
      <c r="K54" s="1" t="str">
        <f>IFERROR(__xludf.DUMMYFUNCTION("SPLIT(J54,""&amp;"")")," Principal Architect")</f>
        <v> Principal Architect</v>
      </c>
      <c r="N54" s="19" t="s">
        <v>121</v>
      </c>
      <c r="O54" s="2" t="str">
        <f>IFERROR(__xludf.DUMMYFUNCTION("SPLIT(N54,""+"")"),"Website : www.dehsarworks.com Contact: ")</f>
        <v>Website : www.dehsarworks.com Contact: </v>
      </c>
      <c r="P54" s="18">
        <f>IFERROR(__xludf.DUMMYFUNCTION("""COMPUTED_VALUE"""),8.801818064118E12)</f>
        <v>8801818064118</v>
      </c>
      <c r="Q54" s="18" t="s">
        <v>1498</v>
      </c>
      <c r="R54" s="2" t="str">
        <f t="shared" si="1"/>
        <v>8801818064118_N/A</v>
      </c>
      <c r="S54" s="18">
        <v>8.801818064118E12</v>
      </c>
    </row>
    <row r="55" ht="15.75" customHeight="1">
      <c r="A55" s="14" t="s">
        <v>129</v>
      </c>
      <c r="B55" s="2" t="str">
        <f>IFERROR(__xludf.DUMMYFUNCTION("SPLIT(A55,""("")"),"Ar. Fairoze Shamim ")</f>
        <v>Ar. Fairoze Shamim </v>
      </c>
      <c r="C55" s="2" t="str">
        <f>IFERROR(__xludf.DUMMYFUNCTION("""COMPUTED_VALUE"""),"S‐067) CEO &amp; Principal Architect")</f>
        <v>S‐067) CEO &amp; Principal Architect</v>
      </c>
      <c r="G55" s="2" t="s">
        <v>1616</v>
      </c>
      <c r="H55" s="2" t="str">
        <f>IFERROR(__xludf.DUMMYFUNCTION("split(G55,"")"")"),"S‐067")</f>
        <v>S‐067</v>
      </c>
      <c r="I55" s="2" t="str">
        <f>IFERROR(__xludf.DUMMYFUNCTION("""COMPUTED_VALUE""")," CEO &amp; Principal Architect")</f>
        <v> CEO &amp; Principal Architect</v>
      </c>
      <c r="J55" s="2" t="s">
        <v>1617</v>
      </c>
      <c r="K55" s="1" t="str">
        <f>IFERROR(__xludf.DUMMYFUNCTION("SPLIT(J55,""&amp;"")")," CEO ")</f>
        <v> CEO </v>
      </c>
      <c r="L55" s="2" t="str">
        <f>IFERROR(__xludf.DUMMYFUNCTION("""COMPUTED_VALUE""")," Principal Architect")</f>
        <v> Principal Architect</v>
      </c>
      <c r="N55" s="19" t="s">
        <v>128</v>
      </c>
      <c r="O55" s="2" t="str">
        <f>IFERROR(__xludf.DUMMYFUNCTION("SPLIT(N55,""+"")"),"Website : www.diagonalarchitects‐bd.com")</f>
        <v>Website : www.diagonalarchitects‐bd.com</v>
      </c>
      <c r="P55" s="18"/>
      <c r="Q55" s="18" t="s">
        <v>1618</v>
      </c>
      <c r="R55" s="2" t="str">
        <f t="shared" si="1"/>
        <v>_ +88‐02‐9126473, 8801766490119</v>
      </c>
      <c r="S55" s="18" t="s">
        <v>1618</v>
      </c>
    </row>
    <row r="56" ht="15.75" customHeight="1">
      <c r="A56" s="14" t="s">
        <v>938</v>
      </c>
      <c r="B56" s="2" t="str">
        <f>IFERROR(__xludf.DUMMYFUNCTION("SPLIT(A56,""("")"),"Ar. M Shihabul Wares ")</f>
        <v>Ar. M Shihabul Wares </v>
      </c>
      <c r="C56" s="2" t="str">
        <f>IFERROR(__xludf.DUMMYFUNCTION("""COMPUTED_VALUE"""),"AW‐007) Partner Architect &amp; Ar. Eshita Rahman ")</f>
        <v>AW‐007) Partner Architect &amp; Ar. Eshita Rahman </v>
      </c>
      <c r="D56" s="2" t="str">
        <f>IFERROR(__xludf.DUMMYFUNCTION("""COMPUTED_VALUE"""),"AR‐143) Partner Architect")</f>
        <v>AR‐143) Partner Architect</v>
      </c>
      <c r="G56" s="2" t="s">
        <v>1619</v>
      </c>
      <c r="H56" s="2" t="str">
        <f>IFERROR(__xludf.DUMMYFUNCTION("split(G56,"")"")"),"AW‐007")</f>
        <v>AW‐007</v>
      </c>
      <c r="I56" s="2" t="str">
        <f>IFERROR(__xludf.DUMMYFUNCTION("""COMPUTED_VALUE""")," Partner Architect &amp; Ar. Eshita Rahman ")</f>
        <v> Partner Architect &amp; Ar. Eshita Rahman </v>
      </c>
      <c r="J56" s="2" t="s">
        <v>1620</v>
      </c>
      <c r="K56" s="1" t="str">
        <f>IFERROR(__xludf.DUMMYFUNCTION("SPLIT(J56,""&amp;"")")," Partner Architect ")</f>
        <v> Partner Architect </v>
      </c>
      <c r="L56" s="2" t="str">
        <f>IFERROR(__xludf.DUMMYFUNCTION("""COMPUTED_VALUE""")," Ar. Eshita Rahman ")</f>
        <v> Ar. Eshita Rahman </v>
      </c>
      <c r="N56" s="19" t="s">
        <v>7</v>
      </c>
      <c r="O56" s="2" t="str">
        <f>IFERROR(__xludf.DUMMYFUNCTION("SPLIT(N56,""+"")"),"NAME OF PROPRIETOR/ PARTNER/ DIRECTOR(s) &amp; DESIGNATION")</f>
        <v>NAME OF PROPRIETOR/ PARTNER/ DIRECTOR(s) &amp; DESIGNATION</v>
      </c>
      <c r="P56" s="18"/>
      <c r="Q56" s="18" t="s">
        <v>1621</v>
      </c>
      <c r="R56" s="2" t="str">
        <f t="shared" si="1"/>
        <v>_ +8801612880595, +8801965370464</v>
      </c>
      <c r="S56" s="18" t="s">
        <v>1621</v>
      </c>
    </row>
    <row r="57" ht="15.75" customHeight="1">
      <c r="A57" s="14" t="s">
        <v>940</v>
      </c>
      <c r="B57" s="2" t="str">
        <f>IFERROR(__xludf.DUMMYFUNCTION("SPLIT(A57,""("")"),"Ar. Naheed Farzana ")</f>
        <v>Ar. Naheed Farzana </v>
      </c>
      <c r="C57" s="2" t="str">
        <f>IFERROR(__xludf.DUMMYFUNCTION("""COMPUTED_VALUE"""),"F‐010) Managing Partner &amp; Ar. Tanzim Hasan Salim ")</f>
        <v>F‐010) Managing Partner &amp; Ar. Tanzim Hasan Salim </v>
      </c>
      <c r="D57" s="2" t="str">
        <f>IFERROR(__xludf.DUMMYFUNCTION("""COMPUTED_VALUE"""),"S‐063) Partner Architect")</f>
        <v>S‐063) Partner Architect</v>
      </c>
      <c r="G57" s="2" t="s">
        <v>1622</v>
      </c>
      <c r="H57" s="2" t="str">
        <f>IFERROR(__xludf.DUMMYFUNCTION("split(G57,"")"")"),"F‐010")</f>
        <v>F‐010</v>
      </c>
      <c r="I57" s="2" t="str">
        <f>IFERROR(__xludf.DUMMYFUNCTION("""COMPUTED_VALUE""")," Managing Partner &amp; Ar. Tanzim Hasan Salim ")</f>
        <v> Managing Partner &amp; Ar. Tanzim Hasan Salim </v>
      </c>
      <c r="J57" s="2" t="s">
        <v>1623</v>
      </c>
      <c r="K57" s="1" t="str">
        <f>IFERROR(__xludf.DUMMYFUNCTION("SPLIT(J57,""&amp;"")")," Managing Partner ")</f>
        <v> Managing Partner </v>
      </c>
      <c r="L57" s="2" t="str">
        <f>IFERROR(__xludf.DUMMYFUNCTION("""COMPUTED_VALUE""")," Ar. Tanzim Hasan Salim ")</f>
        <v> Ar. Tanzim Hasan Salim </v>
      </c>
      <c r="N57" s="19" t="s">
        <v>939</v>
      </c>
      <c r="O57" s="2" t="str">
        <f>IFERROR(__xludf.DUMMYFUNCTION("SPLIT(N57,""+"")"),"Website : www.dwg‐office.com Contact: ")</f>
        <v>Website : www.dwg‐office.com Contact: </v>
      </c>
      <c r="P57" s="18" t="str">
        <f>IFERROR(__xludf.DUMMYFUNCTION("""COMPUTED_VALUE"""),"88‐02‐9125596, 8801819287680")</f>
        <v>88‐02‐9125596, 8801819287680</v>
      </c>
      <c r="Q57" s="18" t="s">
        <v>1498</v>
      </c>
      <c r="R57" s="2" t="str">
        <f t="shared" si="1"/>
        <v>88‐02‐9125596, 8801819287680_N/A</v>
      </c>
      <c r="S57" s="18" t="s">
        <v>1624</v>
      </c>
    </row>
    <row r="58" ht="15.75" customHeight="1">
      <c r="A58" s="14" t="s">
        <v>941</v>
      </c>
      <c r="B58" s="2" t="str">
        <f>IFERROR(__xludf.DUMMYFUNCTION("SPLIT(A58,""("")"),"Ar. Md Rashidur Rahman ")</f>
        <v>Ar. Md Rashidur Rahman </v>
      </c>
      <c r="C58" s="2" t="str">
        <f>IFERROR(__xludf.DUMMYFUNCTION("""COMPUTED_VALUE"""),"R‐134) Principal Architect &amp; Tanzir Choudhury Tuhin Partner")</f>
        <v>R‐134) Principal Architect &amp; Tanzir Choudhury Tuhin Partner</v>
      </c>
      <c r="G58" s="2" t="s">
        <v>1625</v>
      </c>
      <c r="H58" s="2" t="str">
        <f>IFERROR(__xludf.DUMMYFUNCTION("split(G58,"")"")"),"R‐134")</f>
        <v>R‐134</v>
      </c>
      <c r="I58" s="2" t="str">
        <f>IFERROR(__xludf.DUMMYFUNCTION("""COMPUTED_VALUE""")," Principal Architect &amp; Tanzir Choudhury Tuhin Partner")</f>
        <v> Principal Architect &amp; Tanzir Choudhury Tuhin Partner</v>
      </c>
      <c r="J58" s="2" t="s">
        <v>1626</v>
      </c>
      <c r="K58" s="1" t="str">
        <f>IFERROR(__xludf.DUMMYFUNCTION("SPLIT(J58,""&amp;"")")," Principal Architect ")</f>
        <v> Principal Architect </v>
      </c>
      <c r="L58" s="2" t="str">
        <f>IFERROR(__xludf.DUMMYFUNCTION("""COMPUTED_VALUE""")," Tanzir Choudhury Tuhin Partner")</f>
        <v> Tanzir Choudhury Tuhin Partner</v>
      </c>
      <c r="N58" s="19" t="s">
        <v>151</v>
      </c>
      <c r="O58" s="2" t="str">
        <f>IFERROR(__xludf.DUMMYFUNCTION("SPLIT(N58,""+"")"),"Website: www.dasein‐bd.com")</f>
        <v>Website: www.dasein‐bd.com</v>
      </c>
      <c r="P58" s="18"/>
      <c r="Q58" s="18" t="s">
        <v>1627</v>
      </c>
      <c r="R58" s="2" t="str">
        <f t="shared" si="1"/>
        <v>_ +88 01711937254, +88 02‐9125596</v>
      </c>
      <c r="S58" s="18" t="s">
        <v>1627</v>
      </c>
    </row>
    <row r="59" ht="15.75" customHeight="1">
      <c r="A59" s="14" t="s">
        <v>942</v>
      </c>
      <c r="B59" s="2" t="str">
        <f>IFERROR(__xludf.DUMMYFUNCTION("SPLIT(A59,""("")"),"Ar. Mamnoon M. Chowdhury ")</f>
        <v>Ar. Mamnoon M. Chowdhury </v>
      </c>
      <c r="C59" s="2" t="str">
        <f>IFERROR(__xludf.DUMMYFUNCTION("""COMPUTED_VALUE"""),"C‐031) Architect &amp; Partner &amp; Ar. Mahmudul Anwar Riyaad ")</f>
        <v>C‐031) Architect &amp; Partner &amp; Ar. Mahmudul Anwar Riyaad </v>
      </c>
      <c r="D59" s="2" t="str">
        <f>IFERROR(__xludf.DUMMYFUNCTION("""COMPUTED_VALUE"""),"R‐081) Architect &amp; Partner")</f>
        <v>R‐081) Architect &amp; Partner</v>
      </c>
      <c r="G59" s="2" t="s">
        <v>1628</v>
      </c>
      <c r="H59" s="2" t="str">
        <f>IFERROR(__xludf.DUMMYFUNCTION("split(G59,"")"")"),"C‐031")</f>
        <v>C‐031</v>
      </c>
      <c r="I59" s="2" t="str">
        <f>IFERROR(__xludf.DUMMYFUNCTION("""COMPUTED_VALUE""")," Architect &amp; Partner &amp; Ar. Mahmudul Anwar Riyaad ")</f>
        <v> Architect &amp; Partner &amp; Ar. Mahmudul Anwar Riyaad </v>
      </c>
      <c r="J59" s="2" t="s">
        <v>1629</v>
      </c>
      <c r="K59" s="1" t="str">
        <f>IFERROR(__xludf.DUMMYFUNCTION("SPLIT(J59,""&amp;"")")," Architect ")</f>
        <v> Architect </v>
      </c>
      <c r="L59" s="2" t="str">
        <f>IFERROR(__xludf.DUMMYFUNCTION("""COMPUTED_VALUE""")," Partner ")</f>
        <v> Partner </v>
      </c>
      <c r="M59" s="2" t="str">
        <f>IFERROR(__xludf.DUMMYFUNCTION("""COMPUTED_VALUE""")," Ar. Mahmudul Anwar Riyaad ")</f>
        <v> Ar. Mahmudul Anwar Riyaad </v>
      </c>
      <c r="N59" s="19" t="s">
        <v>158</v>
      </c>
      <c r="O59" s="2" t="str">
        <f>IFERROR(__xludf.DUMMYFUNCTION("SPLIT(N59,""+"")"),"Website: www.dwm4.com")</f>
        <v>Website: www.dwm4.com</v>
      </c>
      <c r="P59" s="18"/>
      <c r="Q59" s="18" t="s">
        <v>1630</v>
      </c>
      <c r="R59" s="2" t="str">
        <f t="shared" si="1"/>
        <v>_ +88 01712921323, +88 02‐9885564</v>
      </c>
      <c r="S59" s="18" t="s">
        <v>1630</v>
      </c>
    </row>
    <row r="60" ht="15.75" customHeight="1">
      <c r="A60" s="14" t="s">
        <v>943</v>
      </c>
      <c r="B60" s="2" t="str">
        <f>IFERROR(__xludf.DUMMYFUNCTION("SPLIT(A60,""("")"),"Ar. Mamnoon M. Chowdhury ")</f>
        <v>Ar. Mamnoon M. Chowdhury </v>
      </c>
      <c r="C60" s="2" t="str">
        <f>IFERROR(__xludf.DUMMYFUNCTION("""COMPUTED_VALUE"""),"C‐031) Chairman &amp; Ar. Mahmudul Anwar Riyaad ")</f>
        <v>C‐031) Chairman &amp; Ar. Mahmudul Anwar Riyaad </v>
      </c>
      <c r="D60" s="2" t="str">
        <f>IFERROR(__xludf.DUMMYFUNCTION("""COMPUTED_VALUE"""),"R‐081) Director")</f>
        <v>R‐081) Director</v>
      </c>
      <c r="G60" s="2" t="s">
        <v>1631</v>
      </c>
      <c r="H60" s="2" t="str">
        <f>IFERROR(__xludf.DUMMYFUNCTION("split(G60,"")"")"),"C‐031")</f>
        <v>C‐031</v>
      </c>
      <c r="I60" s="2" t="str">
        <f>IFERROR(__xludf.DUMMYFUNCTION("""COMPUTED_VALUE""")," Chairman &amp; Ar. Mahmudul Anwar Riyaad ")</f>
        <v> Chairman &amp; Ar. Mahmudul Anwar Riyaad </v>
      </c>
      <c r="J60" s="2" t="s">
        <v>1632</v>
      </c>
      <c r="K60" s="1" t="str">
        <f>IFERROR(__xludf.DUMMYFUNCTION("SPLIT(J60,""&amp;"")")," Chairman ")</f>
        <v> Chairman </v>
      </c>
      <c r="L60" s="2" t="str">
        <f>IFERROR(__xludf.DUMMYFUNCTION("""COMPUTED_VALUE""")," Ar. Mahmudul Anwar Riyaad ")</f>
        <v> Ar. Mahmudul Anwar Riyaad </v>
      </c>
      <c r="N60" s="19" t="s">
        <v>166</v>
      </c>
      <c r="O60" s="2" t="str">
        <f>IFERROR(__xludf.DUMMYFUNCTION("SPLIT(N60,""+"")"),"Website: www.dwm4intrends.com")</f>
        <v>Website: www.dwm4intrends.com</v>
      </c>
      <c r="P60" s="18"/>
      <c r="Q60" s="18" t="s">
        <v>1633</v>
      </c>
      <c r="R60" s="2" t="str">
        <f t="shared" si="1"/>
        <v>_ +88 02‐222280802</v>
      </c>
      <c r="S60" s="18" t="s">
        <v>1633</v>
      </c>
    </row>
    <row r="61" ht="15.75" customHeight="1">
      <c r="A61" s="14" t="s">
        <v>173</v>
      </c>
      <c r="B61" s="2" t="str">
        <f>IFERROR(__xludf.DUMMYFUNCTION("SPLIT(A61,""("")"),"Ar. Moid Ul Ahsan ")</f>
        <v>Ar. Moid Ul Ahsan </v>
      </c>
      <c r="C61" s="2" t="str">
        <f>IFERROR(__xludf.DUMMYFUNCTION("""COMPUTED_VALUE"""),"A‐028) Managing Director")</f>
        <v>A‐028) Managing Director</v>
      </c>
      <c r="G61" s="2" t="s">
        <v>1634</v>
      </c>
      <c r="H61" s="2" t="str">
        <f>IFERROR(__xludf.DUMMYFUNCTION("split(G61,"")"")"),"A‐028")</f>
        <v>A‐028</v>
      </c>
      <c r="I61" s="2" t="str">
        <f>IFERROR(__xludf.DUMMYFUNCTION("""COMPUTED_VALUE""")," Managing Director")</f>
        <v> Managing Director</v>
      </c>
      <c r="J61" s="2" t="s">
        <v>1497</v>
      </c>
      <c r="K61" s="1" t="str">
        <f>IFERROR(__xludf.DUMMYFUNCTION("SPLIT(J61,""&amp;"")")," Managing Director")</f>
        <v> Managing Director</v>
      </c>
      <c r="N61" s="19" t="s">
        <v>936</v>
      </c>
      <c r="O61" s="2" t="str">
        <f>IFERROR(__xludf.DUMMYFUNCTION("SPLIT(N61,""+"")"),"website:")</f>
        <v>website:</v>
      </c>
      <c r="P61" s="18"/>
      <c r="Q61" s="18" t="s">
        <v>1635</v>
      </c>
      <c r="R61" s="2" t="str">
        <f t="shared" si="1"/>
        <v>_ +88‐02‐9660876, 9660851</v>
      </c>
      <c r="S61" s="18" t="s">
        <v>1635</v>
      </c>
    </row>
    <row r="62" ht="15.75" customHeight="1">
      <c r="A62" s="14" t="s">
        <v>179</v>
      </c>
      <c r="B62" s="2" t="str">
        <f>IFERROR(__xludf.DUMMYFUNCTION("SPLIT(A62,""("")"),"Ar. Tanwir Serajuddowla ")</f>
        <v>Ar. Tanwir Serajuddowla </v>
      </c>
      <c r="C62" s="2" t="str">
        <f>IFERROR(__xludf.DUMMYFUNCTION("""COMPUTED_VALUE"""),"S‐075) Chairman &amp; Principal Architect")</f>
        <v>S‐075) Chairman &amp; Principal Architect</v>
      </c>
      <c r="G62" s="2" t="s">
        <v>1636</v>
      </c>
      <c r="H62" s="2" t="str">
        <f>IFERROR(__xludf.DUMMYFUNCTION("split(G62,"")"")"),"S‐075")</f>
        <v>S‐075</v>
      </c>
      <c r="I62" s="2" t="str">
        <f>IFERROR(__xludf.DUMMYFUNCTION("""COMPUTED_VALUE""")," Chairman &amp; Principal Architect")</f>
        <v> Chairman &amp; Principal Architect</v>
      </c>
      <c r="J62" s="2" t="s">
        <v>1637</v>
      </c>
      <c r="K62" s="1" t="str">
        <f>IFERROR(__xludf.DUMMYFUNCTION("SPLIT(J62,""&amp;"")")," Chairman ")</f>
        <v> Chairman </v>
      </c>
      <c r="L62" s="2" t="str">
        <f>IFERROR(__xludf.DUMMYFUNCTION("""COMPUTED_VALUE""")," Principal Architect")</f>
        <v> Principal Architect</v>
      </c>
      <c r="N62" s="19" t="s">
        <v>936</v>
      </c>
      <c r="O62" s="2" t="str">
        <f>IFERROR(__xludf.DUMMYFUNCTION("SPLIT(N62,""+"")"),"website:")</f>
        <v>website:</v>
      </c>
      <c r="P62" s="18"/>
      <c r="Q62" s="18" t="s">
        <v>1638</v>
      </c>
      <c r="R62" s="2" t="str">
        <f t="shared" si="1"/>
        <v>_ +88‐02‐9145364, +8801819244544</v>
      </c>
      <c r="S62" s="18" t="s">
        <v>1638</v>
      </c>
    </row>
    <row r="63" ht="15.75" customHeight="1">
      <c r="A63" s="14" t="s">
        <v>184</v>
      </c>
      <c r="B63" s="2" t="str">
        <f>IFERROR(__xludf.DUMMYFUNCTION("SPLIT(A63,""("")"),"Ar. Md. Ehsan Khan ")</f>
        <v>Ar. Md. Ehsan Khan </v>
      </c>
      <c r="C63" s="2" t="str">
        <f>IFERROR(__xludf.DUMMYFUNCTION("""COMPUTED_VALUE"""),"K‐047) Managing Director")</f>
        <v>K‐047) Managing Director</v>
      </c>
      <c r="G63" s="2" t="s">
        <v>1639</v>
      </c>
      <c r="H63" s="2" t="str">
        <f>IFERROR(__xludf.DUMMYFUNCTION("split(G63,"")"")"),"K‐047")</f>
        <v>K‐047</v>
      </c>
      <c r="I63" s="2" t="str">
        <f>IFERROR(__xludf.DUMMYFUNCTION("""COMPUTED_VALUE""")," Managing Director")</f>
        <v> Managing Director</v>
      </c>
      <c r="J63" s="2" t="s">
        <v>1497</v>
      </c>
      <c r="K63" s="1" t="str">
        <f>IFERROR(__xludf.DUMMYFUNCTION("SPLIT(J63,""&amp;"")")," Managing Director")</f>
        <v> Managing Director</v>
      </c>
      <c r="N63" s="19" t="s">
        <v>936</v>
      </c>
      <c r="O63" s="2" t="str">
        <f>IFERROR(__xludf.DUMMYFUNCTION("SPLIT(N63,""+"")"),"website:")</f>
        <v>website:</v>
      </c>
      <c r="P63" s="18"/>
      <c r="Q63" s="18" t="s">
        <v>1640</v>
      </c>
      <c r="R63" s="2" t="str">
        <f t="shared" si="1"/>
        <v>_ +88‐02‐9890855</v>
      </c>
      <c r="S63" s="18" t="s">
        <v>1640</v>
      </c>
    </row>
    <row r="64" ht="15.75" customHeight="1">
      <c r="A64" s="14" t="s">
        <v>191</v>
      </c>
      <c r="B64" s="2" t="str">
        <f>IFERROR(__xludf.DUMMYFUNCTION("SPLIT(A64,""("")"),"Ar. Qazi Muhammad Arif ")</f>
        <v>Ar. Qazi Muhammad Arif </v>
      </c>
      <c r="C64" s="2" t="str">
        <f>IFERROR(__xludf.DUMMYFUNCTION("""COMPUTED_VALUE"""),"A‐059) Principal Architect")</f>
        <v>A‐059) Principal Architect</v>
      </c>
      <c r="G64" s="2" t="s">
        <v>1641</v>
      </c>
      <c r="H64" s="2" t="str">
        <f>IFERROR(__xludf.DUMMYFUNCTION("split(G64,"")"")"),"A‐059")</f>
        <v>A‐059</v>
      </c>
      <c r="I64" s="2" t="str">
        <f>IFERROR(__xludf.DUMMYFUNCTION("""COMPUTED_VALUE""")," Principal Architect")</f>
        <v> Principal Architect</v>
      </c>
      <c r="J64" s="2" t="s">
        <v>1501</v>
      </c>
      <c r="K64" s="1" t="str">
        <f>IFERROR(__xludf.DUMMYFUNCTION("SPLIT(J64,""&amp;"")")," Principal Architect")</f>
        <v> Principal Architect</v>
      </c>
      <c r="N64" s="19" t="s">
        <v>190</v>
      </c>
      <c r="O64" s="2" t="str">
        <f>IFERROR(__xludf.DUMMYFUNCTION("SPLIT(N64,""+"")"),"Website : www.envision‐arch.org")</f>
        <v>Website : www.envision‐arch.org</v>
      </c>
      <c r="P64" s="18"/>
      <c r="Q64" s="18" t="s">
        <v>1642</v>
      </c>
      <c r="R64" s="2" t="str">
        <f t="shared" si="1"/>
        <v>_ +88‐02‐58151763</v>
      </c>
      <c r="S64" s="18" t="s">
        <v>1642</v>
      </c>
    </row>
    <row r="65" ht="15.75" customHeight="1">
      <c r="A65" s="14" t="s">
        <v>197</v>
      </c>
      <c r="B65" s="2" t="str">
        <f>IFERROR(__xludf.DUMMYFUNCTION("SPLIT(A65,""("")"),"Ar. A. F. M. Ashek Imran ")</f>
        <v>Ar. A. F. M. Ashek Imran </v>
      </c>
      <c r="C65" s="2" t="str">
        <f>IFERROR(__xludf.DUMMYFUNCTION("""COMPUTED_VALUE"""),"I‐061) Proprietor &amp; Principal Architect")</f>
        <v>I‐061) Proprietor &amp; Principal Architect</v>
      </c>
      <c r="G65" s="2" t="s">
        <v>1643</v>
      </c>
      <c r="H65" s="2" t="str">
        <f>IFERROR(__xludf.DUMMYFUNCTION("split(G65,"")"")"),"I‐061")</f>
        <v>I‐061</v>
      </c>
      <c r="I65" s="2" t="str">
        <f>IFERROR(__xludf.DUMMYFUNCTION("""COMPUTED_VALUE""")," Proprietor &amp; Principal Architect")</f>
        <v> Proprietor &amp; Principal Architect</v>
      </c>
      <c r="J65" s="2" t="s">
        <v>1644</v>
      </c>
      <c r="K65" s="1" t="str">
        <f>IFERROR(__xludf.DUMMYFUNCTION("SPLIT(J65,""&amp;"")")," Proprietor ")</f>
        <v> Proprietor </v>
      </c>
      <c r="L65" s="2" t="str">
        <f>IFERROR(__xludf.DUMMYFUNCTION("""COMPUTED_VALUE""")," Principal Architect")</f>
        <v> Principal Architect</v>
      </c>
      <c r="N65" s="19" t="s">
        <v>196</v>
      </c>
      <c r="O65" s="2" t="str">
        <f>IFERROR(__xludf.DUMMYFUNCTION("SPLIT(N65,""+"")"),"Website : www.fourthdimensionbd.com Contact: ")</f>
        <v>Website : www.fourthdimensionbd.com Contact: </v>
      </c>
      <c r="P65" s="18" t="str">
        <f>IFERROR(__xludf.DUMMYFUNCTION("""COMPUTED_VALUE"""),"88‐02‐7913394, 8957701")</f>
        <v>88‐02‐7913394, 8957701</v>
      </c>
      <c r="Q65" s="18" t="s">
        <v>1498</v>
      </c>
      <c r="R65" s="2" t="str">
        <f t="shared" si="1"/>
        <v>88‐02‐7913394, 8957701_N/A</v>
      </c>
      <c r="S65" s="18" t="s">
        <v>1645</v>
      </c>
    </row>
    <row r="66" ht="15.75" customHeight="1">
      <c r="A66" s="14" t="s">
        <v>203</v>
      </c>
      <c r="B66" s="2" t="str">
        <f>IFERROR(__xludf.DUMMYFUNCTION("SPLIT(A66,""("")"),"Ar. Falguni Mallick ")</f>
        <v>Ar. Falguni Mallick </v>
      </c>
      <c r="C66" s="2" t="str">
        <f>IFERROR(__xludf.DUMMYFUNCTION("""COMPUTED_VALUE"""),"M‐046) Principal Architect")</f>
        <v>M‐046) Principal Architect</v>
      </c>
      <c r="G66" s="2" t="s">
        <v>1646</v>
      </c>
      <c r="H66" s="2" t="str">
        <f>IFERROR(__xludf.DUMMYFUNCTION("split(G66,"")"")"),"M‐046")</f>
        <v>M‐046</v>
      </c>
      <c r="I66" s="2" t="str">
        <f>IFERROR(__xludf.DUMMYFUNCTION("""COMPUTED_VALUE""")," Principal Architect")</f>
        <v> Principal Architect</v>
      </c>
      <c r="J66" s="2" t="s">
        <v>1501</v>
      </c>
      <c r="K66" s="1" t="str">
        <f>IFERROR(__xludf.DUMMYFUNCTION("SPLIT(J66,""&amp;"")")," Principal Architect")</f>
        <v> Principal Architect</v>
      </c>
      <c r="N66" s="19" t="s">
        <v>936</v>
      </c>
      <c r="O66" s="2" t="str">
        <f>IFERROR(__xludf.DUMMYFUNCTION("SPLIT(N66,""+"")"),"website:")</f>
        <v>website:</v>
      </c>
      <c r="P66" s="18"/>
      <c r="Q66" s="18">
        <v>8.801970112299E12</v>
      </c>
      <c r="R66" s="2" t="str">
        <f t="shared" si="1"/>
        <v>_8801970112299</v>
      </c>
      <c r="S66" s="18">
        <v>8.801970112299E12</v>
      </c>
    </row>
    <row r="67" ht="15.75" customHeight="1">
      <c r="A67" s="14" t="s">
        <v>209</v>
      </c>
      <c r="B67" s="2" t="str">
        <f>IFERROR(__xludf.DUMMYFUNCTION("SPLIT(A67,""("")"),"Ar. Ashiq Imran ")</f>
        <v>Ar. Ashiq Imran </v>
      </c>
      <c r="C67" s="2" t="str">
        <f>IFERROR(__xludf.DUMMYFUNCTION("""COMPUTED_VALUE"""),"I‐044) Principal Architect")</f>
        <v>I‐044) Principal Architect</v>
      </c>
      <c r="G67" s="2" t="s">
        <v>1647</v>
      </c>
      <c r="H67" s="2" t="str">
        <f>IFERROR(__xludf.DUMMYFUNCTION("split(G67,"")"")"),"I‐044")</f>
        <v>I‐044</v>
      </c>
      <c r="I67" s="2" t="str">
        <f>IFERROR(__xludf.DUMMYFUNCTION("""COMPUTED_VALUE""")," Principal Architect")</f>
        <v> Principal Architect</v>
      </c>
      <c r="J67" s="2" t="s">
        <v>1501</v>
      </c>
      <c r="K67" s="1" t="str">
        <f>IFERROR(__xludf.DUMMYFUNCTION("SPLIT(J67,""&amp;"")")," Principal Architect")</f>
        <v> Principal Architect</v>
      </c>
      <c r="N67" s="19" t="s">
        <v>936</v>
      </c>
      <c r="O67" s="2" t="str">
        <f>IFERROR(__xludf.DUMMYFUNCTION("SPLIT(N67,""+"")"),"website:")</f>
        <v>website:</v>
      </c>
      <c r="P67" s="18"/>
      <c r="Q67" s="18" t="s">
        <v>1648</v>
      </c>
      <c r="R67" s="2" t="str">
        <f t="shared" si="1"/>
        <v>_ +88‐031‐618599, +88‐031‐2863269</v>
      </c>
      <c r="S67" s="18" t="s">
        <v>1648</v>
      </c>
    </row>
    <row r="68" ht="15.75" customHeight="1">
      <c r="A68" s="14" t="s">
        <v>215</v>
      </c>
      <c r="B68" s="2" t="str">
        <f>IFERROR(__xludf.DUMMYFUNCTION("SPLIT(A68,""("")"),"Ar. Ghausul Alam Khan ")</f>
        <v>Ar. Ghausul Alam Khan </v>
      </c>
      <c r="C68" s="2" t="str">
        <f>IFERROR(__xludf.DUMMYFUNCTION("""COMPUTED_VALUE"""),"K‐027) CEO/Proprietor")</f>
        <v>K‐027) CEO/Proprietor</v>
      </c>
      <c r="G68" s="2" t="s">
        <v>1649</v>
      </c>
      <c r="H68" s="2" t="str">
        <f>IFERROR(__xludf.DUMMYFUNCTION("split(G68,"")"")"),"K‐027")</f>
        <v>K‐027</v>
      </c>
      <c r="I68" s="2" t="str">
        <f>IFERROR(__xludf.DUMMYFUNCTION("""COMPUTED_VALUE""")," CEO/Proprietor")</f>
        <v> CEO/Proprietor</v>
      </c>
      <c r="J68" s="2" t="s">
        <v>1529</v>
      </c>
      <c r="K68" s="1" t="str">
        <f>IFERROR(__xludf.DUMMYFUNCTION("SPLIT(J68,""&amp;"")")," CEO/Proprietor")</f>
        <v> CEO/Proprietor</v>
      </c>
      <c r="N68" s="19" t="s">
        <v>214</v>
      </c>
      <c r="O68" s="2" t="str">
        <f>IFERROR(__xludf.DUMMYFUNCTION("SPLIT(N68,""+"")"),"Website : www.gka‐bd.com Contact: ")</f>
        <v>Website : www.gka‐bd.com Contact: </v>
      </c>
      <c r="P68" s="18" t="str">
        <f>IFERROR(__xludf.DUMMYFUNCTION("""COMPUTED_VALUE"""),"88‐02‐8191082")</f>
        <v>88‐02‐8191082</v>
      </c>
      <c r="Q68" s="18" t="s">
        <v>1498</v>
      </c>
      <c r="R68" s="2" t="str">
        <f t="shared" si="1"/>
        <v>88‐02‐8191082_N/A</v>
      </c>
      <c r="S68" s="18" t="s">
        <v>1650</v>
      </c>
    </row>
    <row r="69" ht="15.75" customHeight="1">
      <c r="A69" s="14" t="s">
        <v>222</v>
      </c>
      <c r="B69" s="2" t="str">
        <f>IFERROR(__xludf.DUMMYFUNCTION("SPLIT(A69,""("")"),"Ar. Noymul Haque Nohon ")</f>
        <v>Ar. Noymul Haque Nohon </v>
      </c>
      <c r="C69" s="2" t="str">
        <f>IFERROR(__xludf.DUMMYFUNCTION("""COMPUTED_VALUE"""),"N‐040) CEO")</f>
        <v>N‐040) CEO</v>
      </c>
      <c r="G69" s="2" t="s">
        <v>1651</v>
      </c>
      <c r="H69" s="2" t="str">
        <f>IFERROR(__xludf.DUMMYFUNCTION("split(G69,"")"")"),"N‐040")</f>
        <v>N‐040</v>
      </c>
      <c r="I69" s="2" t="str">
        <f>IFERROR(__xludf.DUMMYFUNCTION("""COMPUTED_VALUE""")," CEO")</f>
        <v> CEO</v>
      </c>
      <c r="J69" s="2" t="s">
        <v>1603</v>
      </c>
      <c r="K69" s="1" t="str">
        <f>IFERROR(__xludf.DUMMYFUNCTION("SPLIT(J69,""&amp;"")")," CEO")</f>
        <v> CEO</v>
      </c>
      <c r="N69" s="19" t="s">
        <v>221</v>
      </c>
      <c r="O69" s="2" t="str">
        <f>IFERROR(__xludf.DUMMYFUNCTION("SPLIT(N69,""+"")"),"Website : www.genesis.archi")</f>
        <v>Website : www.genesis.archi</v>
      </c>
      <c r="P69" s="18"/>
      <c r="Q69" s="18">
        <v>8.801812807687E12</v>
      </c>
      <c r="R69" s="2" t="str">
        <f t="shared" si="1"/>
        <v>_8801812807687</v>
      </c>
      <c r="S69" s="18">
        <v>8.801812807687E12</v>
      </c>
    </row>
    <row r="70" ht="15.75" customHeight="1">
      <c r="A70" s="14" t="s">
        <v>945</v>
      </c>
      <c r="B70" s="2" t="str">
        <f>IFERROR(__xludf.DUMMYFUNCTION("SPLIT(A70,""("")"),"Ar. Md. Nahid Hasan ")</f>
        <v>Ar. Md. Nahid Hasan </v>
      </c>
      <c r="C70" s="2" t="str">
        <f>IFERROR(__xludf.DUMMYFUNCTION("""COMPUTED_VALUE"""),"H‐186) Managing Partner &amp; Ar. S M Ruhul Amin ")</f>
        <v>H‐186) Managing Partner &amp; Ar. S M Ruhul Amin </v>
      </c>
      <c r="D70" s="2" t="str">
        <f>IFERROR(__xludf.DUMMYFUNCTION("""COMPUTED_VALUE"""),"A‐221) Partner &amp; Ar. Animesh Provaker Debnath ")</f>
        <v>A‐221) Partner &amp; Ar. Animesh Provaker Debnath </v>
      </c>
      <c r="E70" s="2" t="str">
        <f>IFERROR(__xludf.DUMMYFUNCTION("""COMPUTED_VALUE"""),"D‐018) Partner")</f>
        <v>D‐018) Partner</v>
      </c>
      <c r="G70" s="2" t="s">
        <v>1652</v>
      </c>
      <c r="H70" s="2" t="str">
        <f>IFERROR(__xludf.DUMMYFUNCTION("split(G70,"")"")"),"H‐186")</f>
        <v>H‐186</v>
      </c>
      <c r="I70" s="2" t="str">
        <f>IFERROR(__xludf.DUMMYFUNCTION("""COMPUTED_VALUE""")," Managing Partner &amp; Ar. S M Ruhul Amin ")</f>
        <v> Managing Partner &amp; Ar. S M Ruhul Amin </v>
      </c>
      <c r="J70" s="2" t="s">
        <v>1653</v>
      </c>
      <c r="K70" s="1" t="str">
        <f>IFERROR(__xludf.DUMMYFUNCTION("SPLIT(J70,""&amp;"")")," Managing Partner ")</f>
        <v> Managing Partner </v>
      </c>
      <c r="L70" s="2" t="str">
        <f>IFERROR(__xludf.DUMMYFUNCTION("""COMPUTED_VALUE""")," Ar. S M Ruhul Amin ")</f>
        <v> Ar. S M Ruhul Amin </v>
      </c>
      <c r="N70" s="19" t="s">
        <v>227</v>
      </c>
      <c r="O70" s="2" t="str">
        <f>IFERROR(__xludf.DUMMYFUNCTION("SPLIT(N70,""+"")"),"Website: www.gravityarchitecturestudio.com")</f>
        <v>Website: www.gravityarchitecturestudio.com</v>
      </c>
      <c r="P70" s="18"/>
      <c r="Q70" s="18" t="s">
        <v>1654</v>
      </c>
      <c r="R70" s="2" t="str">
        <f t="shared" si="1"/>
        <v>_ +88 01730096986, +88 01676057570</v>
      </c>
      <c r="S70" s="18" t="s">
        <v>1654</v>
      </c>
    </row>
    <row r="71" ht="15.75" customHeight="1">
      <c r="A71" s="14" t="s">
        <v>236</v>
      </c>
      <c r="B71" s="2" t="str">
        <f>IFERROR(__xludf.DUMMYFUNCTION("SPLIT(A71,""("")"),"Ar. Mohammad Hasan Imam ")</f>
        <v>Ar. Mohammad Hasan Imam </v>
      </c>
      <c r="C71" s="2" t="str">
        <f>IFERROR(__xludf.DUMMYFUNCTION("""COMPUTED_VALUE"""),"I‐037) Principal Architect")</f>
        <v>I‐037) Principal Architect</v>
      </c>
      <c r="G71" s="2" t="s">
        <v>1655</v>
      </c>
      <c r="H71" s="2" t="str">
        <f>IFERROR(__xludf.DUMMYFUNCTION("split(G71,"")"")"),"I‐037")</f>
        <v>I‐037</v>
      </c>
      <c r="I71" s="2" t="str">
        <f>IFERROR(__xludf.DUMMYFUNCTION("""COMPUTED_VALUE""")," Principal Architect")</f>
        <v> Principal Architect</v>
      </c>
      <c r="J71" s="2" t="s">
        <v>1501</v>
      </c>
      <c r="K71" s="1" t="str">
        <f>IFERROR(__xludf.DUMMYFUNCTION("SPLIT(J71,""&amp;"")")," Principal Architect")</f>
        <v> Principal Architect</v>
      </c>
      <c r="N71" s="19" t="s">
        <v>936</v>
      </c>
      <c r="O71" s="2" t="str">
        <f>IFERROR(__xludf.DUMMYFUNCTION("SPLIT(N71,""+"")"),"website:")</f>
        <v>website:</v>
      </c>
      <c r="P71" s="18"/>
      <c r="Q71" s="18" t="s">
        <v>1656</v>
      </c>
      <c r="R71" s="2" t="str">
        <f t="shared" si="1"/>
        <v>_ +88 01714110471</v>
      </c>
      <c r="S71" s="18" t="s">
        <v>1656</v>
      </c>
    </row>
    <row r="72" ht="15.75" customHeight="1">
      <c r="A72" s="14" t="s">
        <v>241</v>
      </c>
      <c r="B72" s="2" t="str">
        <f>IFERROR(__xludf.DUMMYFUNCTION("SPLIT(A72,""("")"),"Ar. Moushumi Ahmed ")</f>
        <v>Ar. Moushumi Ahmed </v>
      </c>
      <c r="C72" s="2" t="str">
        <f>IFERROR(__xludf.DUMMYFUNCTION("""COMPUTED_VALUE"""),"A‐159) Managing Director")</f>
        <v>A‐159) Managing Director</v>
      </c>
      <c r="G72" s="2" t="s">
        <v>1657</v>
      </c>
      <c r="H72" s="2" t="str">
        <f>IFERROR(__xludf.DUMMYFUNCTION("split(G72,"")"")"),"A‐159")</f>
        <v>A‐159</v>
      </c>
      <c r="I72" s="2" t="str">
        <f>IFERROR(__xludf.DUMMYFUNCTION("""COMPUTED_VALUE""")," Managing Director")</f>
        <v> Managing Director</v>
      </c>
      <c r="J72" s="2" t="s">
        <v>1497</v>
      </c>
      <c r="K72" s="1" t="str">
        <f>IFERROR(__xludf.DUMMYFUNCTION("SPLIT(J72,""&amp;"")")," Managing Director")</f>
        <v> Managing Director</v>
      </c>
      <c r="N72" s="19" t="s">
        <v>936</v>
      </c>
      <c r="O72" s="2" t="str">
        <f>IFERROR(__xludf.DUMMYFUNCTION("SPLIT(N72,""+"")"),"website:")</f>
        <v>website:</v>
      </c>
      <c r="P72" s="18"/>
      <c r="Q72" s="18" t="s">
        <v>1658</v>
      </c>
      <c r="R72" s="2" t="str">
        <f t="shared" si="1"/>
        <v>_ +88‐02‐9144347</v>
      </c>
      <c r="S72" s="18" t="s">
        <v>1658</v>
      </c>
    </row>
    <row r="73" ht="15.75" customHeight="1">
      <c r="A73" s="14" t="s">
        <v>246</v>
      </c>
      <c r="B73" s="2" t="str">
        <f>IFERROR(__xludf.DUMMYFUNCTION("SPLIT(A73,""("")"),"Ar. Md. Emdadul Habib ")</f>
        <v>Ar. Md. Emdadul Habib </v>
      </c>
      <c r="C73" s="2" t="str">
        <f>IFERROR(__xludf.DUMMYFUNCTION("""COMPUTED_VALUE"""),"H‐155) Principal Architect")</f>
        <v>H‐155) Principal Architect</v>
      </c>
      <c r="G73" s="2" t="s">
        <v>1659</v>
      </c>
      <c r="H73" s="2" t="str">
        <f>IFERROR(__xludf.DUMMYFUNCTION("split(G73,"")"")"),"H‐155")</f>
        <v>H‐155</v>
      </c>
      <c r="I73" s="2" t="str">
        <f>IFERROR(__xludf.DUMMYFUNCTION("""COMPUTED_VALUE""")," Principal Architect")</f>
        <v> Principal Architect</v>
      </c>
      <c r="J73" s="2" t="s">
        <v>1501</v>
      </c>
      <c r="K73" s="1" t="str">
        <f>IFERROR(__xludf.DUMMYFUNCTION("SPLIT(J73,""&amp;"")")," Principal Architect")</f>
        <v> Principal Architect</v>
      </c>
      <c r="N73" s="19" t="s">
        <v>936</v>
      </c>
      <c r="O73" s="2" t="str">
        <f>IFERROR(__xludf.DUMMYFUNCTION("SPLIT(N73,""+"")"),"website:")</f>
        <v>website:</v>
      </c>
      <c r="P73" s="18"/>
      <c r="Q73" s="18" t="s">
        <v>1660</v>
      </c>
      <c r="R73" s="2" t="str">
        <f t="shared" si="1"/>
        <v>_ +8801712573353, +8801681235750</v>
      </c>
      <c r="S73" s="18" t="s">
        <v>1660</v>
      </c>
    </row>
    <row r="74" ht="15.75" customHeight="1">
      <c r="A74" s="14" t="s">
        <v>946</v>
      </c>
      <c r="B74" s="2" t="str">
        <f>IFERROR(__xludf.DUMMYFUNCTION("SPLIT(A74,""("")"),"Ar. Anwarul Islam Khan ")</f>
        <v>Ar. Anwarul Islam Khan </v>
      </c>
      <c r="C74" s="2" t="str">
        <f>IFERROR(__xludf.DUMMYFUNCTION("""COMPUTED_VALUE"""),"K‐083) Partner &amp; A.K.M. Abu Hasan ")</f>
        <v>K‐083) Partner &amp; A.K.M. Abu Hasan </v>
      </c>
      <c r="D74" s="2" t="str">
        <f>IFERROR(__xludf.DUMMYFUNCTION("""COMPUTED_VALUE"""),"H‐116) Partner &amp; Md. Mahfil Ali ")</f>
        <v>H‐116) Partner &amp; Md. Mahfil Ali </v>
      </c>
      <c r="E74" s="2" t="str">
        <f>IFERROR(__xludf.DUMMYFUNCTION("""COMPUTED_VALUE"""),"A‐076) Partner &amp;  Md. Mushtaque Ahmed Tanvir ")</f>
        <v>A‐076) Partner &amp;  Md. Mushtaque Ahmed Tanvir </v>
      </c>
      <c r="F74" s="2" t="str">
        <f>IFERROR(__xludf.DUMMYFUNCTION("""COMPUTED_VALUE"""),"A‐096) Partner")</f>
        <v>A‐096) Partner</v>
      </c>
      <c r="G74" s="2" t="s">
        <v>1661</v>
      </c>
      <c r="H74" s="2" t="str">
        <f>IFERROR(__xludf.DUMMYFUNCTION("split(G74,"")"")"),"K‐083")</f>
        <v>K‐083</v>
      </c>
      <c r="I74" s="2" t="str">
        <f>IFERROR(__xludf.DUMMYFUNCTION("""COMPUTED_VALUE""")," Partner &amp; A.K.M. Abu Hasan ")</f>
        <v> Partner &amp; A.K.M. Abu Hasan </v>
      </c>
      <c r="J74" s="2" t="s">
        <v>1662</v>
      </c>
      <c r="K74" s="1" t="str">
        <f>IFERROR(__xludf.DUMMYFUNCTION("SPLIT(J74,""&amp;"")")," Partner ")</f>
        <v> Partner </v>
      </c>
      <c r="L74" s="2" t="str">
        <f>IFERROR(__xludf.DUMMYFUNCTION("""COMPUTED_VALUE""")," A.K.M. Abu Hasan ")</f>
        <v> A.K.M. Abu Hasan </v>
      </c>
      <c r="N74" s="19" t="s">
        <v>50</v>
      </c>
      <c r="O74" s="2" t="str">
        <f>IFERROR(__xludf.DUMMYFUNCTION("SPLIT(N74,""+"")"),"Website :")</f>
        <v>Website :</v>
      </c>
      <c r="P74" s="18"/>
      <c r="Q74" s="18" t="s">
        <v>1663</v>
      </c>
      <c r="R74" s="2" t="str">
        <f t="shared" si="1"/>
        <v>_ +88‐02‐9880507</v>
      </c>
      <c r="S74" s="18" t="s">
        <v>1663</v>
      </c>
    </row>
    <row r="75" ht="15.75" customHeight="1">
      <c r="A75" s="14" t="s">
        <v>260</v>
      </c>
      <c r="B75" s="2" t="str">
        <f>IFERROR(__xludf.DUMMYFUNCTION("SPLIT(A75,""("")"),"Ar. Suriti Tassannum ")</f>
        <v>Ar. Suriti Tassannum </v>
      </c>
      <c r="C75" s="2" t="str">
        <f>IFERROR(__xludf.DUMMYFUNCTION("""COMPUTED_VALUE"""),"T‐022) Principal Architect")</f>
        <v>T‐022) Principal Architect</v>
      </c>
      <c r="G75" s="2" t="s">
        <v>1664</v>
      </c>
      <c r="H75" s="2" t="str">
        <f>IFERROR(__xludf.DUMMYFUNCTION("split(G75,"")"")"),"T‐022")</f>
        <v>T‐022</v>
      </c>
      <c r="I75" s="2" t="str">
        <f>IFERROR(__xludf.DUMMYFUNCTION("""COMPUTED_VALUE""")," Principal Architect")</f>
        <v> Principal Architect</v>
      </c>
      <c r="J75" s="2" t="s">
        <v>1501</v>
      </c>
      <c r="K75" s="1" t="str">
        <f>IFERROR(__xludf.DUMMYFUNCTION("SPLIT(J75,""&amp;"")")," Principal Architect")</f>
        <v> Principal Architect</v>
      </c>
      <c r="N75" s="19" t="s">
        <v>936</v>
      </c>
      <c r="O75" s="2" t="str">
        <f>IFERROR(__xludf.DUMMYFUNCTION("SPLIT(N75,""+"")"),"website:")</f>
        <v>website:</v>
      </c>
      <c r="P75" s="18"/>
      <c r="Q75" s="18">
        <v>8.801819211608E12</v>
      </c>
      <c r="R75" s="2" t="str">
        <f t="shared" si="1"/>
        <v>_8801819211608</v>
      </c>
      <c r="S75" s="18">
        <v>8.801819211608E12</v>
      </c>
    </row>
    <row r="76" ht="15.75" customHeight="1">
      <c r="A76" s="14" t="s">
        <v>947</v>
      </c>
      <c r="B76" s="2" t="str">
        <f>IFERROR(__xludf.DUMMYFUNCTION("SPLIT(A76,""("")"),"Ar. Mohammad Mamunur Rasheed ")</f>
        <v>Ar. Mohammad Mamunur Rasheed </v>
      </c>
      <c r="C76" s="2" t="str">
        <f>IFERROR(__xludf.DUMMYFUNCTION("""COMPUTED_VALUE"""),"R‐089) Managing Director &amp; Principal Architect")</f>
        <v>R‐089) Managing Director &amp; Principal Architect</v>
      </c>
      <c r="G76" s="2" t="s">
        <v>1665</v>
      </c>
      <c r="H76" s="2" t="str">
        <f>IFERROR(__xludf.DUMMYFUNCTION("split(G76,"")"")"),"R‐089")</f>
        <v>R‐089</v>
      </c>
      <c r="I76" s="2" t="str">
        <f>IFERROR(__xludf.DUMMYFUNCTION("""COMPUTED_VALUE""")," Managing Director &amp; Principal Architect")</f>
        <v> Managing Director &amp; Principal Architect</v>
      </c>
      <c r="J76" s="2" t="s">
        <v>1666</v>
      </c>
      <c r="K76" s="1" t="str">
        <f>IFERROR(__xludf.DUMMYFUNCTION("SPLIT(J76,""&amp;"")")," Managing Director ")</f>
        <v> Managing Director </v>
      </c>
      <c r="L76" s="2" t="str">
        <f>IFERROR(__xludf.DUMMYFUNCTION("""COMPUTED_VALUE""")," Principal Architect")</f>
        <v> Principal Architect</v>
      </c>
      <c r="N76" s="19" t="s">
        <v>266</v>
      </c>
      <c r="O76" s="2" t="str">
        <f>IFERROR(__xludf.DUMMYFUNCTION("SPLIT(N76,""+"")"),"Website : www.studioinarch.com.bd Contact: ")</f>
        <v>Website : www.studioinarch.com.bd Contact: </v>
      </c>
      <c r="P76" s="18">
        <f>IFERROR(__xludf.DUMMYFUNCTION("""COMPUTED_VALUE"""),8.801715005352E12)</f>
        <v>8801715005352</v>
      </c>
      <c r="Q76" s="18" t="s">
        <v>1498</v>
      </c>
      <c r="R76" s="2" t="str">
        <f t="shared" si="1"/>
        <v>8801715005352_N/A</v>
      </c>
      <c r="S76" s="18">
        <v>8.801715005352E12</v>
      </c>
    </row>
    <row r="77" ht="15.75" customHeight="1">
      <c r="A77" s="14" t="s">
        <v>274</v>
      </c>
      <c r="B77" s="2" t="str">
        <f>IFERROR(__xludf.DUMMYFUNCTION("SPLIT(A77,""("")"),"Ar. Masud Ur Rashid ")</f>
        <v>Ar. Masud Ur Rashid </v>
      </c>
      <c r="C77" s="2" t="str">
        <f>IFERROR(__xludf.DUMMYFUNCTION("""COMPUTED_VALUE"""),"R‐104) Principal Architect")</f>
        <v>R‐104) Principal Architect</v>
      </c>
      <c r="G77" s="2" t="s">
        <v>1667</v>
      </c>
      <c r="H77" s="2" t="str">
        <f>IFERROR(__xludf.DUMMYFUNCTION("split(G77,"")"")"),"R‐104")</f>
        <v>R‐104</v>
      </c>
      <c r="I77" s="2" t="str">
        <f>IFERROR(__xludf.DUMMYFUNCTION("""COMPUTED_VALUE""")," Principal Architect")</f>
        <v> Principal Architect</v>
      </c>
      <c r="J77" s="2" t="s">
        <v>1501</v>
      </c>
      <c r="K77" s="1" t="str">
        <f>IFERROR(__xludf.DUMMYFUNCTION("SPLIT(J77,""&amp;"")")," Principal Architect")</f>
        <v> Principal Architect</v>
      </c>
      <c r="N77" s="19" t="s">
        <v>273</v>
      </c>
      <c r="O77" s="2" t="str">
        <f>IFERROR(__xludf.DUMMYFUNCTION("SPLIT(N77,""+"")"),"Website : www.facebook.com/insightarch")</f>
        <v>Website : www.facebook.com/insightarch</v>
      </c>
      <c r="P77" s="18"/>
      <c r="Q77" s="18">
        <v>8.801711577032E12</v>
      </c>
      <c r="R77" s="2" t="str">
        <f t="shared" si="1"/>
        <v>_8801711577032</v>
      </c>
      <c r="S77" s="18">
        <v>8.801711577032E12</v>
      </c>
    </row>
    <row r="78" ht="15.75" customHeight="1">
      <c r="A78" s="14" t="s">
        <v>948</v>
      </c>
      <c r="B78" s="2" t="str">
        <f>IFERROR(__xludf.DUMMYFUNCTION("SPLIT(A78,""("")"),"Ar. Selim Altaf Biplob ")</f>
        <v>Ar. Selim Altaf Biplob </v>
      </c>
      <c r="C78" s="2" t="str">
        <f>IFERROR(__xludf.DUMMYFUNCTION("""COMPUTED_VALUE"""),"B‐025) Sr. Partner &amp; Ar. Tamanna Sayeed ")</f>
        <v>B‐025) Sr. Partner &amp; Ar. Tamanna Sayeed </v>
      </c>
      <c r="D78" s="2" t="str">
        <f>IFERROR(__xludf.DUMMYFUNCTION("""COMPUTED_VALUE"""),"S‐061) Sr. Partner &amp; Ar. Khalid Bin Kabir ")</f>
        <v>S‐061) Sr. Partner &amp; Ar. Khalid Bin Kabir </v>
      </c>
      <c r="E78" s="2" t="str">
        <f>IFERROR(__xludf.DUMMYFUNCTION("""COMPUTED_VALUE"""),"K‐129) Partner")</f>
        <v>K‐129) Partner</v>
      </c>
      <c r="G78" s="2" t="s">
        <v>1668</v>
      </c>
      <c r="H78" s="2" t="str">
        <f>IFERROR(__xludf.DUMMYFUNCTION("split(G78,"")"")"),"B‐025")</f>
        <v>B‐025</v>
      </c>
      <c r="I78" s="2" t="str">
        <f>IFERROR(__xludf.DUMMYFUNCTION("""COMPUTED_VALUE""")," Sr. Partner &amp; Ar. Tamanna Sayeed ")</f>
        <v> Sr. Partner &amp; Ar. Tamanna Sayeed </v>
      </c>
      <c r="J78" s="2" t="s">
        <v>1669</v>
      </c>
      <c r="K78" s="1" t="str">
        <f>IFERROR(__xludf.DUMMYFUNCTION("SPLIT(J78,""&amp;"")")," Sr. Partner ")</f>
        <v> Sr. Partner </v>
      </c>
      <c r="L78" s="2" t="str">
        <f>IFERROR(__xludf.DUMMYFUNCTION("""COMPUTED_VALUE""")," Ar. Tamanna Sayeed ")</f>
        <v> Ar. Tamanna Sayeed </v>
      </c>
      <c r="N78" s="19" t="s">
        <v>280</v>
      </c>
      <c r="O78" s="2" t="str">
        <f>IFERROR(__xludf.DUMMYFUNCTION("SPLIT(N78,""+"")"),"Website: www.inquestbd.com")</f>
        <v>Website: www.inquestbd.com</v>
      </c>
      <c r="P78" s="18"/>
      <c r="Q78" s="18" t="s">
        <v>1670</v>
      </c>
      <c r="R78" s="2" t="str">
        <f t="shared" si="1"/>
        <v>_ 02 58153033, +88 01713038759, +88 01717602792</v>
      </c>
      <c r="S78" s="18" t="s">
        <v>1670</v>
      </c>
    </row>
    <row r="79" ht="15.75" customHeight="1">
      <c r="A79" s="14" t="s">
        <v>290</v>
      </c>
      <c r="B79" s="2" t="str">
        <f>IFERROR(__xludf.DUMMYFUNCTION("SPLIT(A79,""("")"),"Ar. Syed Abdul Halim ")</f>
        <v>Ar. Syed Abdul Halim </v>
      </c>
      <c r="C79" s="2" t="str">
        <f>IFERROR(__xludf.DUMMYFUNCTION("""COMPUTED_VALUE"""),"H‐233) Managing Director")</f>
        <v>H‐233) Managing Director</v>
      </c>
      <c r="G79" s="2" t="s">
        <v>1671</v>
      </c>
      <c r="H79" s="2" t="str">
        <f>IFERROR(__xludf.DUMMYFUNCTION("split(G79,"")"")"),"H‐233")</f>
        <v>H‐233</v>
      </c>
      <c r="I79" s="2" t="str">
        <f>IFERROR(__xludf.DUMMYFUNCTION("""COMPUTED_VALUE""")," Managing Director")</f>
        <v> Managing Director</v>
      </c>
      <c r="J79" s="2" t="s">
        <v>1497</v>
      </c>
      <c r="K79" s="1" t="str">
        <f>IFERROR(__xludf.DUMMYFUNCTION("SPLIT(J79,""&amp;"")")," Managing Director")</f>
        <v> Managing Director</v>
      </c>
      <c r="N79" s="19" t="s">
        <v>289</v>
      </c>
      <c r="O79" s="2" t="str">
        <f>IFERROR(__xludf.DUMMYFUNCTION("SPLIT(N79,""+"")"),"Website:")</f>
        <v>Website:</v>
      </c>
      <c r="P79" s="18"/>
      <c r="Q79" s="18" t="s">
        <v>1672</v>
      </c>
      <c r="R79" s="2" t="str">
        <f t="shared" si="1"/>
        <v>_ +88 01912085801</v>
      </c>
      <c r="S79" s="18" t="s">
        <v>1672</v>
      </c>
    </row>
    <row r="80" ht="15.75" customHeight="1">
      <c r="A80" s="14" t="s">
        <v>949</v>
      </c>
      <c r="B80" s="2" t="str">
        <f>IFERROR(__xludf.DUMMYFUNCTION("SPLIT(A80,""("")"),"Ar. Afroza Ahmed ")</f>
        <v>Ar. Afroza Ahmed </v>
      </c>
      <c r="C80" s="2" t="str">
        <f>IFERROR(__xludf.DUMMYFUNCTION("""COMPUTED_VALUE"""),"A‐087) Chairperson &amp; Ar. Jalal Ahmed ")</f>
        <v>A‐087) Chairperson &amp; Ar. Jalal Ahmed </v>
      </c>
      <c r="D80" s="2" t="str">
        <f>IFERROR(__xludf.DUMMYFUNCTION("""COMPUTED_VALUE"""),"A‐036) Managing Director &amp; Ar. Md. Ismail Ibrahim ")</f>
        <v>A‐036) Managing Director &amp; Ar. Md. Ismail Ibrahim </v>
      </c>
      <c r="E80" s="2" t="str">
        <f>IFERROR(__xludf.DUMMYFUNCTION("""COMPUTED_VALUE"""),"I‐057) Director &amp; Ar. Md. Atiqul Haq ")</f>
        <v>I‐057) Director &amp; Ar. Md. Atiqul Haq </v>
      </c>
      <c r="F80" s="2" t="str">
        <f>IFERROR(__xludf.DUMMYFUNCTION("""COMPUTED_VALUE"""),"H‐073) Director")</f>
        <v>H‐073) Director</v>
      </c>
      <c r="G80" s="2" t="s">
        <v>1673</v>
      </c>
      <c r="H80" s="2" t="str">
        <f>IFERROR(__xludf.DUMMYFUNCTION("split(G80,"")"")"),"A‐087")</f>
        <v>A‐087</v>
      </c>
      <c r="I80" s="2" t="str">
        <f>IFERROR(__xludf.DUMMYFUNCTION("""COMPUTED_VALUE""")," Chairperson &amp; Ar. Jalal Ahmed ")</f>
        <v> Chairperson &amp; Ar. Jalal Ahmed </v>
      </c>
      <c r="J80" s="2" t="s">
        <v>1674</v>
      </c>
      <c r="K80" s="1" t="str">
        <f>IFERROR(__xludf.DUMMYFUNCTION("SPLIT(J80,""&amp;"")")," Chairperson ")</f>
        <v> Chairperson </v>
      </c>
      <c r="L80" s="2" t="str">
        <f>IFERROR(__xludf.DUMMYFUNCTION("""COMPUTED_VALUE""")," Ar. Jalal Ahmed ")</f>
        <v> Ar. Jalal Ahmed </v>
      </c>
      <c r="N80" s="19" t="s">
        <v>296</v>
      </c>
      <c r="O80" s="2" t="str">
        <f>IFERROR(__xludf.DUMMYFUNCTION("SPLIT(N80,""+"")"),"Website : www.jaarchitects.com.bd Contact: ")</f>
        <v>Website : www.jaarchitects.com.bd Contact: </v>
      </c>
      <c r="P80" s="18" t="str">
        <f>IFERROR(__xludf.DUMMYFUNCTION("""COMPUTED_VALUE"""),"88‐02‐9889196, 9887311")</f>
        <v>88‐02‐9889196, 9887311</v>
      </c>
      <c r="Q80" s="18" t="s">
        <v>1498</v>
      </c>
      <c r="R80" s="2" t="str">
        <f t="shared" si="1"/>
        <v>88‐02‐9889196, 9887311_N/A</v>
      </c>
      <c r="S80" s="18" t="s">
        <v>1675</v>
      </c>
    </row>
    <row r="81" ht="15.75" customHeight="1">
      <c r="A81" s="14" t="s">
        <v>306</v>
      </c>
      <c r="B81" s="2" t="str">
        <f>IFERROR(__xludf.DUMMYFUNCTION("SPLIT(A81,""("")"),"Ar. Mrinmoy Adhikary ")</f>
        <v>Ar. Mrinmoy Adhikary </v>
      </c>
      <c r="C81" s="2" t="str">
        <f>IFERROR(__xludf.DUMMYFUNCTION("""COMPUTED_VALUE"""),"A‐121) Sr. Architect")</f>
        <v>A‐121) Sr. Architect</v>
      </c>
      <c r="G81" s="2" t="s">
        <v>1676</v>
      </c>
      <c r="H81" s="2" t="str">
        <f>IFERROR(__xludf.DUMMYFUNCTION("split(G81,"")"")"),"A‐121")</f>
        <v>A‐121</v>
      </c>
      <c r="I81" s="2" t="str">
        <f>IFERROR(__xludf.DUMMYFUNCTION("""COMPUTED_VALUE""")," Sr. Architect")</f>
        <v> Sr. Architect</v>
      </c>
      <c r="J81" s="2" t="s">
        <v>1677</v>
      </c>
      <c r="K81" s="1" t="str">
        <f>IFERROR(__xludf.DUMMYFUNCTION("SPLIT(J81,""&amp;"")")," Sr. Architect")</f>
        <v> Sr. Architect</v>
      </c>
      <c r="N81" s="19" t="s">
        <v>936</v>
      </c>
      <c r="O81" s="2" t="str">
        <f>IFERROR(__xludf.DUMMYFUNCTION("SPLIT(N81,""+"")"),"website:")</f>
        <v>website:</v>
      </c>
      <c r="P81" s="18"/>
      <c r="Q81" s="18" t="s">
        <v>1678</v>
      </c>
      <c r="R81" s="2" t="str">
        <f t="shared" si="1"/>
        <v>_ +8801712621792, +8801942909110</v>
      </c>
      <c r="S81" s="18" t="s">
        <v>1678</v>
      </c>
    </row>
    <row r="82" ht="15.75" customHeight="1">
      <c r="A82" s="14" t="s">
        <v>950</v>
      </c>
      <c r="B82" s="2" t="str">
        <f>IFERROR(__xludf.DUMMYFUNCTION("SPLIT(A82,""("")"),"Ar. Al Numan Md. Yunus")</f>
        <v>Ar. Al Numan Md. Yunus</v>
      </c>
      <c r="C82" s="2" t="str">
        <f>IFERROR(__xludf.DUMMYFUNCTION("""COMPUTED_VALUE"""),"Y‐008) Managing Partner &amp; Ar. Dhrubajyoti Das ")</f>
        <v>Y‐008) Managing Partner &amp; Ar. Dhrubajyoti Das </v>
      </c>
      <c r="D82" s="2" t="str">
        <f>IFERROR(__xludf.DUMMYFUNCTION("""COMPUTED_VALUE"""),"D‐014) Partner &amp; Md. Shumsuddin Ahmed Bhuiyan ")</f>
        <v>D‐014) Partner &amp; Md. Shumsuddin Ahmed Bhuiyan </v>
      </c>
      <c r="E82" s="2" t="str">
        <f>IFERROR(__xludf.DUMMYFUNCTION("""COMPUTED_VALUE"""),"B‐041) Partner &amp; Md. Hasan Al Emtiaz Zafree ")</f>
        <v>B‐041) Partner &amp; Md. Hasan Al Emtiaz Zafree </v>
      </c>
      <c r="F82" s="2" t="str">
        <f>IFERROR(__xludf.DUMMYFUNCTION("""COMPUTED_VALUE"""),"CZ‐011) Partner")</f>
        <v>CZ‐011) Partner</v>
      </c>
      <c r="G82" s="2" t="s">
        <v>1679</v>
      </c>
      <c r="H82" s="2" t="str">
        <f>IFERROR(__xludf.DUMMYFUNCTION("split(G82,"")"")"),"Y‐008")</f>
        <v>Y‐008</v>
      </c>
      <c r="I82" s="2" t="str">
        <f>IFERROR(__xludf.DUMMYFUNCTION("""COMPUTED_VALUE""")," Managing Partner &amp; Ar. Dhrubajyoti Das ")</f>
        <v> Managing Partner &amp; Ar. Dhrubajyoti Das </v>
      </c>
      <c r="J82" s="2" t="s">
        <v>1680</v>
      </c>
      <c r="K82" s="1" t="str">
        <f>IFERROR(__xludf.DUMMYFUNCTION("SPLIT(J82,""&amp;"")")," Managing Partner ")</f>
        <v> Managing Partner </v>
      </c>
      <c r="L82" s="2" t="str">
        <f>IFERROR(__xludf.DUMMYFUNCTION("""COMPUTED_VALUE""")," Ar. Dhrubajyoti Das ")</f>
        <v> Ar. Dhrubajyoti Das </v>
      </c>
      <c r="N82" s="19" t="s">
        <v>311</v>
      </c>
      <c r="O82" s="2" t="str">
        <f>IFERROR(__xludf.DUMMYFUNCTION("SPLIT(N82,""+"")"),"Website : www.khetro.com Contact: ")</f>
        <v>Website : www.khetro.com Contact: </v>
      </c>
      <c r="P82" s="18" t="str">
        <f>IFERROR(__xludf.DUMMYFUNCTION("""COMPUTED_VALUE"""),"88‐02‐8872212")</f>
        <v>88‐02‐8872212</v>
      </c>
      <c r="Q82" s="18" t="s">
        <v>1498</v>
      </c>
      <c r="R82" s="2" t="str">
        <f t="shared" si="1"/>
        <v>88‐02‐8872212_N/A</v>
      </c>
      <c r="S82" s="18" t="s">
        <v>1681</v>
      </c>
    </row>
    <row r="83" ht="15.75" customHeight="1">
      <c r="A83" s="14" t="s">
        <v>321</v>
      </c>
      <c r="B83" s="2" t="str">
        <f>IFERROR(__xludf.DUMMYFUNCTION("SPLIT(A83,""("")"),"Ar. Mainul Quader Tito ")</f>
        <v>Ar. Mainul Quader Tito </v>
      </c>
      <c r="C83" s="2" t="str">
        <f>IFERROR(__xludf.DUMMYFUNCTION("""COMPUTED_VALUE"""),"T‐006) CEO")</f>
        <v>T‐006) CEO</v>
      </c>
      <c r="G83" s="2" t="s">
        <v>1682</v>
      </c>
      <c r="H83" s="2" t="str">
        <f>IFERROR(__xludf.DUMMYFUNCTION("split(G83,"")"")"),"T‐006")</f>
        <v>T‐006</v>
      </c>
      <c r="I83" s="2" t="str">
        <f>IFERROR(__xludf.DUMMYFUNCTION("""COMPUTED_VALUE""")," CEO")</f>
        <v> CEO</v>
      </c>
      <c r="J83" s="2" t="s">
        <v>1603</v>
      </c>
      <c r="K83" s="1" t="str">
        <f>IFERROR(__xludf.DUMMYFUNCTION("SPLIT(J83,""&amp;"")")," CEO")</f>
        <v> CEO</v>
      </c>
      <c r="N83" s="19" t="s">
        <v>320</v>
      </c>
      <c r="O83" s="2" t="str">
        <f>IFERROR(__xludf.DUMMYFUNCTION("SPLIT(N83,""+"")"),"Website : www.khettraarchitects.com Contact: ")</f>
        <v>Website : www.khettraarchitects.com Contact: </v>
      </c>
      <c r="P83" s="18" t="str">
        <f>IFERROR(__xludf.DUMMYFUNCTION("""COMPUTED_VALUE"""),"88‐02‐ 8142871")</f>
        <v>88‐02‐ 8142871</v>
      </c>
      <c r="Q83" s="18" t="s">
        <v>1498</v>
      </c>
      <c r="R83" s="2" t="str">
        <f t="shared" si="1"/>
        <v>88‐02‐ 8142871_N/A</v>
      </c>
      <c r="S83" s="18" t="s">
        <v>1683</v>
      </c>
    </row>
    <row r="84" ht="15.75" customHeight="1">
      <c r="A84" s="14" t="s">
        <v>952</v>
      </c>
      <c r="B84" s="2" t="str">
        <f>IFERROR(__xludf.DUMMYFUNCTION("SPLIT(A84,""("")"),"Ar. Ahsanul Haque Rubel ")</f>
        <v>Ar. Ahsanul Haque Rubel </v>
      </c>
      <c r="C84" s="2" t="str">
        <f>IFERROR(__xludf.DUMMYFUNCTION("""COMPUTED_VALUE"""),"R‐153) Managing Partner &amp; Ar. Kawsary Perveen ")</f>
        <v>R‐153) Managing Partner &amp; Ar. Kawsary Perveen </v>
      </c>
      <c r="D84" s="2" t="str">
        <f>IFERROR(__xludf.DUMMYFUNCTION("""COMPUTED_VALUE"""),"P‐011) Managing Partner")</f>
        <v>P‐011) Managing Partner</v>
      </c>
      <c r="G84" s="2" t="s">
        <v>1684</v>
      </c>
      <c r="H84" s="2" t="str">
        <f>IFERROR(__xludf.DUMMYFUNCTION("split(G84,"")"")"),"R‐153")</f>
        <v>R‐153</v>
      </c>
      <c r="I84" s="2" t="str">
        <f>IFERROR(__xludf.DUMMYFUNCTION("""COMPUTED_VALUE""")," Managing Partner &amp; Ar. Kawsary Perveen ")</f>
        <v> Managing Partner &amp; Ar. Kawsary Perveen </v>
      </c>
      <c r="J84" s="2" t="s">
        <v>1685</v>
      </c>
      <c r="K84" s="1" t="str">
        <f>IFERROR(__xludf.DUMMYFUNCTION("SPLIT(J84,""&amp;"")")," Managing Partner ")</f>
        <v> Managing Partner </v>
      </c>
      <c r="L84" s="2" t="str">
        <f>IFERROR(__xludf.DUMMYFUNCTION("""COMPUTED_VALUE""")," Ar. Kawsary Perveen ")</f>
        <v> Ar. Kawsary Perveen </v>
      </c>
      <c r="N84" s="19" t="s">
        <v>951</v>
      </c>
      <c r="O84" s="2" t="str">
        <f>IFERROR(__xludf.DUMMYFUNCTION("SPLIT(N84,""+"")"),"Website : https://www.facebook.com/K2AHArchitects Contact: ")</f>
        <v>Website : https://www.facebook.com/K2AHArchitects Contact: </v>
      </c>
      <c r="P84" s="18" t="str">
        <f>IFERROR(__xludf.DUMMYFUNCTION("""COMPUTED_VALUE"""),"8801717183918, 8801717068255")</f>
        <v>8801717183918, 8801717068255</v>
      </c>
      <c r="Q84" s="18" t="s">
        <v>1498</v>
      </c>
      <c r="R84" s="2" t="str">
        <f t="shared" si="1"/>
        <v>8801717183918, 8801717068255_N/A</v>
      </c>
      <c r="S84" s="18" t="s">
        <v>1686</v>
      </c>
    </row>
    <row r="85" ht="15.75" customHeight="1">
      <c r="A85" s="14" t="s">
        <v>333</v>
      </c>
      <c r="B85" s="2" t="str">
        <f>IFERROR(__xludf.DUMMYFUNCTION("SPLIT(A85,""("")"),"Ar. A.K.M Lutful Kabir ")</f>
        <v>Ar. A.K.M Lutful Kabir </v>
      </c>
      <c r="C85" s="2" t="str">
        <f>IFERROR(__xludf.DUMMYFUNCTION("""COMPUTED_VALUE"""),"K‐065) Managing Director")</f>
        <v>K‐065) Managing Director</v>
      </c>
      <c r="G85" s="2" t="s">
        <v>1687</v>
      </c>
      <c r="H85" s="2" t="str">
        <f>IFERROR(__xludf.DUMMYFUNCTION("split(G85,"")"")"),"K‐065")</f>
        <v>K‐065</v>
      </c>
      <c r="I85" s="2" t="str">
        <f>IFERROR(__xludf.DUMMYFUNCTION("""COMPUTED_VALUE""")," Managing Director")</f>
        <v> Managing Director</v>
      </c>
      <c r="J85" s="2" t="s">
        <v>1497</v>
      </c>
      <c r="K85" s="1" t="str">
        <f>IFERROR(__xludf.DUMMYFUNCTION("SPLIT(J85,""&amp;"")")," Managing Director")</f>
        <v> Managing Director</v>
      </c>
      <c r="N85" s="19" t="s">
        <v>936</v>
      </c>
      <c r="O85" s="2" t="str">
        <f>IFERROR(__xludf.DUMMYFUNCTION("SPLIT(N85,""+"")"),"website:")</f>
        <v>website:</v>
      </c>
      <c r="P85" s="18"/>
      <c r="Q85" s="18" t="s">
        <v>1688</v>
      </c>
      <c r="R85" s="2" t="str">
        <f t="shared" si="1"/>
        <v>_ +88‐02‐8835831</v>
      </c>
      <c r="S85" s="18" t="s">
        <v>1688</v>
      </c>
    </row>
    <row r="86" ht="15.75" customHeight="1">
      <c r="A86" s="14" t="s">
        <v>953</v>
      </c>
      <c r="B86" s="2" t="str">
        <f>IFERROR(__xludf.DUMMYFUNCTION("SPLIT(A86,""("")"),"Ar. Kazi Touhidul Islam ")</f>
        <v>Ar. Kazi Touhidul Islam </v>
      </c>
      <c r="C86" s="2" t="str">
        <f>IFERROR(__xludf.DUMMYFUNCTION("""COMPUTED_VALUE"""),"I‐041) Partner &amp; Ar. Hasina Shams ")</f>
        <v>I‐041) Partner &amp; Ar. Hasina Shams </v>
      </c>
      <c r="D86" s="2" t="str">
        <f>IFERROR(__xludf.DUMMYFUNCTION("""COMPUTED_VALUE"""),"S‐097) Partner")</f>
        <v>S‐097) Partner</v>
      </c>
      <c r="G86" s="2" t="s">
        <v>1689</v>
      </c>
      <c r="H86" s="2" t="str">
        <f>IFERROR(__xludf.DUMMYFUNCTION("split(G86,"")"")"),"I‐041")</f>
        <v>I‐041</v>
      </c>
      <c r="I86" s="2" t="str">
        <f>IFERROR(__xludf.DUMMYFUNCTION("""COMPUTED_VALUE""")," Partner &amp; Ar. Hasina Shams ")</f>
        <v> Partner &amp; Ar. Hasina Shams </v>
      </c>
      <c r="J86" s="2" t="s">
        <v>1690</v>
      </c>
      <c r="K86" s="1" t="str">
        <f>IFERROR(__xludf.DUMMYFUNCTION("SPLIT(J86,""&amp;"")")," Partner ")</f>
        <v> Partner </v>
      </c>
      <c r="L86" s="2" t="str">
        <f>IFERROR(__xludf.DUMMYFUNCTION("""COMPUTED_VALUE""")," Ar. Hasina Shams ")</f>
        <v> Ar. Hasina Shams </v>
      </c>
      <c r="N86" s="19" t="s">
        <v>936</v>
      </c>
      <c r="O86" s="2" t="str">
        <f>IFERROR(__xludf.DUMMYFUNCTION("SPLIT(N86,""+"")"),"website:")</f>
        <v>website:</v>
      </c>
      <c r="P86" s="18"/>
      <c r="Q86" s="18" t="s">
        <v>1691</v>
      </c>
      <c r="R86" s="2" t="str">
        <f t="shared" si="1"/>
        <v>_ +88 01711899081</v>
      </c>
      <c r="S86" s="18" t="s">
        <v>1691</v>
      </c>
    </row>
    <row r="87" ht="15.75" customHeight="1">
      <c r="A87" s="14" t="s">
        <v>345</v>
      </c>
      <c r="B87" s="2" t="str">
        <f>IFERROR(__xludf.DUMMYFUNCTION("SPLIT(A87,""("")"),"Ar. Muhammed Miraz Ur Rahman ")</f>
        <v>Ar. Muhammed Miraz Ur Rahman </v>
      </c>
      <c r="C87" s="2" t="str">
        <f>IFERROR(__xludf.DUMMYFUNCTION("""COMPUTED_VALUE"""),"R‐087) Principal Architect")</f>
        <v>R‐087) Principal Architect</v>
      </c>
      <c r="G87" s="2" t="s">
        <v>1692</v>
      </c>
      <c r="H87" s="2" t="str">
        <f>IFERROR(__xludf.DUMMYFUNCTION("split(G87,"")"")"),"R‐087")</f>
        <v>R‐087</v>
      </c>
      <c r="I87" s="2" t="str">
        <f>IFERROR(__xludf.DUMMYFUNCTION("""COMPUTED_VALUE""")," Principal Architect")</f>
        <v> Principal Architect</v>
      </c>
      <c r="J87" s="2" t="s">
        <v>1501</v>
      </c>
      <c r="K87" s="1" t="str">
        <f>IFERROR(__xludf.DUMMYFUNCTION("SPLIT(J87,""&amp;"")")," Principal Architect")</f>
        <v> Principal Architect</v>
      </c>
      <c r="N87" s="19" t="s">
        <v>936</v>
      </c>
      <c r="O87" s="2" t="str">
        <f>IFERROR(__xludf.DUMMYFUNCTION("SPLIT(N87,""+"")"),"website:")</f>
        <v>website:</v>
      </c>
      <c r="P87" s="18"/>
      <c r="Q87" s="18">
        <v>8.801191557292E12</v>
      </c>
      <c r="R87" s="2" t="str">
        <f t="shared" si="1"/>
        <v>_8801191557292</v>
      </c>
      <c r="S87" s="18">
        <v>8.801191557292E12</v>
      </c>
    </row>
    <row r="88" ht="15.75" customHeight="1">
      <c r="A88" s="14" t="s">
        <v>352</v>
      </c>
      <c r="B88" s="2" t="str">
        <f>IFERROR(__xludf.DUMMYFUNCTION("SPLIT(A88,""("")"),"Ar. Md. Aminul Islam ")</f>
        <v>Ar. Md. Aminul Islam </v>
      </c>
      <c r="C88" s="2" t="str">
        <f>IFERROR(__xludf.DUMMYFUNCTION("""COMPUTED_VALUE"""),"I‐051) CEO")</f>
        <v>I‐051) CEO</v>
      </c>
      <c r="G88" s="2" t="s">
        <v>1693</v>
      </c>
      <c r="H88" s="2" t="str">
        <f>IFERROR(__xludf.DUMMYFUNCTION("split(G88,"")"")"),"I‐051")</f>
        <v>I‐051</v>
      </c>
      <c r="I88" s="2" t="str">
        <f>IFERROR(__xludf.DUMMYFUNCTION("""COMPUTED_VALUE""")," CEO")</f>
        <v> CEO</v>
      </c>
      <c r="J88" s="2" t="s">
        <v>1603</v>
      </c>
      <c r="K88" s="1" t="str">
        <f>IFERROR(__xludf.DUMMYFUNCTION("SPLIT(J88,""&amp;"")")," CEO")</f>
        <v> CEO</v>
      </c>
      <c r="N88" s="19" t="s">
        <v>351</v>
      </c>
      <c r="O88" s="2" t="str">
        <f>IFERROR(__xludf.DUMMYFUNCTION("SPLIT(N88,""+"")"),"Website : www.maatrik.net")</f>
        <v>Website : www.maatrik.net</v>
      </c>
      <c r="P88" s="18"/>
      <c r="Q88" s="18" t="s">
        <v>1694</v>
      </c>
      <c r="R88" s="2" t="str">
        <f t="shared" si="1"/>
        <v>_ +8801723563209, +8801673545909</v>
      </c>
      <c r="S88" s="18" t="s">
        <v>1694</v>
      </c>
    </row>
    <row r="89" ht="15.75" customHeight="1">
      <c r="A89" s="14" t="s">
        <v>358</v>
      </c>
      <c r="B89" s="2" t="str">
        <f>IFERROR(__xludf.DUMMYFUNCTION("SPLIT(A89,""("")"),"Ar. Mahtab Hussain Siddique ")</f>
        <v>Ar. Mahtab Hussain Siddique </v>
      </c>
      <c r="C89" s="2" t="str">
        <f>IFERROR(__xludf.DUMMYFUNCTION("""COMPUTED_VALUE"""),"S‐101) President &amp; Principal Architect")</f>
        <v>S‐101) President &amp; Principal Architect</v>
      </c>
      <c r="G89" s="2" t="s">
        <v>1695</v>
      </c>
      <c r="H89" s="2" t="str">
        <f>IFERROR(__xludf.DUMMYFUNCTION("split(G89,"")"")"),"S‐101")</f>
        <v>S‐101</v>
      </c>
      <c r="I89" s="2" t="str">
        <f>IFERROR(__xludf.DUMMYFUNCTION("""COMPUTED_VALUE""")," President &amp; Principal Architect")</f>
        <v> President &amp; Principal Architect</v>
      </c>
      <c r="J89" s="2" t="s">
        <v>1696</v>
      </c>
      <c r="K89" s="1" t="str">
        <f>IFERROR(__xludf.DUMMYFUNCTION("SPLIT(J89,""&amp;"")")," President ")</f>
        <v> President </v>
      </c>
      <c r="L89" s="2" t="str">
        <f>IFERROR(__xludf.DUMMYFUNCTION("""COMPUTED_VALUE""")," Principal Architect")</f>
        <v> Principal Architect</v>
      </c>
      <c r="N89" s="19" t="s">
        <v>357</v>
      </c>
      <c r="O89" s="2" t="str">
        <f>IFERROR(__xludf.DUMMYFUNCTION("SPLIT(N89,""+"")"),"Website : www.mw3.com.bd")</f>
        <v>Website : www.mw3.com.bd</v>
      </c>
      <c r="P89" s="18"/>
      <c r="Q89" s="18" t="s">
        <v>1697</v>
      </c>
      <c r="R89" s="2" t="str">
        <f t="shared" si="1"/>
        <v>_ +88‐02‐9840957</v>
      </c>
      <c r="S89" s="18" t="s">
        <v>1697</v>
      </c>
    </row>
    <row r="90" ht="15.75" customHeight="1">
      <c r="A90" s="14" t="s">
        <v>954</v>
      </c>
      <c r="B90" s="2" t="str">
        <f>IFERROR(__xludf.DUMMYFUNCTION("SPLIT(A90,""("")"),"Ar. Shaila Joarder ")</f>
        <v>Ar. Shaila Joarder </v>
      </c>
      <c r="C90" s="2" t="str">
        <f>IFERROR(__xludf.DUMMYFUNCTION("""COMPUTED_VALUE"""),"J‐013) Managing Partner &amp; Ar. Md. Ruhul Amin ")</f>
        <v>J‐013) Managing Partner &amp; Ar. Md. Ruhul Amin </v>
      </c>
      <c r="D90" s="2" t="str">
        <f>IFERROR(__xludf.DUMMYFUNCTION("""COMPUTED_VALUE"""),"A‐196) Partner &amp; Ar. Atiqur Rahman ")</f>
        <v>A‐196) Partner &amp; Ar. Atiqur Rahman </v>
      </c>
      <c r="E90" s="2" t="str">
        <f>IFERROR(__xludf.DUMMYFUNCTION("""COMPUTED_VALUE"""),"R‐115) Partner")</f>
        <v>R‐115) Partner</v>
      </c>
      <c r="G90" s="2" t="s">
        <v>1698</v>
      </c>
      <c r="H90" s="2" t="str">
        <f>IFERROR(__xludf.DUMMYFUNCTION("split(G90,"")"")"),"J‐013")</f>
        <v>J‐013</v>
      </c>
      <c r="I90" s="2" t="str">
        <f>IFERROR(__xludf.DUMMYFUNCTION("""COMPUTED_VALUE""")," Managing Partner &amp; Ar. Md. Ruhul Amin ")</f>
        <v> Managing Partner &amp; Ar. Md. Ruhul Amin </v>
      </c>
      <c r="J90" s="2" t="s">
        <v>1699</v>
      </c>
      <c r="K90" s="1" t="str">
        <f>IFERROR(__xludf.DUMMYFUNCTION("SPLIT(J90,""&amp;"")")," Managing Partner ")</f>
        <v> Managing Partner </v>
      </c>
      <c r="L90" s="2" t="str">
        <f>IFERROR(__xludf.DUMMYFUNCTION("""COMPUTED_VALUE""")," Ar. Md. Ruhul Amin ")</f>
        <v> Ar. Md. Ruhul Amin </v>
      </c>
      <c r="N90" s="19" t="s">
        <v>365</v>
      </c>
      <c r="O90" s="2" t="str">
        <f>IFERROR(__xludf.DUMMYFUNCTION("SPLIT(N90,""+"")"),"Website : www.nayreetarchitects.com Contact: ")</f>
        <v>Website : www.nayreetarchitects.com Contact: </v>
      </c>
      <c r="P90" s="18" t="str">
        <f>IFERROR(__xludf.DUMMYFUNCTION("""COMPUTED_VALUE"""),"88‐02‐7913394, 8957701")</f>
        <v>88‐02‐7913394, 8957701</v>
      </c>
      <c r="Q90" s="18" t="s">
        <v>1498</v>
      </c>
      <c r="R90" s="2" t="str">
        <f t="shared" si="1"/>
        <v>88‐02‐7913394, 8957701_N/A</v>
      </c>
      <c r="S90" s="18" t="s">
        <v>1645</v>
      </c>
    </row>
    <row r="91" ht="15.75" customHeight="1">
      <c r="A91" s="14" t="s">
        <v>374</v>
      </c>
      <c r="B91" s="2" t="str">
        <f>IFERROR(__xludf.DUMMYFUNCTION("SPLIT(A91,""("")"),"Ar. Mohammed Razaoull Karim ")</f>
        <v>Ar. Mohammed Razaoull Karim </v>
      </c>
      <c r="C91" s="2" t="str">
        <f>IFERROR(__xludf.DUMMYFUNCTION("""COMPUTED_VALUE"""),"K‐132) Proprietor")</f>
        <v>K‐132) Proprietor</v>
      </c>
      <c r="G91" s="2" t="s">
        <v>1700</v>
      </c>
      <c r="H91" s="2" t="str">
        <f>IFERROR(__xludf.DUMMYFUNCTION("split(G91,"")"")"),"K‐132")</f>
        <v>K‐132</v>
      </c>
      <c r="I91" s="2" t="str">
        <f>IFERROR(__xludf.DUMMYFUNCTION("""COMPUTED_VALUE""")," Proprietor")</f>
        <v> Proprietor</v>
      </c>
      <c r="J91" s="2" t="s">
        <v>1522</v>
      </c>
      <c r="K91" s="1" t="str">
        <f>IFERROR(__xludf.DUMMYFUNCTION("SPLIT(J91,""&amp;"")")," Proprietor")</f>
        <v> Proprietor</v>
      </c>
      <c r="N91" s="19" t="s">
        <v>936</v>
      </c>
      <c r="O91" s="2" t="str">
        <f>IFERROR(__xludf.DUMMYFUNCTION("SPLIT(N91,""+"")"),"website:")</f>
        <v>website:</v>
      </c>
      <c r="P91" s="18"/>
      <c r="Q91" s="18">
        <v>8.801912137212E12</v>
      </c>
      <c r="R91" s="2" t="str">
        <f t="shared" si="1"/>
        <v>_8801912137212</v>
      </c>
      <c r="S91" s="18">
        <v>8.801912137212E12</v>
      </c>
    </row>
    <row r="92" ht="15.75" customHeight="1">
      <c r="A92" s="14" t="s">
        <v>381</v>
      </c>
      <c r="B92" s="2" t="str">
        <f>IFERROR(__xludf.DUMMYFUNCTION("SPLIT(A92,""("")"),"Ar. Bayejid Mahbub Khondker ")</f>
        <v>Ar. Bayejid Mahbub Khondker </v>
      </c>
      <c r="C92" s="2" t="str">
        <f>IFERROR(__xludf.DUMMYFUNCTION("""COMPUTED_VALUE"""),"K‐077) Principal Architect")</f>
        <v>K‐077) Principal Architect</v>
      </c>
      <c r="G92" s="2" t="s">
        <v>1701</v>
      </c>
      <c r="H92" s="2" t="str">
        <f>IFERROR(__xludf.DUMMYFUNCTION("split(G92,"")"")"),"K‐077")</f>
        <v>K‐077</v>
      </c>
      <c r="I92" s="2" t="str">
        <f>IFERROR(__xludf.DUMMYFUNCTION("""COMPUTED_VALUE""")," Principal Architect")</f>
        <v> Principal Architect</v>
      </c>
      <c r="J92" s="2" t="s">
        <v>1501</v>
      </c>
      <c r="K92" s="1" t="str">
        <f>IFERROR(__xludf.DUMMYFUNCTION("SPLIT(J92,""&amp;"")")," Principal Architect")</f>
        <v> Principal Architect</v>
      </c>
      <c r="N92" s="19" t="s">
        <v>380</v>
      </c>
      <c r="O92" s="2" t="str">
        <f>IFERROR(__xludf.DUMMYFUNCTION("SPLIT(N92,""+"")"),"Website: www.nakshabid.com")</f>
        <v>Website: www.nakshabid.com</v>
      </c>
      <c r="P92" s="18"/>
      <c r="Q92" s="18" t="s">
        <v>1702</v>
      </c>
      <c r="R92" s="2" t="str">
        <f t="shared" si="1"/>
        <v>_ +88 01819221011, +88 02‐9845080</v>
      </c>
      <c r="S92" s="18" t="s">
        <v>1702</v>
      </c>
    </row>
    <row r="93" ht="15.75" customHeight="1">
      <c r="A93" s="14" t="s">
        <v>387</v>
      </c>
      <c r="B93" s="2" t="str">
        <f>IFERROR(__xludf.DUMMYFUNCTION("SPLIT(A93,""("")"),"Ar. Oli Mahmud ")</f>
        <v>Ar. Oli Mahmud </v>
      </c>
      <c r="C93" s="2" t="str">
        <f>IFERROR(__xludf.DUMMYFUNCTION("""COMPUTED_VALUE"""),"M‐059) Managing Director")</f>
        <v>M‐059) Managing Director</v>
      </c>
      <c r="G93" s="2" t="s">
        <v>1703</v>
      </c>
      <c r="H93" s="2" t="str">
        <f>IFERROR(__xludf.DUMMYFUNCTION("split(G93,"")"")"),"M‐059")</f>
        <v>M‐059</v>
      </c>
      <c r="I93" s="2" t="str">
        <f>IFERROR(__xludf.DUMMYFUNCTION("""COMPUTED_VALUE""")," Managing Director")</f>
        <v> Managing Director</v>
      </c>
      <c r="J93" s="2" t="s">
        <v>1497</v>
      </c>
      <c r="K93" s="1" t="str">
        <f>IFERROR(__xludf.DUMMYFUNCTION("SPLIT(J93,""&amp;"")")," Managing Director")</f>
        <v> Managing Director</v>
      </c>
      <c r="N93" s="19" t="s">
        <v>386</v>
      </c>
      <c r="O93" s="2" t="str">
        <f>IFERROR(__xludf.DUMMYFUNCTION("SPLIT(N93,""+"")"),"Website : www.olimahmud.com Contact: ")</f>
        <v>Website : www.olimahmud.com Contact: </v>
      </c>
      <c r="P93" s="18" t="str">
        <f>IFERROR(__xludf.DUMMYFUNCTION("""COMPUTED_VALUE"""),"88‐02‐9668945")</f>
        <v>88‐02‐9668945</v>
      </c>
      <c r="Q93" s="18" t="s">
        <v>1498</v>
      </c>
      <c r="R93" s="2" t="str">
        <f t="shared" si="1"/>
        <v>88‐02‐9668945_N/A</v>
      </c>
      <c r="S93" s="18" t="s">
        <v>1704</v>
      </c>
    </row>
    <row r="94" ht="15.75" customHeight="1">
      <c r="A94" s="14" t="s">
        <v>394</v>
      </c>
      <c r="B94" s="2" t="str">
        <f>IFERROR(__xludf.DUMMYFUNCTION("SPLIT(A94,""("")"),"Ar. Saumen Hazra ")</f>
        <v>Ar. Saumen Hazra </v>
      </c>
      <c r="C94" s="2" t="str">
        <f>IFERROR(__xludf.DUMMYFUNCTION("""COMPUTED_VALUE"""),"H‐109) Principal Architect")</f>
        <v>H‐109) Principal Architect</v>
      </c>
      <c r="G94" s="2" t="s">
        <v>1705</v>
      </c>
      <c r="H94" s="2" t="str">
        <f>IFERROR(__xludf.DUMMYFUNCTION("split(G94,"")"")"),"H‐109")</f>
        <v>H‐109</v>
      </c>
      <c r="I94" s="2" t="str">
        <f>IFERROR(__xludf.DUMMYFUNCTION("""COMPUTED_VALUE""")," Principal Architect")</f>
        <v> Principal Architect</v>
      </c>
      <c r="J94" s="2" t="s">
        <v>1501</v>
      </c>
      <c r="K94" s="1" t="str">
        <f>IFERROR(__xludf.DUMMYFUNCTION("SPLIT(J94,""&amp;"")")," Principal Architect")</f>
        <v> Principal Architect</v>
      </c>
      <c r="N94" s="19" t="s">
        <v>393</v>
      </c>
      <c r="O94" s="2" t="str">
        <f>IFERROR(__xludf.DUMMYFUNCTION("SPLIT(N94,""+"")"),"#REF!")</f>
        <v>#REF!</v>
      </c>
      <c r="P94" s="18"/>
      <c r="Q94" s="18" t="s">
        <v>1498</v>
      </c>
      <c r="R94" s="2" t="str">
        <f t="shared" si="1"/>
        <v>_N/A</v>
      </c>
      <c r="S94" s="18"/>
    </row>
    <row r="95" ht="15.75" customHeight="1">
      <c r="A95" s="14" t="s">
        <v>400</v>
      </c>
      <c r="B95" s="2" t="str">
        <f>IFERROR(__xludf.DUMMYFUNCTION("SPLIT(A95,""("")"),"Ar. Md. Abdus Salam")</f>
        <v>Ar. Md. Abdus Salam</v>
      </c>
      <c r="C95" s="2" t="str">
        <f>IFERROR(__xludf.DUMMYFUNCTION("""COMPUTED_VALUE"""),"S‐047) Managing Director")</f>
        <v>S‐047) Managing Director</v>
      </c>
      <c r="G95" s="2" t="s">
        <v>1706</v>
      </c>
      <c r="H95" s="2" t="str">
        <f>IFERROR(__xludf.DUMMYFUNCTION("split(G95,"")"")"),"S‐047")</f>
        <v>S‐047</v>
      </c>
      <c r="I95" s="2" t="str">
        <f>IFERROR(__xludf.DUMMYFUNCTION("""COMPUTED_VALUE""")," Managing Director")</f>
        <v> Managing Director</v>
      </c>
      <c r="J95" s="2" t="s">
        <v>1497</v>
      </c>
      <c r="K95" s="1" t="str">
        <f>IFERROR(__xludf.DUMMYFUNCTION("SPLIT(J95,""&amp;"")")," Managing Director")</f>
        <v> Managing Director</v>
      </c>
      <c r="N95" s="19" t="s">
        <v>399</v>
      </c>
      <c r="O95" s="2" t="str">
        <f>IFERROR(__xludf.DUMMYFUNCTION("SPLIT(N95,""+"")"),"Website : www.profilelimited.com Contact: ")</f>
        <v>Website : www.profilelimited.com Contact: </v>
      </c>
      <c r="P95" s="18" t="str">
        <f>IFERROR(__xludf.DUMMYFUNCTION("""COMPUTED_VALUE"""),"88‐02‐9854672‐5,8812145,8815034,8816538 Fax: 9855153‐4")</f>
        <v>88‐02‐9854672‐5,8812145,8815034,8816538 Fax: 9855153‐4</v>
      </c>
      <c r="Q95" s="18" t="s">
        <v>1498</v>
      </c>
      <c r="R95" s="2" t="str">
        <f t="shared" si="1"/>
        <v>88‐02‐9854672‐5,8812145,8815034,8816538 Fax: 9855153‐4_N/A</v>
      </c>
      <c r="S95" s="18" t="s">
        <v>1707</v>
      </c>
    </row>
    <row r="96" ht="15.75" customHeight="1">
      <c r="A96" s="14" t="s">
        <v>955</v>
      </c>
      <c r="B96" s="2" t="str">
        <f>IFERROR(__xludf.DUMMYFUNCTION("SPLIT(A96,""("")"),"Ar. Shahidul Hasan Azad ")</f>
        <v>Ar. Shahidul Hasan Azad </v>
      </c>
      <c r="C96" s="2" t="str">
        <f>IFERROR(__xludf.DUMMYFUNCTION("""COMPUTED_VALUE"""),"H‐045) Managing Director &amp; Ar. Ferdous Ahmed ")</f>
        <v>H‐045) Managing Director &amp; Ar. Ferdous Ahmed </v>
      </c>
      <c r="D96" s="2" t="str">
        <f>IFERROR(__xludf.DUMMYFUNCTION("""COMPUTED_VALUE"""),"A‐038) Director &amp; Ar. Yeafesh Osman ")</f>
        <v>A‐038) Director &amp; Ar. Yeafesh Osman </v>
      </c>
      <c r="E96" s="2" t="str">
        <f>IFERROR(__xludf.DUMMYFUNCTION("""COMPUTED_VALUE"""),"O‐001)")</f>
        <v>O‐001)</v>
      </c>
      <c r="G96" s="2" t="s">
        <v>1708</v>
      </c>
      <c r="H96" s="2" t="str">
        <f>IFERROR(__xludf.DUMMYFUNCTION("split(G96,"")"")"),"H‐045")</f>
        <v>H‐045</v>
      </c>
      <c r="I96" s="2" t="str">
        <f>IFERROR(__xludf.DUMMYFUNCTION("""COMPUTED_VALUE""")," Managing Director &amp; Ar. Ferdous Ahmed ")</f>
        <v> Managing Director &amp; Ar. Ferdous Ahmed </v>
      </c>
      <c r="J96" s="2" t="s">
        <v>1709</v>
      </c>
      <c r="K96" s="1" t="str">
        <f>IFERROR(__xludf.DUMMYFUNCTION("SPLIT(J96,""&amp;"")")," Managing Director ")</f>
        <v> Managing Director </v>
      </c>
      <c r="L96" s="2" t="str">
        <f>IFERROR(__xludf.DUMMYFUNCTION("""COMPUTED_VALUE""")," Ar. Ferdous Ahmed ")</f>
        <v> Ar. Ferdous Ahmed </v>
      </c>
      <c r="N96" s="19" t="s">
        <v>406</v>
      </c>
      <c r="O96" s="2" t="str">
        <f>IFERROR(__xludf.DUMMYFUNCTION("SPLIT(N96,""+"")"),"Website : www.pulbd.com Contact: ")</f>
        <v>Website : www.pulbd.com Contact: </v>
      </c>
      <c r="P96" s="18" t="str">
        <f>IFERROR(__xludf.DUMMYFUNCTION("""COMPUTED_VALUE"""),"88‐02‐9117689, 9126909")</f>
        <v>88‐02‐9117689, 9126909</v>
      </c>
      <c r="Q96" s="18" t="s">
        <v>1498</v>
      </c>
      <c r="R96" s="2" t="str">
        <f t="shared" si="1"/>
        <v>88‐02‐9117689, 9126909_N/A</v>
      </c>
      <c r="S96" s="18" t="s">
        <v>1710</v>
      </c>
    </row>
    <row r="97" ht="15.75" customHeight="1">
      <c r="A97" s="14" t="s">
        <v>956</v>
      </c>
      <c r="B97" s="2" t="str">
        <f>IFERROR(__xludf.DUMMYFUNCTION("SPLIT(A97,""("")"),"Ar. Sohail M Shakoor ")</f>
        <v>Ar. Sohail M Shakoor </v>
      </c>
      <c r="C97" s="2" t="str">
        <f>IFERROR(__xludf.DUMMYFUNCTION("""COMPUTED_VALUE"""),"S‐021) Principal Architect &amp; CEO")</f>
        <v>S‐021) Principal Architect &amp; CEO</v>
      </c>
      <c r="G97" s="2" t="s">
        <v>1711</v>
      </c>
      <c r="H97" s="2" t="str">
        <f>IFERROR(__xludf.DUMMYFUNCTION("split(G97,"")"")"),"S‐021")</f>
        <v>S‐021</v>
      </c>
      <c r="I97" s="2" t="str">
        <f>IFERROR(__xludf.DUMMYFUNCTION("""COMPUTED_VALUE""")," Principal Architect &amp; CEO")</f>
        <v> Principal Architect &amp; CEO</v>
      </c>
      <c r="J97" s="2" t="s">
        <v>1542</v>
      </c>
      <c r="K97" s="1" t="str">
        <f>IFERROR(__xludf.DUMMYFUNCTION("SPLIT(J97,""&amp;"")")," Principal Architect ")</f>
        <v> Principal Architect </v>
      </c>
      <c r="L97" s="2" t="str">
        <f>IFERROR(__xludf.DUMMYFUNCTION("""COMPUTED_VALUE""")," CEO")</f>
        <v> CEO</v>
      </c>
      <c r="N97" s="19" t="s">
        <v>415</v>
      </c>
      <c r="O97" s="2" t="str">
        <f>IFERROR(__xludf.DUMMYFUNCTION("SPLIT(N97,""+"")"),"Website: www.pronayon.com Contact: 031‐716066")</f>
        <v>Website: www.pronayon.com Contact: 031‐716066</v>
      </c>
      <c r="P97" s="18"/>
      <c r="Q97" s="18" t="s">
        <v>1498</v>
      </c>
      <c r="R97" s="2" t="str">
        <f t="shared" si="1"/>
        <v>_N/A</v>
      </c>
      <c r="S97" s="18"/>
    </row>
    <row r="98" ht="15.75" customHeight="1">
      <c r="A98" s="14" t="s">
        <v>957</v>
      </c>
      <c r="B98" s="2" t="str">
        <f>IFERROR(__xludf.DUMMYFUNCTION("SPLIT(A98,""("")"),"Ar. Jalal Uddin Md. Akbar ")</f>
        <v>Ar. Jalal Uddin Md. Akbar </v>
      </c>
      <c r="C98" s="2" t="str">
        <f>IFERROR(__xludf.DUMMYFUNCTION("""COMPUTED_VALUE"""),"A‐128) Partner &amp; Ar. Md. Mobinul Alam ")</f>
        <v>A‐128) Partner &amp; Ar. Md. Mobinul Alam </v>
      </c>
      <c r="D98" s="2" t="str">
        <f>IFERROR(__xludf.DUMMYFUNCTION("""COMPUTED_VALUE"""),"A‐116) Partner")</f>
        <v>A‐116) Partner</v>
      </c>
      <c r="G98" s="2" t="s">
        <v>1712</v>
      </c>
      <c r="H98" s="2" t="str">
        <f>IFERROR(__xludf.DUMMYFUNCTION("split(G98,"")"")"),"A‐128")</f>
        <v>A‐128</v>
      </c>
      <c r="I98" s="2" t="str">
        <f>IFERROR(__xludf.DUMMYFUNCTION("""COMPUTED_VALUE""")," Partner &amp; Ar. Md. Mobinul Alam ")</f>
        <v> Partner &amp; Ar. Md. Mobinul Alam </v>
      </c>
      <c r="J98" s="2" t="s">
        <v>1713</v>
      </c>
      <c r="K98" s="1" t="str">
        <f>IFERROR(__xludf.DUMMYFUNCTION("SPLIT(J98,""&amp;"")")," Partner ")</f>
        <v> Partner </v>
      </c>
      <c r="L98" s="2" t="str">
        <f>IFERROR(__xludf.DUMMYFUNCTION("""COMPUTED_VALUE""")," Ar. Md. Mobinul Alam ")</f>
        <v> Ar. Md. Mobinul Alam </v>
      </c>
      <c r="N98" s="19" t="s">
        <v>936</v>
      </c>
      <c r="O98" s="2" t="str">
        <f>IFERROR(__xludf.DUMMYFUNCTION("SPLIT(N98,""+"")"),"website:")</f>
        <v>website:</v>
      </c>
      <c r="P98" s="18"/>
      <c r="Q98" s="18"/>
      <c r="R98" s="2" t="str">
        <f t="shared" si="1"/>
        <v>_</v>
      </c>
      <c r="S98" s="18"/>
    </row>
    <row r="99" ht="15.75" customHeight="1">
      <c r="A99" s="14" t="s">
        <v>431</v>
      </c>
      <c r="B99" s="2" t="str">
        <f>IFERROR(__xludf.DUMMYFUNCTION("SPLIT(A99,""("")"),"Ar. Abu Hena Md. Zia Uddin ")</f>
        <v>Ar. Abu Hena Md. Zia Uddin </v>
      </c>
      <c r="C99" s="2" t="str">
        <f>IFERROR(__xludf.DUMMYFUNCTION("""COMPUTED_VALUE"""),"U‐005) Proprietor &amp; Managing Partner")</f>
        <v>U‐005) Proprietor &amp; Managing Partner</v>
      </c>
      <c r="G99" s="2" t="s">
        <v>1714</v>
      </c>
      <c r="H99" s="2" t="str">
        <f>IFERROR(__xludf.DUMMYFUNCTION("split(G99,"")"")"),"U‐005")</f>
        <v>U‐005</v>
      </c>
      <c r="I99" s="2" t="str">
        <f>IFERROR(__xludf.DUMMYFUNCTION("""COMPUTED_VALUE""")," Proprietor &amp; Managing Partner")</f>
        <v> Proprietor &amp; Managing Partner</v>
      </c>
      <c r="J99" s="2" t="s">
        <v>1715</v>
      </c>
      <c r="K99" s="1" t="str">
        <f>IFERROR(__xludf.DUMMYFUNCTION("SPLIT(J99,""&amp;"")")," Proprietor ")</f>
        <v> Proprietor </v>
      </c>
      <c r="L99" s="2" t="str">
        <f>IFERROR(__xludf.DUMMYFUNCTION("""COMPUTED_VALUE""")," Managing Partner")</f>
        <v> Managing Partner</v>
      </c>
      <c r="N99" s="19" t="s">
        <v>50</v>
      </c>
      <c r="O99" s="2" t="str">
        <f>IFERROR(__xludf.DUMMYFUNCTION("SPLIT(N99,""+"")"),"Website :")</f>
        <v>Website :</v>
      </c>
      <c r="P99" s="18"/>
      <c r="Q99" s="18" t="s">
        <v>1716</v>
      </c>
      <c r="R99" s="2" t="str">
        <f t="shared" si="1"/>
        <v>_ +88‐02‐8626480</v>
      </c>
      <c r="S99" s="18" t="s">
        <v>1716</v>
      </c>
    </row>
    <row r="100" ht="15.75" customHeight="1">
      <c r="A100" s="14" t="s">
        <v>437</v>
      </c>
      <c r="B100" s="2" t="str">
        <f>IFERROR(__xludf.DUMMYFUNCTION("SPLIT(A100,""("")"),"Ar. Shakhawat Tanvir Hossain ")</f>
        <v>Ar. Shakhawat Tanvir Hossain </v>
      </c>
      <c r="C100" s="2" t="str">
        <f>IFERROR(__xludf.DUMMYFUNCTION("""COMPUTED_VALUE"""),"H‐107) Principal Architect")</f>
        <v>H‐107) Principal Architect</v>
      </c>
      <c r="G100" s="2" t="s">
        <v>1717</v>
      </c>
      <c r="H100" s="2" t="str">
        <f>IFERROR(__xludf.DUMMYFUNCTION("split(G100,"")"")"),"H‐107")</f>
        <v>H‐107</v>
      </c>
      <c r="I100" s="2" t="str">
        <f>IFERROR(__xludf.DUMMYFUNCTION("""COMPUTED_VALUE""")," Principal Architect")</f>
        <v> Principal Architect</v>
      </c>
      <c r="J100" s="2" t="s">
        <v>1501</v>
      </c>
      <c r="K100" s="1" t="str">
        <f>IFERROR(__xludf.DUMMYFUNCTION("SPLIT(J100,""&amp;"")")," Principal Architect")</f>
        <v> Principal Architect</v>
      </c>
      <c r="N100" s="19" t="s">
        <v>936</v>
      </c>
      <c r="O100" s="2" t="str">
        <f>IFERROR(__xludf.DUMMYFUNCTION("SPLIT(N100,""+"")"),"website:")</f>
        <v>website:</v>
      </c>
      <c r="P100" s="18"/>
      <c r="Q100" s="18" t="s">
        <v>1718</v>
      </c>
      <c r="R100" s="2" t="str">
        <f t="shared" si="1"/>
        <v>_ +88‐02‐9127032</v>
      </c>
      <c r="S100" s="18" t="s">
        <v>1718</v>
      </c>
    </row>
    <row r="101" ht="15.75" customHeight="1">
      <c r="A101" s="14" t="s">
        <v>442</v>
      </c>
      <c r="B101" s="2" t="str">
        <f>IFERROR(__xludf.DUMMYFUNCTION("SPLIT(A101,""("")"),"Ar. Riad Rouf ")</f>
        <v>Ar. Riad Rouf </v>
      </c>
      <c r="C101" s="2" t="str">
        <f>IFERROR(__xludf.DUMMYFUNCTION("""COMPUTED_VALUE"""),"R‐061) Principal Architect")</f>
        <v>R‐061) Principal Architect</v>
      </c>
      <c r="G101" s="2" t="s">
        <v>1719</v>
      </c>
      <c r="H101" s="2" t="str">
        <f>IFERROR(__xludf.DUMMYFUNCTION("split(G101,"")"")"),"R‐061")</f>
        <v>R‐061</v>
      </c>
      <c r="I101" s="2" t="str">
        <f>IFERROR(__xludf.DUMMYFUNCTION("""COMPUTED_VALUE""")," Principal Architect")</f>
        <v> Principal Architect</v>
      </c>
      <c r="J101" s="2" t="s">
        <v>1501</v>
      </c>
      <c r="K101" s="1" t="str">
        <f>IFERROR(__xludf.DUMMYFUNCTION("SPLIT(J101,""&amp;"")")," Principal Architect")</f>
        <v> Principal Architect</v>
      </c>
      <c r="N101" s="19" t="s">
        <v>936</v>
      </c>
      <c r="O101" s="2" t="str">
        <f>IFERROR(__xludf.DUMMYFUNCTION("SPLIT(N101,""+"")"),"website:")</f>
        <v>website:</v>
      </c>
      <c r="P101" s="18"/>
      <c r="Q101" s="18" t="s">
        <v>1720</v>
      </c>
      <c r="R101" s="2" t="str">
        <f t="shared" si="1"/>
        <v>_ +88‐02‐9820896, +8801713017973</v>
      </c>
      <c r="S101" s="18" t="s">
        <v>1720</v>
      </c>
    </row>
    <row r="102" ht="15.75" customHeight="1">
      <c r="A102" s="14" t="s">
        <v>448</v>
      </c>
      <c r="B102" s="2" t="str">
        <f>IFERROR(__xludf.DUMMYFUNCTION("SPLIT(A102,""("")"),"Ar. Khandoker Abdal Hossain ")</f>
        <v>Ar. Khandoker Abdal Hossain </v>
      </c>
      <c r="C102" s="2" t="str">
        <f>IFERROR(__xludf.DUMMYFUNCTION("""COMPUTED_VALUE"""),"H‐133) Principal Architect &amp; Partner")</f>
        <v>H‐133) Principal Architect &amp; Partner</v>
      </c>
      <c r="G102" s="2" t="s">
        <v>1721</v>
      </c>
      <c r="H102" s="2" t="str">
        <f>IFERROR(__xludf.DUMMYFUNCTION("split(G102,"")"")"),"H‐133")</f>
        <v>H‐133</v>
      </c>
      <c r="I102" s="2" t="str">
        <f>IFERROR(__xludf.DUMMYFUNCTION("""COMPUTED_VALUE""")," Principal Architect &amp; Partner")</f>
        <v> Principal Architect &amp; Partner</v>
      </c>
      <c r="J102" s="2" t="s">
        <v>1722</v>
      </c>
      <c r="K102" s="1" t="str">
        <f>IFERROR(__xludf.DUMMYFUNCTION("SPLIT(J102,""&amp;"")")," Principal Architect ")</f>
        <v> Principal Architect </v>
      </c>
      <c r="L102" s="2" t="str">
        <f>IFERROR(__xludf.DUMMYFUNCTION("""COMPUTED_VALUE""")," Partner")</f>
        <v> Partner</v>
      </c>
      <c r="N102" s="19" t="s">
        <v>447</v>
      </c>
      <c r="O102" s="2" t="str">
        <f>IFERROR(__xludf.DUMMYFUNCTION("SPLIT(N102,""+"")"),"Website : www.reincarnation‐bd.com Contact: ")</f>
        <v>Website : www.reincarnation‐bd.com Contact: </v>
      </c>
      <c r="P102" s="18" t="str">
        <f>IFERROR(__xludf.DUMMYFUNCTION("""COMPUTED_VALUE"""),"88‐02‐9854352")</f>
        <v>88‐02‐9854352</v>
      </c>
      <c r="Q102" s="18" t="s">
        <v>1498</v>
      </c>
      <c r="R102" s="2" t="str">
        <f t="shared" si="1"/>
        <v>88‐02‐9854352_N/A</v>
      </c>
      <c r="S102" s="18" t="s">
        <v>1723</v>
      </c>
    </row>
    <row r="103" ht="15.75" customHeight="1">
      <c r="A103" s="14" t="s">
        <v>958</v>
      </c>
      <c r="B103" s="2" t="str">
        <f>IFERROR(__xludf.DUMMYFUNCTION("SPLIT(A103,""("")"),"Ar. Sarawat Iqbal ")</f>
        <v>Ar. Sarawat Iqbal </v>
      </c>
      <c r="C103" s="2" t="str">
        <f>IFERROR(__xludf.DUMMYFUNCTION("""COMPUTED_VALUE"""),"I‐091) Architect Partner &amp; Ar. Monon‐Bin‐Yunus ")</f>
        <v>I‐091) Architect Partner &amp; Ar. Monon‐Bin‐Yunus </v>
      </c>
      <c r="D103" s="2" t="str">
        <f>IFERROR(__xludf.DUMMYFUNCTION("""COMPUTED_VALUE"""),"AY‐013) Architect Partner")</f>
        <v>AY‐013) Architect Partner</v>
      </c>
      <c r="G103" s="2" t="s">
        <v>1724</v>
      </c>
      <c r="H103" s="2" t="str">
        <f>IFERROR(__xludf.DUMMYFUNCTION("split(G103,"")"")"),"I‐091")</f>
        <v>I‐091</v>
      </c>
      <c r="I103" s="2" t="str">
        <f>IFERROR(__xludf.DUMMYFUNCTION("""COMPUTED_VALUE""")," Architect Partner &amp; Ar. Monon‐Bin‐Yunus ")</f>
        <v> Architect Partner &amp; Ar. Monon‐Bin‐Yunus </v>
      </c>
      <c r="J103" s="2" t="s">
        <v>1725</v>
      </c>
      <c r="K103" s="1" t="str">
        <f>IFERROR(__xludf.DUMMYFUNCTION("SPLIT(J103,""&amp;"")")," Architect Partner ")</f>
        <v> Architect Partner </v>
      </c>
      <c r="L103" s="2" t="str">
        <f>IFERROR(__xludf.DUMMYFUNCTION("""COMPUTED_VALUE""")," Ar. Monon‐Bin‐Yunus ")</f>
        <v> Ar. Monon‐Bin‐Yunus </v>
      </c>
      <c r="N103" s="19" t="s">
        <v>454</v>
      </c>
      <c r="O103" s="2" t="str">
        <f>IFERROR(__xludf.DUMMYFUNCTION("SPLIT(N103,""+"")"),"Website : www.roofliners.org")</f>
        <v>Website : www.roofliners.org</v>
      </c>
      <c r="P103" s="18"/>
      <c r="Q103" s="18" t="s">
        <v>1726</v>
      </c>
      <c r="R103" s="2" t="str">
        <f t="shared" si="1"/>
        <v>_ +8801706602332, +8801815007774</v>
      </c>
      <c r="S103" s="18" t="s">
        <v>1726</v>
      </c>
    </row>
    <row r="104" ht="15.75" customHeight="1">
      <c r="A104" s="14" t="s">
        <v>462</v>
      </c>
      <c r="B104" s="2" t="str">
        <f>IFERROR(__xludf.DUMMYFUNCTION("SPLIT(A104,""("")"),"Ar. A.K.M. Quamrul Hasan ")</f>
        <v>Ar. A.K.M. Quamrul Hasan </v>
      </c>
      <c r="C104" s="2" t="str">
        <f>IFERROR(__xludf.DUMMYFUNCTION("""COMPUTED_VALUE"""),"H‐071) Managing Director")</f>
        <v>H‐071) Managing Director</v>
      </c>
      <c r="G104" s="2" t="s">
        <v>1727</v>
      </c>
      <c r="H104" s="2" t="str">
        <f>IFERROR(__xludf.DUMMYFUNCTION("split(G104,"")"")"),"H‐071")</f>
        <v>H‐071</v>
      </c>
      <c r="I104" s="2" t="str">
        <f>IFERROR(__xludf.DUMMYFUNCTION("""COMPUTED_VALUE""")," Managing Director")</f>
        <v> Managing Director</v>
      </c>
      <c r="J104" s="2" t="s">
        <v>1497</v>
      </c>
      <c r="K104" s="1" t="str">
        <f>IFERROR(__xludf.DUMMYFUNCTION("SPLIT(J104,""&amp;"")")," Managing Director")</f>
        <v> Managing Director</v>
      </c>
      <c r="N104" s="19" t="s">
        <v>936</v>
      </c>
      <c r="O104" s="2" t="str">
        <f>IFERROR(__xludf.DUMMYFUNCTION("SPLIT(N104,""+"")"),"website:")</f>
        <v>website:</v>
      </c>
      <c r="P104" s="18"/>
      <c r="Q104" s="18" t="s">
        <v>1728</v>
      </c>
      <c r="R104" s="2" t="str">
        <f t="shared" si="1"/>
        <v>_ +88‐02‐9334169, +88‐02‐9354491</v>
      </c>
      <c r="S104" s="18" t="s">
        <v>1728</v>
      </c>
    </row>
    <row r="105" ht="15.75" customHeight="1">
      <c r="A105" s="14" t="s">
        <v>468</v>
      </c>
      <c r="B105" s="2" t="str">
        <f>IFERROR(__xludf.DUMMYFUNCTION("SPLIT(A105,""("")"),"Ar. Kazi Fida Islam ")</f>
        <v>Ar. Kazi Fida Islam </v>
      </c>
      <c r="C105" s="2" t="str">
        <f>IFERROR(__xludf.DUMMYFUNCTION("""COMPUTED_VALUE"""),"I‐060) Principal Architect")</f>
        <v>I‐060) Principal Architect</v>
      </c>
      <c r="G105" s="2" t="s">
        <v>1729</v>
      </c>
      <c r="H105" s="2" t="str">
        <f>IFERROR(__xludf.DUMMYFUNCTION("split(G105,"")"")"),"I‐060")</f>
        <v>I‐060</v>
      </c>
      <c r="I105" s="2" t="str">
        <f>IFERROR(__xludf.DUMMYFUNCTION("""COMPUTED_VALUE""")," Principal Architect")</f>
        <v> Principal Architect</v>
      </c>
      <c r="J105" s="2" t="s">
        <v>1501</v>
      </c>
      <c r="K105" s="1" t="str">
        <f>IFERROR(__xludf.DUMMYFUNCTION("SPLIT(J105,""&amp;"")")," Principal Architect")</f>
        <v> Principal Architect</v>
      </c>
      <c r="N105" s="19" t="s">
        <v>467</v>
      </c>
      <c r="O105" s="2" t="str">
        <f>IFERROR(__xludf.DUMMYFUNCTION("SPLIT(N105,""+"")"),"Website: www.riverandrain.net")</f>
        <v>Website: www.riverandrain.net</v>
      </c>
      <c r="P105" s="18"/>
      <c r="Q105" s="18" t="s">
        <v>1730</v>
      </c>
      <c r="R105" s="2" t="str">
        <f t="shared" si="1"/>
        <v>_ +88 01734017695 +88 01746506316</v>
      </c>
      <c r="S105" s="18" t="s">
        <v>1731</v>
      </c>
    </row>
    <row r="106" ht="15.75" customHeight="1">
      <c r="A106" s="14" t="s">
        <v>959</v>
      </c>
      <c r="B106" s="2" t="str">
        <f>IFERROR(__xludf.DUMMYFUNCTION("SPLIT(A106,""("")"),"Ar.Mirza Shahper Jalil ")</f>
        <v>Ar.Mirza Shahper Jalil </v>
      </c>
      <c r="C106" s="2" t="str">
        <f>IFERROR(__xludf.DUMMYFUNCTION("""COMPUTED_VALUE"""),"J‐019) Managing Director &amp; Ar. Hasan Mahmud ")</f>
        <v>J‐019) Managing Director &amp; Ar. Hasan Mahmud </v>
      </c>
      <c r="D106" s="2" t="str">
        <f>IFERROR(__xludf.DUMMYFUNCTION("""COMPUTED_VALUE"""),"H‐090) Director &amp; Ar. Umme Farzana Zarif ")</f>
        <v>H‐090) Director &amp; Ar. Umme Farzana Zarif </v>
      </c>
      <c r="E106" s="2" t="str">
        <f>IFERROR(__xludf.DUMMYFUNCTION("""COMPUTED_VALUE"""),"CZ‐001) Director")</f>
        <v>CZ‐001) Director</v>
      </c>
      <c r="G106" s="2" t="s">
        <v>1732</v>
      </c>
      <c r="H106" s="2" t="str">
        <f>IFERROR(__xludf.DUMMYFUNCTION("split(G106,"")"")"),"J‐019")</f>
        <v>J‐019</v>
      </c>
      <c r="I106" s="2" t="str">
        <f>IFERROR(__xludf.DUMMYFUNCTION("""COMPUTED_VALUE""")," Managing Director &amp; Ar. Hasan Mahmud ")</f>
        <v> Managing Director &amp; Ar. Hasan Mahmud </v>
      </c>
      <c r="J106" s="2" t="s">
        <v>1733</v>
      </c>
      <c r="K106" s="1" t="str">
        <f>IFERROR(__xludf.DUMMYFUNCTION("SPLIT(J106,""&amp;"")")," Managing Director ")</f>
        <v> Managing Director </v>
      </c>
      <c r="L106" s="2" t="str">
        <f>IFERROR(__xludf.DUMMYFUNCTION("""COMPUTED_VALUE""")," Ar. Hasan Mahmud ")</f>
        <v> Ar. Hasan Mahmud </v>
      </c>
      <c r="N106" s="19" t="s">
        <v>936</v>
      </c>
      <c r="O106" s="2" t="str">
        <f>IFERROR(__xludf.DUMMYFUNCTION("SPLIT(N106,""+"")"),"website:")</f>
        <v>website:</v>
      </c>
      <c r="P106" s="18"/>
      <c r="Q106" s="18" t="s">
        <v>1734</v>
      </c>
      <c r="R106" s="2" t="str">
        <f t="shared" si="1"/>
        <v>_ +88‐02‐8190746</v>
      </c>
      <c r="S106" s="18" t="s">
        <v>1734</v>
      </c>
    </row>
    <row r="107" ht="15.75" customHeight="1">
      <c r="A107" s="14" t="s">
        <v>481</v>
      </c>
      <c r="B107" s="2" t="str">
        <f>IFERROR(__xludf.DUMMYFUNCTION("SPLIT(A107,""("")"),"Ar. Mohammad Fazlul Quader ")</f>
        <v>Ar. Mohammad Fazlul Quader </v>
      </c>
      <c r="C107" s="2" t="str">
        <f>IFERROR(__xludf.DUMMYFUNCTION("""COMPUTED_VALUE"""),"Q‐004) CEO")</f>
        <v>Q‐004) CEO</v>
      </c>
      <c r="G107" s="2" t="s">
        <v>1735</v>
      </c>
      <c r="H107" s="2" t="str">
        <f>IFERROR(__xludf.DUMMYFUNCTION("split(G107,"")"")"),"Q‐004")</f>
        <v>Q‐004</v>
      </c>
      <c r="I107" s="2" t="str">
        <f>IFERROR(__xludf.DUMMYFUNCTION("""COMPUTED_VALUE""")," CEO")</f>
        <v> CEO</v>
      </c>
      <c r="J107" s="2" t="s">
        <v>1603</v>
      </c>
      <c r="K107" s="1" t="str">
        <f>IFERROR(__xludf.DUMMYFUNCTION("SPLIT(J107,""&amp;"")")," CEO")</f>
        <v> CEO</v>
      </c>
      <c r="N107" s="19" t="s">
        <v>936</v>
      </c>
      <c r="O107" s="2" t="str">
        <f>IFERROR(__xludf.DUMMYFUNCTION("SPLIT(N107,""+"")"),"website:")</f>
        <v>website:</v>
      </c>
      <c r="P107" s="18"/>
      <c r="Q107" s="18" t="s">
        <v>1736</v>
      </c>
      <c r="R107" s="2" t="str">
        <f t="shared" si="1"/>
        <v>_ +88‐02‐9677467</v>
      </c>
      <c r="S107" s="18" t="s">
        <v>1736</v>
      </c>
    </row>
    <row r="108" ht="15.75" customHeight="1">
      <c r="A108" s="14" t="s">
        <v>487</v>
      </c>
      <c r="B108" s="2" t="str">
        <f>IFERROR(__xludf.DUMMYFUNCTION("SPLIT(A108,""("")"),"Ar. Tahmina Rumi ")</f>
        <v>Ar. Tahmina Rumi </v>
      </c>
      <c r="C108" s="2" t="str">
        <f>IFERROR(__xludf.DUMMYFUNCTION("""COMPUTED_VALUE"""),"R‐105) Partner")</f>
        <v>R‐105) Partner</v>
      </c>
      <c r="G108" s="2" t="s">
        <v>1737</v>
      </c>
      <c r="H108" s="2" t="str">
        <f>IFERROR(__xludf.DUMMYFUNCTION("split(G108,"")"")"),"R‐105")</f>
        <v>R‐105</v>
      </c>
      <c r="I108" s="2" t="str">
        <f>IFERROR(__xludf.DUMMYFUNCTION("""COMPUTED_VALUE""")," Partner")</f>
        <v> Partner</v>
      </c>
      <c r="J108" s="2" t="s">
        <v>1613</v>
      </c>
      <c r="K108" s="1" t="str">
        <f>IFERROR(__xludf.DUMMYFUNCTION("SPLIT(J108,""&amp;"")")," Partner")</f>
        <v> Partner</v>
      </c>
      <c r="N108" s="19" t="s">
        <v>7</v>
      </c>
      <c r="O108" s="2" t="str">
        <f>IFERROR(__xludf.DUMMYFUNCTION("SPLIT(N108,""+"")"),"NAME OF PROPRIETOR/ PARTNER/ DIRECTOR(s) &amp; DESIGNATION")</f>
        <v>NAME OF PROPRIETOR/ PARTNER/ DIRECTOR(s) &amp; DESIGNATION</v>
      </c>
      <c r="P108" s="18"/>
      <c r="Q108" s="18"/>
      <c r="R108" s="2" t="str">
        <f t="shared" si="1"/>
        <v>_</v>
      </c>
      <c r="S108" s="18"/>
    </row>
    <row r="109" ht="15.75" customHeight="1">
      <c r="A109" s="14" t="s">
        <v>491</v>
      </c>
      <c r="B109" s="2" t="str">
        <f>IFERROR(__xludf.DUMMYFUNCTION("SPLIT(A109,""("")"),"Ar. Mukhtar Ahmed ")</f>
        <v>Ar. Mukhtar Ahmed </v>
      </c>
      <c r="C109" s="2" t="str">
        <f>IFERROR(__xludf.DUMMYFUNCTION("""COMPUTED_VALUE"""),"A‐023) Managing Director")</f>
        <v>A‐023) Managing Director</v>
      </c>
      <c r="G109" s="2" t="s">
        <v>1738</v>
      </c>
      <c r="H109" s="2" t="str">
        <f>IFERROR(__xludf.DUMMYFUNCTION("split(G109,"")"")"),"A‐023")</f>
        <v>A‐023</v>
      </c>
      <c r="I109" s="2" t="str">
        <f>IFERROR(__xludf.DUMMYFUNCTION("""COMPUTED_VALUE""")," Managing Director")</f>
        <v> Managing Director</v>
      </c>
      <c r="J109" s="2" t="s">
        <v>1497</v>
      </c>
      <c r="K109" s="1" t="str">
        <f>IFERROR(__xludf.DUMMYFUNCTION("SPLIT(J109,""&amp;"")")," Managing Director")</f>
        <v> Managing Director</v>
      </c>
      <c r="N109" s="19" t="s">
        <v>936</v>
      </c>
      <c r="O109" s="2" t="str">
        <f>IFERROR(__xludf.DUMMYFUNCTION("SPLIT(N109,""+"")"),"website:")</f>
        <v>website:</v>
      </c>
      <c r="P109" s="18"/>
      <c r="Q109" s="18" t="s">
        <v>1739</v>
      </c>
      <c r="R109" s="2" t="str">
        <f t="shared" si="1"/>
        <v>_ +88‐02‐9358428, 8333384</v>
      </c>
      <c r="S109" s="18" t="s">
        <v>1739</v>
      </c>
    </row>
    <row r="110" ht="15.75" customHeight="1">
      <c r="A110" s="14" t="s">
        <v>497</v>
      </c>
      <c r="B110" s="2" t="str">
        <f>IFERROR(__xludf.DUMMYFUNCTION("SPLIT(A110,""("")"),"Ar.Razib Hassan Chowdhury ")</f>
        <v>Ar.Razib Hassan Chowdhury </v>
      </c>
      <c r="C110" s="2" t="str">
        <f>IFERROR(__xludf.DUMMYFUNCTION("""COMPUTED_VALUE"""),"C‐0048) Principal Architect")</f>
        <v>C‐0048) Principal Architect</v>
      </c>
      <c r="G110" s="2" t="s">
        <v>1740</v>
      </c>
      <c r="H110" s="2" t="str">
        <f>IFERROR(__xludf.DUMMYFUNCTION("split(G110,"")"")"),"C‐0048")</f>
        <v>C‐0048</v>
      </c>
      <c r="I110" s="2" t="str">
        <f>IFERROR(__xludf.DUMMYFUNCTION("""COMPUTED_VALUE""")," Principal Architect")</f>
        <v> Principal Architect</v>
      </c>
      <c r="J110" s="2" t="s">
        <v>1501</v>
      </c>
      <c r="K110" s="1" t="str">
        <f>IFERROR(__xludf.DUMMYFUNCTION("SPLIT(J110,""&amp;"")")," Principal Architect")</f>
        <v> Principal Architect</v>
      </c>
      <c r="N110" s="19" t="s">
        <v>496</v>
      </c>
      <c r="O110" s="2" t="str">
        <f>IFERROR(__xludf.DUMMYFUNCTION("SPLIT(N110,""+"")"),"Website : www.silt.com.bd Contact: ")</f>
        <v>Website : www.silt.com.bd Contact: </v>
      </c>
      <c r="P110" s="18" t="str">
        <f>IFERROR(__xludf.DUMMYFUNCTION("""COMPUTED_VALUE"""),"88‐02‐9892062")</f>
        <v>88‐02‐9892062</v>
      </c>
      <c r="Q110" s="18" t="s">
        <v>1498</v>
      </c>
      <c r="R110" s="2" t="str">
        <f t="shared" si="1"/>
        <v>88‐02‐9892062_N/A</v>
      </c>
      <c r="S110" s="18" t="s">
        <v>1741</v>
      </c>
    </row>
    <row r="111" ht="15.75" customHeight="1">
      <c r="A111" s="14" t="s">
        <v>502</v>
      </c>
      <c r="B111" s="2" t="str">
        <f>IFERROR(__xludf.DUMMYFUNCTION("SPLIT(A111,""("")"),"Ar. Rafiul Alam ")</f>
        <v>Ar. Rafiul Alam </v>
      </c>
      <c r="C111" s="2" t="str">
        <f>IFERROR(__xludf.DUMMYFUNCTION("""COMPUTED_VALUE"""),"A‐047) Chief Executive")</f>
        <v>A‐047) Chief Executive</v>
      </c>
      <c r="G111" s="2" t="s">
        <v>1742</v>
      </c>
      <c r="H111" s="2" t="str">
        <f>IFERROR(__xludf.DUMMYFUNCTION("split(G111,"")"")"),"A‐047")</f>
        <v>A‐047</v>
      </c>
      <c r="I111" s="2" t="str">
        <f>IFERROR(__xludf.DUMMYFUNCTION("""COMPUTED_VALUE""")," Chief Executive")</f>
        <v> Chief Executive</v>
      </c>
      <c r="J111" s="2" t="s">
        <v>1743</v>
      </c>
      <c r="K111" s="1" t="str">
        <f>IFERROR(__xludf.DUMMYFUNCTION("SPLIT(J111,""&amp;"")")," Chief Executive")</f>
        <v> Chief Executive</v>
      </c>
      <c r="N111" s="19" t="s">
        <v>936</v>
      </c>
      <c r="O111" s="2" t="str">
        <f>IFERROR(__xludf.DUMMYFUNCTION("SPLIT(N111,""+"")"),"website:")</f>
        <v>website:</v>
      </c>
      <c r="P111" s="18"/>
      <c r="Q111" s="18" t="s">
        <v>1744</v>
      </c>
      <c r="R111" s="2" t="str">
        <f t="shared" si="1"/>
        <v>_ +88‐02‐8918765</v>
      </c>
      <c r="S111" s="18" t="s">
        <v>1744</v>
      </c>
    </row>
    <row r="112" ht="15.75" customHeight="1">
      <c r="A112" s="14" t="s">
        <v>507</v>
      </c>
      <c r="B112" s="2" t="str">
        <f>IFERROR(__xludf.DUMMYFUNCTION("SPLIT(A112,""("")"),"Ar. Mobin Uddin Mohammed Helaly ")</f>
        <v>Ar. Mobin Uddin Mohammed Helaly </v>
      </c>
      <c r="C112" s="2" t="str">
        <f>IFERROR(__xludf.DUMMYFUNCTION("""COMPUTED_VALUE"""),"H‐134) Partner Architect")</f>
        <v>H‐134) Partner Architect</v>
      </c>
      <c r="G112" s="2" t="s">
        <v>1745</v>
      </c>
      <c r="H112" s="2" t="str">
        <f>IFERROR(__xludf.DUMMYFUNCTION("split(G112,"")"")"),"H‐134")</f>
        <v>H‐134</v>
      </c>
      <c r="I112" s="2" t="str">
        <f>IFERROR(__xludf.DUMMYFUNCTION("""COMPUTED_VALUE""")," Partner Architect")</f>
        <v> Partner Architect</v>
      </c>
      <c r="J112" s="2" t="s">
        <v>1746</v>
      </c>
      <c r="K112" s="1" t="str">
        <f>IFERROR(__xludf.DUMMYFUNCTION("SPLIT(J112,""&amp;"")")," Partner Architect")</f>
        <v> Partner Architect</v>
      </c>
      <c r="N112" s="19" t="s">
        <v>936</v>
      </c>
      <c r="O112" s="2" t="str">
        <f>IFERROR(__xludf.DUMMYFUNCTION("SPLIT(N112,""+"")"),"website:")</f>
        <v>website:</v>
      </c>
      <c r="P112" s="18"/>
      <c r="Q112" s="18" t="s">
        <v>1747</v>
      </c>
      <c r="R112" s="2" t="str">
        <f t="shared" si="1"/>
        <v>_ +88‐02‐8711883, 8711884</v>
      </c>
      <c r="S112" s="18" t="s">
        <v>1747</v>
      </c>
    </row>
    <row r="113" ht="15.75" customHeight="1">
      <c r="A113" s="14" t="s">
        <v>513</v>
      </c>
      <c r="B113" s="2" t="str">
        <f>IFERROR(__xludf.DUMMYFUNCTION("SPLIT(A113,""("")"),"Ar. Saiful Hafiz ")</f>
        <v>Ar. Saiful Hafiz </v>
      </c>
      <c r="C113" s="2" t="str">
        <f>IFERROR(__xludf.DUMMYFUNCTION("""COMPUTED_VALUE"""),"H‐055) Principal Architect")</f>
        <v>H‐055) Principal Architect</v>
      </c>
      <c r="G113" s="2" t="s">
        <v>1748</v>
      </c>
      <c r="H113" s="2" t="str">
        <f>IFERROR(__xludf.DUMMYFUNCTION("split(G113,"")"")"),"H‐055")</f>
        <v>H‐055</v>
      </c>
      <c r="I113" s="2" t="str">
        <f>IFERROR(__xludf.DUMMYFUNCTION("""COMPUTED_VALUE""")," Principal Architect")</f>
        <v> Principal Architect</v>
      </c>
      <c r="J113" s="2" t="s">
        <v>1501</v>
      </c>
      <c r="K113" s="1" t="str">
        <f>IFERROR(__xludf.DUMMYFUNCTION("SPLIT(J113,""&amp;"")")," Principal Architect")</f>
        <v> Principal Architect</v>
      </c>
      <c r="N113" s="19" t="s">
        <v>936</v>
      </c>
      <c r="O113" s="2" t="str">
        <f>IFERROR(__xludf.DUMMYFUNCTION("SPLIT(N113,""+"")"),"website:")</f>
        <v>website:</v>
      </c>
      <c r="P113" s="18"/>
      <c r="Q113" s="18"/>
      <c r="R113" s="2" t="str">
        <f t="shared" si="1"/>
        <v>_</v>
      </c>
      <c r="S113" s="18"/>
    </row>
    <row r="114" ht="15.75" customHeight="1">
      <c r="A114" s="14" t="s">
        <v>518</v>
      </c>
      <c r="B114" s="2" t="str">
        <f>IFERROR(__xludf.DUMMYFUNCTION("SPLIT(A114,""("")"),"Ar. Ashik Vaskor Mannan ")</f>
        <v>Ar. Ashik Vaskor Mannan </v>
      </c>
      <c r="C114" s="2" t="str">
        <f>IFERROR(__xludf.DUMMYFUNCTION("""COMPUTED_VALUE"""),"M‐070) Managing Partner")</f>
        <v>M‐070) Managing Partner</v>
      </c>
      <c r="G114" s="2" t="s">
        <v>1749</v>
      </c>
      <c r="H114" s="2" t="str">
        <f>IFERROR(__xludf.DUMMYFUNCTION("split(G114,"")"")"),"M‐070")</f>
        <v>M‐070</v>
      </c>
      <c r="I114" s="2" t="str">
        <f>IFERROR(__xludf.DUMMYFUNCTION("""COMPUTED_VALUE""")," Managing Partner")</f>
        <v> Managing Partner</v>
      </c>
      <c r="J114" s="2" t="s">
        <v>1544</v>
      </c>
      <c r="K114" s="1" t="str">
        <f>IFERROR(__xludf.DUMMYFUNCTION("SPLIT(J114,""&amp;"")")," Managing Partner")</f>
        <v> Managing Partner</v>
      </c>
      <c r="N114" s="19" t="s">
        <v>936</v>
      </c>
      <c r="O114" s="2" t="str">
        <f>IFERROR(__xludf.DUMMYFUNCTION("SPLIT(N114,""+"")"),"website:")</f>
        <v>website:</v>
      </c>
      <c r="P114" s="18"/>
      <c r="Q114" s="18" t="s">
        <v>1750</v>
      </c>
      <c r="R114" s="2" t="str">
        <f t="shared" si="1"/>
        <v>_ +88‐02‐8813992, 9889360</v>
      </c>
      <c r="S114" s="18" t="s">
        <v>1750</v>
      </c>
    </row>
    <row r="115" ht="15.75" customHeight="1">
      <c r="A115" s="14" t="s">
        <v>524</v>
      </c>
      <c r="B115" s="2" t="str">
        <f>IFERROR(__xludf.DUMMYFUNCTION("SPLIT(A115,""("")"),"Ar. S. M. Hasan Kabir ")</f>
        <v>Ar. S. M. Hasan Kabir </v>
      </c>
      <c r="C115" s="2" t="str">
        <f>IFERROR(__xludf.DUMMYFUNCTION("""COMPUTED_VALUE"""),"K‐030) Managing Director")</f>
        <v>K‐030) Managing Director</v>
      </c>
      <c r="G115" s="2" t="s">
        <v>1751</v>
      </c>
      <c r="H115" s="2" t="str">
        <f>IFERROR(__xludf.DUMMYFUNCTION("split(G115,"")"")"),"K‐030")</f>
        <v>K‐030</v>
      </c>
      <c r="I115" s="2" t="str">
        <f>IFERROR(__xludf.DUMMYFUNCTION("""COMPUTED_VALUE""")," Managing Director")</f>
        <v> Managing Director</v>
      </c>
      <c r="J115" s="2" t="s">
        <v>1497</v>
      </c>
      <c r="K115" s="1" t="str">
        <f>IFERROR(__xludf.DUMMYFUNCTION("SPLIT(J115,""&amp;"")")," Managing Director")</f>
        <v> Managing Director</v>
      </c>
      <c r="N115" s="19" t="s">
        <v>523</v>
      </c>
      <c r="O115" s="2" t="str">
        <f>IFERROR(__xludf.DUMMYFUNCTION("SPLIT(N115,""+"")"),"Website : www.studioecotecture.com Contact: ")</f>
        <v>Website : www.studioecotecture.com Contact: </v>
      </c>
      <c r="P115" s="18" t="str">
        <f>IFERROR(__xludf.DUMMYFUNCTION("""COMPUTED_VALUE"""),"88‐02‐8191422")</f>
        <v>88‐02‐8191422</v>
      </c>
      <c r="Q115" s="18" t="s">
        <v>1498</v>
      </c>
      <c r="R115" s="2" t="str">
        <f t="shared" si="1"/>
        <v>88‐02‐8191422_N/A</v>
      </c>
      <c r="S115" s="18" t="s">
        <v>1752</v>
      </c>
    </row>
    <row r="116" ht="15.75" customHeight="1">
      <c r="A116" s="14" t="s">
        <v>529</v>
      </c>
      <c r="B116" s="2" t="str">
        <f>IFERROR(__xludf.DUMMYFUNCTION("SPLIT(A116,""("")"),"Ar. Mohammad Maksumul Hoque ")</f>
        <v>Ar. Mohammad Maksumul Hoque </v>
      </c>
      <c r="C116" s="2" t="str">
        <f>IFERROR(__xludf.DUMMYFUNCTION("""COMPUTED_VALUE"""),"H‐150) Chief Architect")</f>
        <v>H‐150) Chief Architect</v>
      </c>
      <c r="G116" s="2" t="s">
        <v>1753</v>
      </c>
      <c r="H116" s="2" t="str">
        <f>IFERROR(__xludf.DUMMYFUNCTION("split(G116,"")"")"),"H‐150")</f>
        <v>H‐150</v>
      </c>
      <c r="I116" s="2" t="str">
        <f>IFERROR(__xludf.DUMMYFUNCTION("""COMPUTED_VALUE""")," Chief Architect")</f>
        <v> Chief Architect</v>
      </c>
      <c r="J116" s="2" t="s">
        <v>1526</v>
      </c>
      <c r="K116" s="1" t="str">
        <f>IFERROR(__xludf.DUMMYFUNCTION("SPLIT(J116,""&amp;"")")," Chief Architect")</f>
        <v> Chief Architect</v>
      </c>
      <c r="N116" s="19" t="s">
        <v>936</v>
      </c>
      <c r="O116" s="2" t="str">
        <f>IFERROR(__xludf.DUMMYFUNCTION("SPLIT(N116,""+"")"),"website:")</f>
        <v>website:</v>
      </c>
      <c r="P116" s="18"/>
      <c r="Q116" s="18" t="s">
        <v>1754</v>
      </c>
      <c r="R116" s="2" t="str">
        <f t="shared" si="1"/>
        <v>_ +88‐02‐9888123</v>
      </c>
      <c r="S116" s="18" t="s">
        <v>1754</v>
      </c>
    </row>
    <row r="117" ht="15.75" customHeight="1">
      <c r="A117" s="14" t="s">
        <v>960</v>
      </c>
      <c r="B117" s="2" t="str">
        <f>IFERROR(__xludf.DUMMYFUNCTION("SPLIT(A117,""("")"),"Ar. Md. Mizanur Rahman ")</f>
        <v>Ar. Md. Mizanur Rahman </v>
      </c>
      <c r="C117" s="2" t="str">
        <f>IFERROR(__xludf.DUMMYFUNCTION("""COMPUTED_VALUE"""),"R‐097) Chairman &amp; Ar. Jabid Akram ")</f>
        <v>R‐097) Chairman &amp; Ar. Jabid Akram </v>
      </c>
      <c r="D117" s="2" t="str">
        <f>IFERROR(__xludf.DUMMYFUNCTION("""COMPUTED_VALUE"""),"A‐150) Managing Director")</f>
        <v>A‐150) Managing Director</v>
      </c>
      <c r="G117" s="2" t="s">
        <v>1755</v>
      </c>
      <c r="H117" s="2" t="str">
        <f>IFERROR(__xludf.DUMMYFUNCTION("split(G117,"")"")"),"R‐097")</f>
        <v>R‐097</v>
      </c>
      <c r="I117" s="2" t="str">
        <f>IFERROR(__xludf.DUMMYFUNCTION("""COMPUTED_VALUE""")," Chairman &amp; Ar. Jabid Akram ")</f>
        <v> Chairman &amp; Ar. Jabid Akram </v>
      </c>
      <c r="J117" s="2" t="s">
        <v>1756</v>
      </c>
      <c r="K117" s="1" t="str">
        <f>IFERROR(__xludf.DUMMYFUNCTION("SPLIT(J117,""&amp;"")")," Chairman ")</f>
        <v> Chairman </v>
      </c>
      <c r="L117" s="2" t="str">
        <f>IFERROR(__xludf.DUMMYFUNCTION("""COMPUTED_VALUE""")," Ar. Jabid Akram ")</f>
        <v> Ar. Jabid Akram </v>
      </c>
      <c r="N117" s="19" t="s">
        <v>535</v>
      </c>
      <c r="O117" s="2" t="str">
        <f>IFERROR(__xludf.DUMMYFUNCTION("SPLIT(N117,""+"")"),"#REF!")</f>
        <v>#REF!</v>
      </c>
      <c r="P117" s="18"/>
      <c r="Q117" s="18" t="s">
        <v>1498</v>
      </c>
      <c r="R117" s="2" t="str">
        <f t="shared" si="1"/>
        <v>_N/A</v>
      </c>
      <c r="S117" s="18"/>
    </row>
    <row r="118" ht="15.75" customHeight="1">
      <c r="A118" s="14" t="s">
        <v>543</v>
      </c>
      <c r="B118" s="2" t="str">
        <f>IFERROR(__xludf.DUMMYFUNCTION("SPLIT(A118,""("")"),"Ar.Abul Bashar Md. Shamsuzzaman ")</f>
        <v>Ar.Abul Bashar Md. Shamsuzzaman </v>
      </c>
      <c r="C118" s="2" t="str">
        <f>IFERROR(__xludf.DUMMYFUNCTION("""COMPUTED_VALUE"""),"S‐027) Managing Partner")</f>
        <v>S‐027) Managing Partner</v>
      </c>
      <c r="G118" s="2" t="s">
        <v>1757</v>
      </c>
      <c r="H118" s="2" t="str">
        <f>IFERROR(__xludf.DUMMYFUNCTION("split(G118,"")"")"),"S‐027")</f>
        <v>S‐027</v>
      </c>
      <c r="I118" s="2" t="str">
        <f>IFERROR(__xludf.DUMMYFUNCTION("""COMPUTED_VALUE""")," Managing Partner")</f>
        <v> Managing Partner</v>
      </c>
      <c r="J118" s="2" t="s">
        <v>1544</v>
      </c>
      <c r="K118" s="1" t="str">
        <f>IFERROR(__xludf.DUMMYFUNCTION("SPLIT(J118,""&amp;"")")," Managing Partner")</f>
        <v> Managing Partner</v>
      </c>
      <c r="N118" s="19" t="s">
        <v>936</v>
      </c>
      <c r="O118" s="2" t="str">
        <f>IFERROR(__xludf.DUMMYFUNCTION("SPLIT(N118,""+"")"),"website:")</f>
        <v>website:</v>
      </c>
      <c r="P118" s="18"/>
      <c r="Q118" s="18" t="s">
        <v>1758</v>
      </c>
      <c r="R118" s="2" t="str">
        <f t="shared" si="1"/>
        <v>_ +88‐02‐8991817</v>
      </c>
      <c r="S118" s="18" t="s">
        <v>1758</v>
      </c>
    </row>
    <row r="119" ht="15.75" customHeight="1">
      <c r="A119" s="14" t="s">
        <v>549</v>
      </c>
      <c r="B119" s="2" t="str">
        <f>IFERROR(__xludf.DUMMYFUNCTION("SPLIT(A119,""("")"),"Ar. Patrick D’Rozario ")</f>
        <v>Ar. Patrick D’Rozario </v>
      </c>
      <c r="C119" s="2" t="str">
        <f>IFERROR(__xludf.DUMMYFUNCTION("""COMPUTED_VALUE"""),"R‐135) Partner")</f>
        <v>R‐135) Partner</v>
      </c>
      <c r="G119" s="2" t="s">
        <v>1759</v>
      </c>
      <c r="H119" s="2" t="str">
        <f>IFERROR(__xludf.DUMMYFUNCTION("split(G119,"")"")"),"R‐135")</f>
        <v>R‐135</v>
      </c>
      <c r="I119" s="2" t="str">
        <f>IFERROR(__xludf.DUMMYFUNCTION("""COMPUTED_VALUE""")," Partner")</f>
        <v> Partner</v>
      </c>
      <c r="J119" s="2" t="s">
        <v>1613</v>
      </c>
      <c r="K119" s="1" t="str">
        <f>IFERROR(__xludf.DUMMYFUNCTION("SPLIT(J119,""&amp;"")")," Partner")</f>
        <v> Partner</v>
      </c>
      <c r="N119" s="19" t="s">
        <v>548</v>
      </c>
      <c r="O119" s="2" t="str">
        <f>IFERROR(__xludf.DUMMYFUNCTION("SPLIT(N119,""+"")"),"Contact: ")</f>
        <v>Contact: </v>
      </c>
      <c r="P119" s="18" t="str">
        <f>IFERROR(__xludf.DUMMYFUNCTION("""COMPUTED_VALUE"""),"88‐02‐9124105,9124638,8141642")</f>
        <v>88‐02‐9124105,9124638,8141642</v>
      </c>
      <c r="Q119" s="18" t="s">
        <v>1498</v>
      </c>
      <c r="R119" s="2" t="str">
        <f t="shared" si="1"/>
        <v>88‐02‐9124105,9124638,8141642_N/A</v>
      </c>
      <c r="S119" s="18" t="s">
        <v>1760</v>
      </c>
    </row>
    <row r="120" ht="15.75" customHeight="1">
      <c r="A120" s="14" t="s">
        <v>555</v>
      </c>
      <c r="B120" s="2" t="str">
        <f>IFERROR(__xludf.DUMMYFUNCTION("SPLIT(A120,""("")"),"Ar. Md. Raisul Rafi Shaon ")</f>
        <v>Ar. Md. Raisul Rafi Shaon </v>
      </c>
      <c r="C120" s="2" t="str">
        <f>IFERROR(__xludf.DUMMYFUNCTION("""COMPUTED_VALUE"""),"S‐089) CEO &amp; Sr. Architect")</f>
        <v>S‐089) CEO &amp; Sr. Architect</v>
      </c>
      <c r="G120" s="2" t="s">
        <v>1761</v>
      </c>
      <c r="H120" s="2" t="str">
        <f>IFERROR(__xludf.DUMMYFUNCTION("split(G120,"")"")"),"S‐089")</f>
        <v>S‐089</v>
      </c>
      <c r="I120" s="2" t="str">
        <f>IFERROR(__xludf.DUMMYFUNCTION("""COMPUTED_VALUE""")," CEO &amp; Sr. Architect")</f>
        <v> CEO &amp; Sr. Architect</v>
      </c>
      <c r="J120" s="2" t="s">
        <v>1762</v>
      </c>
      <c r="K120" s="1" t="str">
        <f>IFERROR(__xludf.DUMMYFUNCTION("SPLIT(J120,""&amp;"")")," CEO ")</f>
        <v> CEO </v>
      </c>
      <c r="L120" s="2" t="str">
        <f>IFERROR(__xludf.DUMMYFUNCTION("""COMPUTED_VALUE""")," Sr. Architect")</f>
        <v> Sr. Architect</v>
      </c>
      <c r="N120" s="19" t="s">
        <v>936</v>
      </c>
      <c r="O120" s="2" t="str">
        <f>IFERROR(__xludf.DUMMYFUNCTION("SPLIT(N120,""+"")"),"website:")</f>
        <v>website:</v>
      </c>
      <c r="P120" s="18"/>
      <c r="Q120" s="18">
        <v>8.801730303421E12</v>
      </c>
      <c r="R120" s="2" t="str">
        <f t="shared" si="1"/>
        <v>_8801730303421</v>
      </c>
      <c r="S120" s="18">
        <v>8.801730303421E12</v>
      </c>
    </row>
    <row r="121" ht="15.75" customHeight="1">
      <c r="A121" s="14" t="s">
        <v>561</v>
      </c>
      <c r="B121" s="2" t="str">
        <f>IFERROR(__xludf.DUMMYFUNCTION("SPLIT(A121,""("")"),"Ar. Md. Rafiq Azam ")</f>
        <v>Ar. Md. Rafiq Azam </v>
      </c>
      <c r="C121" s="2" t="str">
        <f>IFERROR(__xludf.DUMMYFUNCTION("""COMPUTED_VALUE"""),"A‐055) Principal Architect")</f>
        <v>A‐055) Principal Architect</v>
      </c>
      <c r="G121" s="2" t="s">
        <v>1763</v>
      </c>
      <c r="H121" s="2" t="str">
        <f>IFERROR(__xludf.DUMMYFUNCTION("split(G121,"")"")"),"A‐055")</f>
        <v>A‐055</v>
      </c>
      <c r="I121" s="2" t="str">
        <f>IFERROR(__xludf.DUMMYFUNCTION("""COMPUTED_VALUE""")," Principal Architect")</f>
        <v> Principal Architect</v>
      </c>
      <c r="J121" s="2" t="s">
        <v>1501</v>
      </c>
      <c r="K121" s="1" t="str">
        <f>IFERROR(__xludf.DUMMYFUNCTION("SPLIT(J121,""&amp;"")")," Principal Architect")</f>
        <v> Principal Architect</v>
      </c>
      <c r="N121" s="19" t="s">
        <v>560</v>
      </c>
      <c r="O121" s="2" t="str">
        <f>IFERROR(__xludf.DUMMYFUNCTION("SPLIT(N121,""+"")"),"#REF!")</f>
        <v>#REF!</v>
      </c>
      <c r="P121" s="18"/>
      <c r="Q121" s="18" t="s">
        <v>1498</v>
      </c>
      <c r="R121" s="2" t="str">
        <f t="shared" si="1"/>
        <v>_N/A</v>
      </c>
      <c r="S121" s="18"/>
    </row>
    <row r="122" ht="15.75" customHeight="1">
      <c r="A122" s="14" t="s">
        <v>569</v>
      </c>
      <c r="B122" s="2" t="str">
        <f>IFERROR(__xludf.DUMMYFUNCTION("SPLIT(A122,""("")"),"Ar. D.S. Fawad Hyder ")</f>
        <v>Ar. D.S. Fawad Hyder </v>
      </c>
      <c r="C122" s="2" t="str">
        <f>IFERROR(__xludf.DUMMYFUNCTION("""COMPUTED_VALUE"""),"H‐056) Proprietor")</f>
        <v>H‐056) Proprietor</v>
      </c>
      <c r="G122" s="2" t="s">
        <v>1764</v>
      </c>
      <c r="H122" s="2" t="str">
        <f>IFERROR(__xludf.DUMMYFUNCTION("split(G122,"")"")"),"H‐056")</f>
        <v>H‐056</v>
      </c>
      <c r="I122" s="2" t="str">
        <f>IFERROR(__xludf.DUMMYFUNCTION("""COMPUTED_VALUE""")," Proprietor")</f>
        <v> Proprietor</v>
      </c>
      <c r="J122" s="2" t="s">
        <v>1522</v>
      </c>
      <c r="K122" s="1" t="str">
        <f>IFERROR(__xludf.DUMMYFUNCTION("SPLIT(J122,""&amp;"")")," Proprietor")</f>
        <v> Proprietor</v>
      </c>
      <c r="N122" s="19" t="s">
        <v>568</v>
      </c>
      <c r="O122" s="2" t="str">
        <f>IFERROR(__xludf.DUMMYFUNCTION("SPLIT(N122,""+"")"),"Website : www.spacearcht.com")</f>
        <v>Website : www.spacearcht.com</v>
      </c>
      <c r="P122" s="18"/>
      <c r="Q122" s="18" t="s">
        <v>1765</v>
      </c>
      <c r="R122" s="2" t="str">
        <f t="shared" si="1"/>
        <v>_ +88‐02‐9840245, +8801979873387</v>
      </c>
      <c r="S122" s="18" t="s">
        <v>1765</v>
      </c>
    </row>
    <row r="123" ht="15.75" customHeight="1">
      <c r="A123" s="14" t="s">
        <v>575</v>
      </c>
      <c r="B123" s="2" t="str">
        <f>IFERROR(__xludf.DUMMYFUNCTION("SPLIT(A123,""("")"),"Ar. Sharif Uddin Ahammed ")</f>
        <v>Ar. Sharif Uddin Ahammed </v>
      </c>
      <c r="C123" s="2" t="str">
        <f>IFERROR(__xludf.DUMMYFUNCTION("""COMPUTED_VALUE"""),"A‐137) Proprietor")</f>
        <v>A‐137) Proprietor</v>
      </c>
      <c r="G123" s="2" t="s">
        <v>1766</v>
      </c>
      <c r="H123" s="2" t="str">
        <f>IFERROR(__xludf.DUMMYFUNCTION("split(G123,"")"")"),"A‐137")</f>
        <v>A‐137</v>
      </c>
      <c r="I123" s="2" t="str">
        <f>IFERROR(__xludf.DUMMYFUNCTION("""COMPUTED_VALUE""")," Proprietor")</f>
        <v> Proprietor</v>
      </c>
      <c r="J123" s="2" t="s">
        <v>1522</v>
      </c>
      <c r="K123" s="1" t="str">
        <f>IFERROR(__xludf.DUMMYFUNCTION("SPLIT(J123,""&amp;"")")," Proprietor")</f>
        <v> Proprietor</v>
      </c>
      <c r="N123" s="19" t="s">
        <v>574</v>
      </c>
      <c r="O123" s="2" t="str">
        <f>IFERROR(__xludf.DUMMYFUNCTION("SPLIT(N123,""+"")"),"Website : www.sthapotik.com Contact: ")</f>
        <v>Website : www.sthapotik.com Contact: </v>
      </c>
      <c r="P123" s="18">
        <f>IFERROR(__xludf.DUMMYFUNCTION("""COMPUTED_VALUE"""),8.801713039777E12)</f>
        <v>8801713039777</v>
      </c>
      <c r="Q123" s="18" t="s">
        <v>1498</v>
      </c>
      <c r="R123" s="2" t="str">
        <f t="shared" si="1"/>
        <v>8801713039777_N/A</v>
      </c>
      <c r="S123" s="18">
        <v>8.801713039777E12</v>
      </c>
    </row>
    <row r="124" ht="15.75" customHeight="1">
      <c r="A124" s="14" t="s">
        <v>582</v>
      </c>
      <c r="B124" s="2" t="str">
        <f>IFERROR(__xludf.DUMMYFUNCTION("SPLIT(A124,""("")"),"Ar. Tarek Md. Saidul Islam ")</f>
        <v>Ar. Tarek Md. Saidul Islam </v>
      </c>
      <c r="C124" s="2" t="str">
        <f>IFERROR(__xludf.DUMMYFUNCTION("""COMPUTED_VALUE"""),"I‐081) Principal Architect")</f>
        <v>I‐081) Principal Architect</v>
      </c>
      <c r="G124" s="2" t="s">
        <v>1767</v>
      </c>
      <c r="H124" s="2" t="str">
        <f>IFERROR(__xludf.DUMMYFUNCTION("split(G124,"")"")"),"I‐081")</f>
        <v>I‐081</v>
      </c>
      <c r="I124" s="2" t="str">
        <f>IFERROR(__xludf.DUMMYFUNCTION("""COMPUTED_VALUE""")," Principal Architect")</f>
        <v> Principal Architect</v>
      </c>
      <c r="J124" s="2" t="s">
        <v>1501</v>
      </c>
      <c r="K124" s="1" t="str">
        <f>IFERROR(__xludf.DUMMYFUNCTION("SPLIT(J124,""&amp;"")")," Principal Architect")</f>
        <v> Principal Architect</v>
      </c>
      <c r="N124" s="19" t="s">
        <v>581</v>
      </c>
      <c r="O124" s="2" t="str">
        <f>IFERROR(__xludf.DUMMYFUNCTION("SPLIT(N124,""+"")"),"Website : www.studiodhakaarchitects.com Contact: ")</f>
        <v>Website : www.studiodhakaarchitects.com Contact: </v>
      </c>
      <c r="P124" s="18">
        <f>IFERROR(__xludf.DUMMYFUNCTION("""COMPUTED_VALUE"""),8.801534355957E12)</f>
        <v>8801534355957</v>
      </c>
      <c r="Q124" s="18" t="s">
        <v>1498</v>
      </c>
      <c r="R124" s="2" t="str">
        <f t="shared" si="1"/>
        <v>8801534355957_N/A</v>
      </c>
      <c r="S124" s="18">
        <v>8.801534355957E12</v>
      </c>
    </row>
    <row r="125" ht="15.75" customHeight="1">
      <c r="A125" s="14" t="s">
        <v>588</v>
      </c>
      <c r="B125" s="2" t="str">
        <f>IFERROR(__xludf.DUMMYFUNCTION("SPLIT(A125,""("")"),"Ar. Muhammad Moniruzzaman ")</f>
        <v>Ar. Muhammad Moniruzzaman </v>
      </c>
      <c r="C125" s="2" t="str">
        <f>IFERROR(__xludf.DUMMYFUNCTION("""COMPUTED_VALUE"""),"M‐086) Managing Director")</f>
        <v>M‐086) Managing Director</v>
      </c>
      <c r="G125" s="2" t="s">
        <v>1768</v>
      </c>
      <c r="H125" s="2" t="str">
        <f>IFERROR(__xludf.DUMMYFUNCTION("split(G125,"")"")"),"M‐086")</f>
        <v>M‐086</v>
      </c>
      <c r="I125" s="2" t="str">
        <f>IFERROR(__xludf.DUMMYFUNCTION("""COMPUTED_VALUE""")," Managing Director")</f>
        <v> Managing Director</v>
      </c>
      <c r="J125" s="2" t="s">
        <v>1497</v>
      </c>
      <c r="K125" s="1" t="str">
        <f>IFERROR(__xludf.DUMMYFUNCTION("SPLIT(J125,""&amp;"")")," Managing Director")</f>
        <v> Managing Director</v>
      </c>
      <c r="N125" s="19" t="s">
        <v>587</v>
      </c>
      <c r="O125" s="2" t="str">
        <f>IFERROR(__xludf.DUMMYFUNCTION("SPLIT(N125,""+"")"),"Website : www.studiodhaka.com Contact: ")</f>
        <v>Website : www.studiodhaka.com Contact: </v>
      </c>
      <c r="P125" s="18">
        <f>IFERROR(__xludf.DUMMYFUNCTION("""COMPUTED_VALUE"""),8.801711335635E12)</f>
        <v>8801711335635</v>
      </c>
      <c r="Q125" s="18" t="s">
        <v>1498</v>
      </c>
      <c r="R125" s="2" t="str">
        <f t="shared" si="1"/>
        <v>8801711335635_N/A</v>
      </c>
      <c r="S125" s="18">
        <v>8.801711335635E12</v>
      </c>
    </row>
    <row r="126" ht="15.75" customHeight="1">
      <c r="A126" s="14" t="s">
        <v>595</v>
      </c>
      <c r="B126" s="2" t="str">
        <f>IFERROR(__xludf.DUMMYFUNCTION("SPLIT(A126,""("")"),"Ar. Enamul Karim ")</f>
        <v>Ar. Enamul Karim </v>
      </c>
      <c r="C126" s="2" t="str">
        <f>IFERROR(__xludf.DUMMYFUNCTION("""COMPUTED_VALUE"""),"K‐058) Principal Architect &amp; CEO")</f>
        <v>K‐058) Principal Architect &amp; CEO</v>
      </c>
      <c r="G126" s="2" t="s">
        <v>1769</v>
      </c>
      <c r="H126" s="2" t="str">
        <f>IFERROR(__xludf.DUMMYFUNCTION("split(G126,"")"")"),"K‐058")</f>
        <v>K‐058</v>
      </c>
      <c r="I126" s="2" t="str">
        <f>IFERROR(__xludf.DUMMYFUNCTION("""COMPUTED_VALUE""")," Principal Architect &amp; CEO")</f>
        <v> Principal Architect &amp; CEO</v>
      </c>
      <c r="J126" s="2" t="s">
        <v>1542</v>
      </c>
      <c r="K126" s="1" t="str">
        <f>IFERROR(__xludf.DUMMYFUNCTION("SPLIT(J126,""&amp;"")")," Principal Architect ")</f>
        <v> Principal Architect </v>
      </c>
      <c r="L126" s="2" t="str">
        <f>IFERROR(__xludf.DUMMYFUNCTION("""COMPUTED_VALUE""")," CEO")</f>
        <v> CEO</v>
      </c>
      <c r="N126" s="19" t="s">
        <v>594</v>
      </c>
      <c r="O126" s="2" t="str">
        <f>IFERROR(__xludf.DUMMYFUNCTION("SPLIT(N126,""+"")"),"#REF!")</f>
        <v>#REF!</v>
      </c>
      <c r="P126" s="18"/>
      <c r="Q126" s="18" t="s">
        <v>1498</v>
      </c>
      <c r="R126" s="2" t="str">
        <f t="shared" si="1"/>
        <v>_N/A</v>
      </c>
      <c r="S126" s="18"/>
    </row>
    <row r="127" ht="15.75" customHeight="1">
      <c r="A127" s="14" t="s">
        <v>962</v>
      </c>
      <c r="B127" s="2" t="str">
        <f>IFERROR(__xludf.DUMMYFUNCTION("SPLIT(A127,""("")"),"Ar. Mohammad Asaduzzaman Chowdhury ")</f>
        <v>Ar. Mohammad Asaduzzaman Chowdhury </v>
      </c>
      <c r="C127" s="2" t="str">
        <f>IFERROR(__xludf.DUMMYFUNCTION("""COMPUTED_VALUE"""),"C‐040) Managing Partner &amp; Ar. Aniket Chowdhury ")</f>
        <v>C‐040) Managing Partner &amp; Ar. Aniket Chowdhury </v>
      </c>
      <c r="D127" s="2" t="str">
        <f>IFERROR(__xludf.DUMMYFUNCTION("""COMPUTED_VALUE"""),"C‐066) Partner")</f>
        <v>C‐066) Partner</v>
      </c>
      <c r="G127" s="2" t="s">
        <v>1770</v>
      </c>
      <c r="H127" s="2" t="str">
        <f>IFERROR(__xludf.DUMMYFUNCTION("split(G127,"")"")"),"C‐040")</f>
        <v>C‐040</v>
      </c>
      <c r="I127" s="2" t="str">
        <f>IFERROR(__xludf.DUMMYFUNCTION("""COMPUTED_VALUE""")," Managing Partner &amp; Ar. Aniket Chowdhury ")</f>
        <v> Managing Partner &amp; Ar. Aniket Chowdhury </v>
      </c>
      <c r="J127" s="2" t="s">
        <v>1771</v>
      </c>
      <c r="K127" s="1" t="str">
        <f>IFERROR(__xludf.DUMMYFUNCTION("SPLIT(J127,""&amp;"")")," Managing Partner ")</f>
        <v> Managing Partner </v>
      </c>
      <c r="L127" s="2" t="str">
        <f>IFERROR(__xludf.DUMMYFUNCTION("""COMPUTED_VALUE""")," Ar. Aniket Chowdhury ")</f>
        <v> Ar. Aniket Chowdhury </v>
      </c>
      <c r="N127" s="19" t="s">
        <v>50</v>
      </c>
      <c r="O127" s="2" t="str">
        <f>IFERROR(__xludf.DUMMYFUNCTION("SPLIT(N127,""+"")"),"Website :")</f>
        <v>Website :</v>
      </c>
      <c r="P127" s="18"/>
      <c r="Q127" s="18" t="s">
        <v>1772</v>
      </c>
      <c r="R127" s="2" t="str">
        <f t="shared" si="1"/>
        <v>_ +88‐01714084433</v>
      </c>
      <c r="S127" s="18" t="s">
        <v>1772</v>
      </c>
    </row>
    <row r="128" ht="15.75" customHeight="1">
      <c r="A128" s="14" t="s">
        <v>963</v>
      </c>
      <c r="B128" s="2" t="str">
        <f>IFERROR(__xludf.DUMMYFUNCTION("SPLIT(A128,""("")"),"Ar. Shahla Karim Kabir ")</f>
        <v>Ar. Shahla Karim Kabir </v>
      </c>
      <c r="C128" s="2" t="str">
        <f>IFERROR(__xludf.DUMMYFUNCTION("""COMPUTED_VALUE"""),"K‐050) &amp; Ar. Minhaz Bin Gaffar ")</f>
        <v>K‐050) &amp; Ar. Minhaz Bin Gaffar </v>
      </c>
      <c r="D128" s="2" t="str">
        <f>IFERROR(__xludf.DUMMYFUNCTION("""COMPUTED_VALUE"""),"G‐009)")</f>
        <v>G‐009)</v>
      </c>
      <c r="G128" s="2" t="s">
        <v>1773</v>
      </c>
      <c r="H128" s="2" t="str">
        <f>IFERROR(__xludf.DUMMYFUNCTION("split(G128,"")"")"),"K‐050")</f>
        <v>K‐050</v>
      </c>
      <c r="I128" s="2" t="str">
        <f>IFERROR(__xludf.DUMMYFUNCTION("""COMPUTED_VALUE""")," &amp; Ar. Minhaz Bin Gaffar ")</f>
        <v> &amp; Ar. Minhaz Bin Gaffar </v>
      </c>
      <c r="J128" s="2" t="s">
        <v>1774</v>
      </c>
      <c r="K128" s="1" t="str">
        <f>IFERROR(__xludf.DUMMYFUNCTION("SPLIT(J128,""&amp;"")")," ")</f>
        <v> </v>
      </c>
      <c r="L128" s="2" t="str">
        <f>IFERROR(__xludf.DUMMYFUNCTION("""COMPUTED_VALUE""")," Ar. Minhaz Bin Gaffar ")</f>
        <v> Ar. Minhaz Bin Gaffar </v>
      </c>
      <c r="N128" s="19" t="s">
        <v>608</v>
      </c>
      <c r="O128" s="2" t="str">
        <f>IFERROR(__xludf.DUMMYFUNCTION("SPLIT(N128,""+"")"),"Website: www.studiomorphogenesis.com")</f>
        <v>Website: www.studiomorphogenesis.com</v>
      </c>
      <c r="P128" s="18"/>
      <c r="Q128" s="18" t="s">
        <v>1775</v>
      </c>
      <c r="R128" s="2" t="str">
        <f t="shared" si="1"/>
        <v>_ +88 01723819678 +88 02 9858862</v>
      </c>
      <c r="S128" s="18" t="s">
        <v>1776</v>
      </c>
    </row>
    <row r="129" ht="15.75" customHeight="1">
      <c r="A129" s="14" t="s">
        <v>615</v>
      </c>
      <c r="B129" s="2" t="str">
        <f>IFERROR(__xludf.DUMMYFUNCTION("SPLIT(A129,""("")"),"Ar. Shaheen Malik ")</f>
        <v>Ar. Shaheen Malik </v>
      </c>
      <c r="C129" s="2" t="str">
        <f>IFERROR(__xludf.DUMMYFUNCTION("""COMPUTED_VALUE"""),"M‐009) CEO")</f>
        <v>M‐009) CEO</v>
      </c>
      <c r="G129" s="2" t="s">
        <v>1777</v>
      </c>
      <c r="H129" s="2" t="str">
        <f>IFERROR(__xludf.DUMMYFUNCTION("split(G129,"")"")"),"M‐009")</f>
        <v>M‐009</v>
      </c>
      <c r="I129" s="2" t="str">
        <f>IFERROR(__xludf.DUMMYFUNCTION("""COMPUTED_VALUE""")," CEO")</f>
        <v> CEO</v>
      </c>
      <c r="J129" s="2" t="s">
        <v>1603</v>
      </c>
      <c r="K129" s="1" t="str">
        <f>IFERROR(__xludf.DUMMYFUNCTION("SPLIT(J129,""&amp;"")")," CEO")</f>
        <v> CEO</v>
      </c>
      <c r="N129" s="19" t="s">
        <v>936</v>
      </c>
      <c r="O129" s="2" t="str">
        <f>IFERROR(__xludf.DUMMYFUNCTION("SPLIT(N129,""+"")"),"website:")</f>
        <v>website:</v>
      </c>
      <c r="P129" s="18"/>
      <c r="Q129" s="18" t="s">
        <v>1778</v>
      </c>
      <c r="R129" s="2" t="str">
        <f t="shared" si="1"/>
        <v>_ +88‐02‐9850798</v>
      </c>
      <c r="S129" s="18" t="s">
        <v>1778</v>
      </c>
    </row>
    <row r="130" ht="15.75" customHeight="1">
      <c r="A130" s="14" t="s">
        <v>620</v>
      </c>
      <c r="B130" s="2" t="str">
        <f>IFERROR(__xludf.DUMMYFUNCTION("SPLIT(A130,""("")"),"Ar. Shakoor Majid ")</f>
        <v>Ar. Shakoor Majid </v>
      </c>
      <c r="C130" s="2" t="str">
        <f>IFERROR(__xludf.DUMMYFUNCTION("""COMPUTED_VALUE"""),"M‐031) CEO")</f>
        <v>M‐031) CEO</v>
      </c>
      <c r="G130" s="2" t="s">
        <v>1779</v>
      </c>
      <c r="H130" s="2" t="str">
        <f>IFERROR(__xludf.DUMMYFUNCTION("split(G130,"")"")"),"M‐031")</f>
        <v>M‐031</v>
      </c>
      <c r="I130" s="2" t="str">
        <f>IFERROR(__xludf.DUMMYFUNCTION("""COMPUTED_VALUE""")," CEO")</f>
        <v> CEO</v>
      </c>
      <c r="J130" s="2" t="s">
        <v>1603</v>
      </c>
      <c r="K130" s="1" t="str">
        <f>IFERROR(__xludf.DUMMYFUNCTION("SPLIT(J130,""&amp;"")")," CEO")</f>
        <v> CEO</v>
      </c>
      <c r="N130" s="19" t="s">
        <v>936</v>
      </c>
      <c r="O130" s="2" t="str">
        <f>IFERROR(__xludf.DUMMYFUNCTION("SPLIT(N130,""+"")"),"website:")</f>
        <v>website:</v>
      </c>
      <c r="P130" s="18"/>
      <c r="Q130" s="18" t="s">
        <v>1780</v>
      </c>
      <c r="R130" s="2" t="str">
        <f t="shared" si="1"/>
        <v>_ +88‐02‐8812109‐10</v>
      </c>
      <c r="S130" s="18" t="s">
        <v>1780</v>
      </c>
    </row>
    <row r="131" ht="15.75" customHeight="1">
      <c r="A131" s="14" t="s">
        <v>964</v>
      </c>
      <c r="B131" s="2" t="str">
        <f>IFERROR(__xludf.DUMMYFUNCTION("SPLIT(A131,""("")"),"Ar. Nurur Rahman Khan ")</f>
        <v>Ar. Nurur Rahman Khan </v>
      </c>
      <c r="C131" s="2" t="str">
        <f>IFERROR(__xludf.DUMMYFUNCTION("""COMPUTED_VALUE"""),"K‐049) Architect Partner &amp; Ar. Tanya Tazeen Karim ")</f>
        <v>K‐049) Architect Partner &amp; Ar. Tanya Tazeen Karim </v>
      </c>
      <c r="D131" s="2" t="str">
        <f>IFERROR(__xludf.DUMMYFUNCTION("""COMPUTED_VALUE"""),"K‐051) Architect Partner")</f>
        <v>K‐051) Architect Partner</v>
      </c>
      <c r="G131" s="2" t="s">
        <v>1781</v>
      </c>
      <c r="H131" s="2" t="str">
        <f>IFERROR(__xludf.DUMMYFUNCTION("split(G131,"")"")"),"K‐049")</f>
        <v>K‐049</v>
      </c>
      <c r="I131" s="2" t="str">
        <f>IFERROR(__xludf.DUMMYFUNCTION("""COMPUTED_VALUE""")," Architect Partner &amp; Ar. Tanya Tazeen Karim ")</f>
        <v> Architect Partner &amp; Ar. Tanya Tazeen Karim </v>
      </c>
      <c r="J131" s="2" t="s">
        <v>1782</v>
      </c>
      <c r="K131" s="1" t="str">
        <f>IFERROR(__xludf.DUMMYFUNCTION("SPLIT(J131,""&amp;"")")," Architect Partner ")</f>
        <v> Architect Partner </v>
      </c>
      <c r="L131" s="2" t="str">
        <f>IFERROR(__xludf.DUMMYFUNCTION("""COMPUTED_VALUE""")," Ar. Tanya Tazeen Karim ")</f>
        <v> Ar. Tanya Tazeen Karim </v>
      </c>
      <c r="N131" s="19" t="s">
        <v>626</v>
      </c>
      <c r="O131" s="2" t="str">
        <f>IFERROR(__xludf.DUMMYFUNCTION("SPLIT(N131,""+"")"),"#REF!")</f>
        <v>#REF!</v>
      </c>
      <c r="P131" s="18"/>
      <c r="Q131" s="18" t="s">
        <v>1498</v>
      </c>
      <c r="R131" s="2" t="str">
        <f t="shared" si="1"/>
        <v>_N/A</v>
      </c>
      <c r="S131" s="18"/>
    </row>
    <row r="132" ht="15.75" customHeight="1">
      <c r="A132" s="14" t="s">
        <v>635</v>
      </c>
      <c r="B132" s="2" t="str">
        <f>IFERROR(__xludf.DUMMYFUNCTION("SPLIT(A132,""("")"),"Ar. Tarique Hasan ")</f>
        <v>Ar. Tarique Hasan </v>
      </c>
      <c r="C132" s="2" t="str">
        <f>IFERROR(__xludf.DUMMYFUNCTION("""COMPUTED_VALUE"""),"H‐097) Managing Director")</f>
        <v>H‐097) Managing Director</v>
      </c>
      <c r="G132" s="2" t="s">
        <v>1783</v>
      </c>
      <c r="H132" s="2" t="str">
        <f>IFERROR(__xludf.DUMMYFUNCTION("split(G132,"")"")"),"H‐097")</f>
        <v>H‐097</v>
      </c>
      <c r="I132" s="2" t="str">
        <f>IFERROR(__xludf.DUMMYFUNCTION("""COMPUTED_VALUE""")," Managing Director")</f>
        <v> Managing Director</v>
      </c>
      <c r="J132" s="2" t="s">
        <v>1497</v>
      </c>
      <c r="K132" s="1" t="str">
        <f>IFERROR(__xludf.DUMMYFUNCTION("SPLIT(J132,""&amp;"")")," Managing Director")</f>
        <v> Managing Director</v>
      </c>
      <c r="N132" s="19" t="s">
        <v>634</v>
      </c>
      <c r="O132" s="2" t="str">
        <f>IFERROR(__xludf.DUMMYFUNCTION("SPLIT(N132,""+"")"),"#REF!")</f>
        <v>#REF!</v>
      </c>
      <c r="P132" s="18"/>
      <c r="Q132" s="18" t="s">
        <v>1498</v>
      </c>
      <c r="R132" s="2" t="str">
        <f t="shared" si="1"/>
        <v>_N/A</v>
      </c>
      <c r="S132" s="18"/>
    </row>
    <row r="133" ht="15.75" customHeight="1">
      <c r="A133" s="14" t="s">
        <v>965</v>
      </c>
      <c r="B133" s="2" t="str">
        <f>IFERROR(__xludf.DUMMYFUNCTION("SPLIT(A133,""("")"),"Ar. Md. Tareq Abdullah ")</f>
        <v>Ar. Md. Tareq Abdullah </v>
      </c>
      <c r="C133" s="2" t="str">
        <f>IFERROR(__xludf.DUMMYFUNCTION("""COMPUTED_VALUE"""),"A‐236) Director &amp; Ar. Khondoker Arif Uzzaman ")</f>
        <v>A‐236) Director &amp; Ar. Khondoker Arif Uzzaman </v>
      </c>
      <c r="D133" s="2" t="str">
        <f>IFERROR(__xludf.DUMMYFUNCTION("""COMPUTED_VALUE"""),"AU‐019) Managing Director")</f>
        <v>AU‐019) Managing Director</v>
      </c>
      <c r="G133" s="2" t="s">
        <v>1784</v>
      </c>
      <c r="H133" s="2" t="str">
        <f>IFERROR(__xludf.DUMMYFUNCTION("split(G133,"")"")"),"A‐236")</f>
        <v>A‐236</v>
      </c>
      <c r="I133" s="2" t="str">
        <f>IFERROR(__xludf.DUMMYFUNCTION("""COMPUTED_VALUE""")," Director &amp; Ar. Khondoker Arif Uzzaman ")</f>
        <v> Director &amp; Ar. Khondoker Arif Uzzaman </v>
      </c>
      <c r="J133" s="2" t="s">
        <v>1785</v>
      </c>
      <c r="K133" s="1" t="str">
        <f>IFERROR(__xludf.DUMMYFUNCTION("SPLIT(J133,""&amp;"")")," Director ")</f>
        <v> Director </v>
      </c>
      <c r="L133" s="2" t="str">
        <f>IFERROR(__xludf.DUMMYFUNCTION("""COMPUTED_VALUE""")," Ar. Khondoker Arif Uzzaman ")</f>
        <v> Ar. Khondoker Arif Uzzaman </v>
      </c>
      <c r="N133" s="19" t="s">
        <v>641</v>
      </c>
      <c r="O133" s="2" t="str">
        <f>IFERROR(__xludf.DUMMYFUNCTION("SPLIT(N133,""+"")"),"Website : www.triotect.com.bd")</f>
        <v>Website : www.triotect.com.bd</v>
      </c>
      <c r="P133" s="18"/>
      <c r="Q133" s="18" t="s">
        <v>1786</v>
      </c>
      <c r="R133" s="2" t="str">
        <f t="shared" si="1"/>
        <v>_ +8801777768366, +8801777768367</v>
      </c>
      <c r="S133" s="18" t="s">
        <v>1786</v>
      </c>
    </row>
    <row r="134" ht="15.75" customHeight="1">
      <c r="A134" s="14" t="s">
        <v>648</v>
      </c>
      <c r="B134" s="2" t="str">
        <f>IFERROR(__xludf.DUMMYFUNCTION("SPLIT(A134,""("")"),"Ar. Md. Maruf Hossain Khan ")</f>
        <v>Ar. Md. Maruf Hossain Khan </v>
      </c>
      <c r="C134" s="2" t="str">
        <f>IFERROR(__xludf.DUMMYFUNCTION("""COMPUTED_VALUE"""),"K‐073) Principal Architect")</f>
        <v>K‐073) Principal Architect</v>
      </c>
      <c r="G134" s="2" t="s">
        <v>1787</v>
      </c>
      <c r="H134" s="2" t="str">
        <f>IFERROR(__xludf.DUMMYFUNCTION("split(G134,"")"")"),"K‐073")</f>
        <v>K‐073</v>
      </c>
      <c r="I134" s="2" t="str">
        <f>IFERROR(__xludf.DUMMYFUNCTION("""COMPUTED_VALUE""")," Principal Architect")</f>
        <v> Principal Architect</v>
      </c>
      <c r="J134" s="2" t="s">
        <v>1501</v>
      </c>
      <c r="K134" s="1" t="str">
        <f>IFERROR(__xludf.DUMMYFUNCTION("SPLIT(J134,""&amp;"")")," Principal Architect")</f>
        <v> Principal Architect</v>
      </c>
      <c r="N134" s="19" t="s">
        <v>936</v>
      </c>
      <c r="O134" s="2" t="str">
        <f>IFERROR(__xludf.DUMMYFUNCTION("SPLIT(N134,""+"")"),"website:")</f>
        <v>website:</v>
      </c>
      <c r="P134" s="18"/>
      <c r="Q134" s="18" t="s">
        <v>1788</v>
      </c>
      <c r="R134" s="2" t="str">
        <f t="shared" si="1"/>
        <v>_ +88‐02‐9849303, +88‐02‐9849317</v>
      </c>
      <c r="S134" s="18" t="s">
        <v>1788</v>
      </c>
    </row>
    <row r="135" ht="15.75" customHeight="1">
      <c r="A135" s="14" t="s">
        <v>653</v>
      </c>
      <c r="B135" s="2" t="str">
        <f>IFERROR(__xludf.DUMMYFUNCTION("SPLIT(A135,""("")"),"Ar. Mahboob‐E‐Sobhan Chowdhury ")</f>
        <v>Ar. Mahboob‐E‐Sobhan Chowdhury </v>
      </c>
      <c r="C135" s="2" t="str">
        <f>IFERROR(__xludf.DUMMYFUNCTION("""COMPUTED_VALUE"""),"C‐025) Principal Architect")</f>
        <v>C‐025) Principal Architect</v>
      </c>
      <c r="G135" s="2" t="s">
        <v>1789</v>
      </c>
      <c r="H135" s="2" t="str">
        <f>IFERROR(__xludf.DUMMYFUNCTION("split(G135,"")"")"),"C‐025")</f>
        <v>C‐025</v>
      </c>
      <c r="I135" s="2" t="str">
        <f>IFERROR(__xludf.DUMMYFUNCTION("""COMPUTED_VALUE""")," Principal Architect")</f>
        <v> Principal Architect</v>
      </c>
      <c r="J135" s="2" t="s">
        <v>1501</v>
      </c>
      <c r="K135" s="1" t="str">
        <f>IFERROR(__xludf.DUMMYFUNCTION("SPLIT(J135,""&amp;"")")," Principal Architect")</f>
        <v> Principal Architect</v>
      </c>
      <c r="N135" s="19" t="s">
        <v>936</v>
      </c>
      <c r="O135" s="2" t="str">
        <f>IFERROR(__xludf.DUMMYFUNCTION("SPLIT(N135,""+"")"),"website:")</f>
        <v>website:</v>
      </c>
      <c r="P135" s="18"/>
      <c r="Q135" s="18" t="s">
        <v>1790</v>
      </c>
      <c r="R135" s="2" t="str">
        <f t="shared" si="1"/>
        <v>_ +88‐02‐9671500, +88‐02‐9671515</v>
      </c>
      <c r="S135" s="18" t="s">
        <v>1790</v>
      </c>
    </row>
    <row r="136" ht="15.75" customHeight="1">
      <c r="A136" s="14" t="s">
        <v>966</v>
      </c>
      <c r="B136" s="2" t="str">
        <f>IFERROR(__xludf.DUMMYFUNCTION("SPLIT(A136,""("")"),"Ar. Amit Kumar Saha ")</f>
        <v>Ar. Amit Kumar Saha </v>
      </c>
      <c r="C136" s="2" t="str">
        <f>IFERROR(__xludf.DUMMYFUNCTION("""COMPUTED_VALUE"""),"S‐077) Partner &amp; Ar. Faisal Ishtiaq Alam ")</f>
        <v>S‐077) Partner &amp; Ar. Faisal Ishtiaq Alam </v>
      </c>
      <c r="D136" s="2" t="str">
        <f>IFERROR(__xludf.DUMMYFUNCTION("""COMPUTED_VALUE"""),"A‐151) Partner &amp; Ar. Dipozzwal Sen ")</f>
        <v>A‐151) Partner &amp; Ar. Dipozzwal Sen </v>
      </c>
      <c r="E136" s="2" t="str">
        <f>IFERROR(__xludf.DUMMYFUNCTION("""COMPUTED_VALUE"""),"S‐090) Partner")</f>
        <v>S‐090) Partner</v>
      </c>
      <c r="G136" s="2" t="s">
        <v>1791</v>
      </c>
      <c r="H136" s="2" t="str">
        <f>IFERROR(__xludf.DUMMYFUNCTION("split(G136,"")"")"),"S‐077")</f>
        <v>S‐077</v>
      </c>
      <c r="I136" s="2" t="str">
        <f>IFERROR(__xludf.DUMMYFUNCTION("""COMPUTED_VALUE""")," Partner &amp; Ar. Faisal Ishtiaq Alam ")</f>
        <v> Partner &amp; Ar. Faisal Ishtiaq Alam </v>
      </c>
      <c r="J136" s="2" t="s">
        <v>1792</v>
      </c>
      <c r="K136" s="1" t="str">
        <f>IFERROR(__xludf.DUMMYFUNCTION("SPLIT(J136,""&amp;"")")," Partner ")</f>
        <v> Partner </v>
      </c>
      <c r="L136" s="2" t="str">
        <f>IFERROR(__xludf.DUMMYFUNCTION("""COMPUTED_VALUE""")," Ar. Faisal Ishtiaq Alam ")</f>
        <v> Ar. Faisal Ishtiaq Alam </v>
      </c>
      <c r="N136" s="19" t="s">
        <v>50</v>
      </c>
      <c r="O136" s="2" t="str">
        <f>IFERROR(__xludf.DUMMYFUNCTION("SPLIT(N136,""+"")"),"Website :")</f>
        <v>Website :</v>
      </c>
      <c r="P136" s="18"/>
      <c r="Q136" s="18" t="s">
        <v>1793</v>
      </c>
      <c r="R136" s="2" t="str">
        <f t="shared" si="1"/>
        <v>_ +88‐01678016706</v>
      </c>
      <c r="S136" s="18" t="s">
        <v>1793</v>
      </c>
    </row>
    <row r="137" ht="15.75" customHeight="1">
      <c r="A137" s="14" t="s">
        <v>967</v>
      </c>
      <c r="B137" s="2" t="str">
        <f>IFERROR(__xludf.DUMMYFUNCTION("SPLIT(A137,""("")"),"Ar.Asif Mohammed Ahsanul Haq ")</f>
        <v>Ar.Asif Mohammed Ahsanul Haq </v>
      </c>
      <c r="C137" s="2" t="str">
        <f>IFERROR(__xludf.DUMMYFUNCTION("""COMPUTED_VALUE"""),"H‐117) Managing Partner &amp; Ar. Arifa Akhter ")</f>
        <v>H‐117) Managing Partner &amp; Ar. Arifa Akhter </v>
      </c>
      <c r="D137" s="2" t="str">
        <f>IFERROR(__xludf.DUMMYFUNCTION("""COMPUTED_VALUE"""),"A‐120) Partner")</f>
        <v>A‐120) Partner</v>
      </c>
      <c r="G137" s="2" t="s">
        <v>1794</v>
      </c>
      <c r="H137" s="2" t="str">
        <f>IFERROR(__xludf.DUMMYFUNCTION("split(G137,"")"")"),"H‐117")</f>
        <v>H‐117</v>
      </c>
      <c r="I137" s="2" t="str">
        <f>IFERROR(__xludf.DUMMYFUNCTION("""COMPUTED_VALUE""")," Managing Partner &amp; Ar. Arifa Akhter ")</f>
        <v> Managing Partner &amp; Ar. Arifa Akhter </v>
      </c>
      <c r="J137" s="2" t="s">
        <v>1795</v>
      </c>
      <c r="K137" s="1" t="str">
        <f>IFERROR(__xludf.DUMMYFUNCTION("SPLIT(J137,""&amp;"")")," Managing Partner ")</f>
        <v> Managing Partner </v>
      </c>
      <c r="L137" s="2" t="str">
        <f>IFERROR(__xludf.DUMMYFUNCTION("""COMPUTED_VALUE""")," Ar. Arifa Akhter ")</f>
        <v> Ar. Arifa Akhter </v>
      </c>
      <c r="N137" s="19" t="s">
        <v>936</v>
      </c>
      <c r="O137" s="2" t="str">
        <f>IFERROR(__xludf.DUMMYFUNCTION("SPLIT(N137,""+"")"),"website:")</f>
        <v>website:</v>
      </c>
      <c r="P137" s="18"/>
      <c r="Q137" s="18" t="s">
        <v>1796</v>
      </c>
      <c r="R137" s="2" t="str">
        <f t="shared" si="1"/>
        <v>_ +88‐02‐ 8625835</v>
      </c>
      <c r="S137" s="18" t="s">
        <v>1796</v>
      </c>
    </row>
    <row r="138" ht="15.75" customHeight="1">
      <c r="A138" s="14" t="s">
        <v>968</v>
      </c>
      <c r="B138" s="2" t="str">
        <f>IFERROR(__xludf.DUMMYFUNCTION("SPLIT(A138,""("")"),"Ar. Khan Mohammed Mustapha Khalid ")</f>
        <v>Ar. Khan Mohammed Mustapha Khalid </v>
      </c>
      <c r="C138" s="2" t="str">
        <f>IFERROR(__xludf.DUMMYFUNCTION("""COMPUTED_VALUE"""),"K‐037) Managing Director &amp; Ar. Shahzia Islam ")</f>
        <v>K‐037) Managing Director &amp; Ar. Shahzia Islam </v>
      </c>
      <c r="D138" s="2" t="str">
        <f>IFERROR(__xludf.DUMMYFUNCTION("""COMPUTED_VALUE"""),"I‐023) Director")</f>
        <v>I‐023) Director</v>
      </c>
      <c r="G138" s="2" t="s">
        <v>1797</v>
      </c>
      <c r="H138" s="2" t="str">
        <f>IFERROR(__xludf.DUMMYFUNCTION("split(G138,"")"")"),"K‐037")</f>
        <v>K‐037</v>
      </c>
      <c r="I138" s="2" t="str">
        <f>IFERROR(__xludf.DUMMYFUNCTION("""COMPUTED_VALUE""")," Managing Director &amp; Ar. Shahzia Islam ")</f>
        <v> Managing Director &amp; Ar. Shahzia Islam </v>
      </c>
      <c r="J138" s="2" t="s">
        <v>1798</v>
      </c>
      <c r="K138" s="1" t="str">
        <f>IFERROR(__xludf.DUMMYFUNCTION("SPLIT(J138,""&amp;"")")," Managing Director ")</f>
        <v> Managing Director </v>
      </c>
      <c r="L138" s="2" t="str">
        <f>IFERROR(__xludf.DUMMYFUNCTION("""COMPUTED_VALUE""")," Ar. Shahzia Islam ")</f>
        <v> Ar. Shahzia Islam </v>
      </c>
      <c r="N138" s="19" t="s">
        <v>936</v>
      </c>
      <c r="O138" s="2" t="str">
        <f>IFERROR(__xludf.DUMMYFUNCTION("SPLIT(N138,""+"")"),"website:")</f>
        <v>website:</v>
      </c>
      <c r="P138" s="18"/>
      <c r="Q138" s="18" t="s">
        <v>1799</v>
      </c>
      <c r="R138" s="2" t="str">
        <f t="shared" si="1"/>
        <v>_ +88‐02‐55044873, +88‐02‐55044874, +88‐02‐55044875</v>
      </c>
      <c r="S138" s="18" t="s">
        <v>1799</v>
      </c>
    </row>
    <row r="139" ht="15.75" customHeight="1">
      <c r="A139" s="14" t="s">
        <v>680</v>
      </c>
      <c r="B139" s="2" t="str">
        <f>IFERROR(__xludf.DUMMYFUNCTION("SPLIT(A139,""("")"),"Ar. Mohammad Foyez Ullah ")</f>
        <v>Ar. Mohammad Foyez Ullah </v>
      </c>
      <c r="C139" s="2" t="str">
        <f>IFERROR(__xludf.DUMMYFUNCTION("""COMPUTED_VALUE"""),"U‐008) Managing Director")</f>
        <v>U‐008) Managing Director</v>
      </c>
      <c r="G139" s="2" t="s">
        <v>1800</v>
      </c>
      <c r="H139" s="2" t="str">
        <f>IFERROR(__xludf.DUMMYFUNCTION("split(G139,"")"")"),"U‐008")</f>
        <v>U‐008</v>
      </c>
      <c r="I139" s="2" t="str">
        <f>IFERROR(__xludf.DUMMYFUNCTION("""COMPUTED_VALUE""")," Managing Director")</f>
        <v> Managing Director</v>
      </c>
      <c r="J139" s="2" t="s">
        <v>1497</v>
      </c>
      <c r="K139" s="1" t="str">
        <f>IFERROR(__xludf.DUMMYFUNCTION("SPLIT(J139,""&amp;"")")," Managing Director")</f>
        <v> Managing Director</v>
      </c>
      <c r="N139" s="19" t="s">
        <v>679</v>
      </c>
      <c r="O139" s="2" t="str">
        <f>IFERROR(__xludf.DUMMYFUNCTION("SPLIT(N139,""+"")"),"#REF!")</f>
        <v>#REF!</v>
      </c>
      <c r="P139" s="18"/>
      <c r="Q139" s="18" t="s">
        <v>1498</v>
      </c>
      <c r="R139" s="2" t="str">
        <f t="shared" si="1"/>
        <v>_N/A</v>
      </c>
      <c r="S139" s="18"/>
    </row>
    <row r="140" ht="15.75" customHeight="1">
      <c r="A140" s="14" t="s">
        <v>688</v>
      </c>
      <c r="B140" s="2" t="str">
        <f>IFERROR(__xludf.DUMMYFUNCTION("SPLIT(A140,""("")"),"Ar. Mohammed Ziaul Sharif ")</f>
        <v>Ar. Mohammed Ziaul Sharif </v>
      </c>
      <c r="C140" s="2" t="str">
        <f>IFERROR(__xludf.DUMMYFUNCTION("""COMPUTED_VALUE"""),"S‐094) Chief Architect")</f>
        <v>S‐094) Chief Architect</v>
      </c>
      <c r="G140" s="2" t="s">
        <v>1801</v>
      </c>
      <c r="H140" s="2" t="str">
        <f>IFERROR(__xludf.DUMMYFUNCTION("split(G140,"")"")"),"S‐094")</f>
        <v>S‐094</v>
      </c>
      <c r="I140" s="2" t="str">
        <f>IFERROR(__xludf.DUMMYFUNCTION("""COMPUTED_VALUE""")," Chief Architect")</f>
        <v> Chief Architect</v>
      </c>
      <c r="J140" s="2" t="s">
        <v>1526</v>
      </c>
      <c r="K140" s="1" t="str">
        <f>IFERROR(__xludf.DUMMYFUNCTION("SPLIT(J140,""&amp;"")")," Chief Architect")</f>
        <v> Chief Architect</v>
      </c>
      <c r="N140" s="19" t="s">
        <v>687</v>
      </c>
      <c r="O140" s="2" t="str">
        <f>IFERROR(__xludf.DUMMYFUNCTION("SPLIT(N140,""+"")"),"Website : www.vuumaatra.com")</f>
        <v>Website : www.vuumaatra.com</v>
      </c>
      <c r="P140" s="18"/>
      <c r="Q140" s="18" t="s">
        <v>1802</v>
      </c>
      <c r="R140" s="2" t="str">
        <f t="shared" si="1"/>
        <v>_ +88‐02‐58812326, 8801796585535</v>
      </c>
      <c r="S140" s="18" t="s">
        <v>1802</v>
      </c>
    </row>
    <row r="141" ht="15.75" customHeight="1">
      <c r="A141" s="14" t="s">
        <v>693</v>
      </c>
      <c r="B141" s="2" t="str">
        <f>IFERROR(__xludf.DUMMYFUNCTION("SPLIT(A141,""("")"),"Ar. Dewan Shamsul Arif ")</f>
        <v>Ar. Dewan Shamsul Arif </v>
      </c>
      <c r="C141" s="2" t="str">
        <f>IFERROR(__xludf.DUMMYFUNCTION("""COMPUTED_VALUE"""),"A‐079) Proprietor &amp; Principal Architect")</f>
        <v>A‐079) Proprietor &amp; Principal Architect</v>
      </c>
      <c r="G141" s="2" t="s">
        <v>1803</v>
      </c>
      <c r="H141" s="2" t="str">
        <f>IFERROR(__xludf.DUMMYFUNCTION("split(G141,"")"")"),"A‐079")</f>
        <v>A‐079</v>
      </c>
      <c r="I141" s="2" t="str">
        <f>IFERROR(__xludf.DUMMYFUNCTION("""COMPUTED_VALUE""")," Proprietor &amp; Principal Architect")</f>
        <v> Proprietor &amp; Principal Architect</v>
      </c>
      <c r="J141" s="2" t="s">
        <v>1644</v>
      </c>
      <c r="K141" s="1" t="str">
        <f>IFERROR(__xludf.DUMMYFUNCTION("SPLIT(J141,""&amp;"")")," Proprietor ")</f>
        <v> Proprietor </v>
      </c>
      <c r="L141" s="2" t="str">
        <f>IFERROR(__xludf.DUMMYFUNCTION("""COMPUTED_VALUE""")," Principal Architect")</f>
        <v> Principal Architect</v>
      </c>
      <c r="N141" s="19" t="s">
        <v>50</v>
      </c>
      <c r="O141" s="2" t="str">
        <f>IFERROR(__xludf.DUMMYFUNCTION("SPLIT(N141,""+"")"),"Website :")</f>
        <v>Website :</v>
      </c>
      <c r="P141" s="18"/>
      <c r="Q141" s="18" t="s">
        <v>1804</v>
      </c>
      <c r="R141" s="2" t="str">
        <f t="shared" si="1"/>
        <v>_ +88‐01971566019</v>
      </c>
      <c r="S141" s="18" t="s">
        <v>1804</v>
      </c>
    </row>
    <row r="142" ht="15.75" customHeight="1">
      <c r="A142" s="14" t="s">
        <v>970</v>
      </c>
      <c r="B142" s="2" t="str">
        <f>IFERROR(__xludf.DUMMYFUNCTION("SPLIT(A142,""("")"),"Ar. Md. Ishtiaque Zahir ")</f>
        <v>Ar. Md. Ishtiaque Zahir </v>
      </c>
      <c r="C142" s="2" t="str">
        <f>IFERROR(__xludf.DUMMYFUNCTION("""COMPUTED_VALUE"""),"Z‐011) Director &amp; Ar. Md. Iqbal Habib ")</f>
        <v>Z‐011) Director &amp; Ar. Md. Iqbal Habib </v>
      </c>
      <c r="D142" s="2" t="str">
        <f>IFERROR(__xludf.DUMMYFUNCTION("""COMPUTED_VALUE"""),"H‐075) Managing Director")</f>
        <v>H‐075) Managing Director</v>
      </c>
      <c r="G142" s="2" t="s">
        <v>1805</v>
      </c>
      <c r="H142" s="2" t="str">
        <f>IFERROR(__xludf.DUMMYFUNCTION("split(G142,"")"")"),"Z‐011")</f>
        <v>Z‐011</v>
      </c>
      <c r="I142" s="2" t="str">
        <f>IFERROR(__xludf.DUMMYFUNCTION("""COMPUTED_VALUE""")," Director &amp; Ar. Md. Iqbal Habib ")</f>
        <v> Director &amp; Ar. Md. Iqbal Habib </v>
      </c>
      <c r="J142" s="2" t="s">
        <v>1806</v>
      </c>
      <c r="K142" s="1" t="str">
        <f>IFERROR(__xludf.DUMMYFUNCTION("SPLIT(J142,""&amp;"")")," Director ")</f>
        <v> Director </v>
      </c>
      <c r="L142" s="2" t="str">
        <f>IFERROR(__xludf.DUMMYFUNCTION("""COMPUTED_VALUE""")," Ar. Md. Iqbal Habib ")</f>
        <v> Ar. Md. Iqbal Habib </v>
      </c>
      <c r="N142" s="19" t="s">
        <v>698</v>
      </c>
      <c r="O142" s="2" t="str">
        <f>IFERROR(__xludf.DUMMYFUNCTION("SPLIT(N142,""+"")"),"Website: www.vitti.com.bd")</f>
        <v>Website: www.vitti.com.bd</v>
      </c>
      <c r="P142" s="18"/>
      <c r="Q142" s="18" t="s">
        <v>1807</v>
      </c>
      <c r="R142" s="2" t="str">
        <f t="shared" si="1"/>
        <v>_ +88 01912888015 +88 02‐8143471</v>
      </c>
      <c r="S142" s="18" t="s">
        <v>1808</v>
      </c>
    </row>
    <row r="143" ht="15.75" customHeight="1">
      <c r="A143" s="14" t="s">
        <v>706</v>
      </c>
      <c r="B143" s="2" t="str">
        <f>IFERROR(__xludf.DUMMYFUNCTION("SPLIT(A143,""("")"),"Ar. M. Wahid Asif ")</f>
        <v>Ar. M. Wahid Asif </v>
      </c>
      <c r="C143" s="2" t="str">
        <f>IFERROR(__xludf.DUMMYFUNCTION("""COMPUTED_VALUE"""),"A‐117) Principal Architect")</f>
        <v>A‐117) Principal Architect</v>
      </c>
      <c r="G143" s="2" t="s">
        <v>1809</v>
      </c>
      <c r="H143" s="2" t="str">
        <f>IFERROR(__xludf.DUMMYFUNCTION("split(G143,"")"")"),"A‐117")</f>
        <v>A‐117</v>
      </c>
      <c r="I143" s="2" t="str">
        <f>IFERROR(__xludf.DUMMYFUNCTION("""COMPUTED_VALUE""")," Principal Architect")</f>
        <v> Principal Architect</v>
      </c>
      <c r="J143" s="2" t="s">
        <v>1501</v>
      </c>
      <c r="K143" s="1" t="str">
        <f>IFERROR(__xludf.DUMMYFUNCTION("SPLIT(J143,""&amp;"")")," Principal Architect")</f>
        <v> Principal Architect</v>
      </c>
      <c r="N143" s="19" t="s">
        <v>705</v>
      </c>
      <c r="O143" s="2" t="str">
        <f>IFERROR(__xludf.DUMMYFUNCTION("SPLIT(N143,""+"")"),"Website: www.4wallsbd.com")</f>
        <v>Website: www.4wallsbd.com</v>
      </c>
      <c r="P143" s="18"/>
      <c r="Q143" s="18" t="s">
        <v>1810</v>
      </c>
      <c r="R143" s="2" t="str">
        <f t="shared" si="1"/>
        <v>_ +88 01711433431 +88 02‐9890003</v>
      </c>
      <c r="S143" s="18" t="s">
        <v>1811</v>
      </c>
    </row>
    <row r="144" ht="15.75" customHeight="1">
      <c r="K144" s="1"/>
      <c r="N144" s="9"/>
      <c r="P144" s="18"/>
    </row>
    <row r="145" ht="15.75" customHeight="1">
      <c r="K145" s="1"/>
      <c r="P145" s="18"/>
    </row>
    <row r="146" ht="15.75" customHeight="1">
      <c r="K146" s="1"/>
      <c r="P146" s="18"/>
    </row>
    <row r="147" ht="15.75" customHeight="1">
      <c r="K147" s="1"/>
      <c r="P147" s="18"/>
    </row>
    <row r="148" ht="15.75" customHeight="1">
      <c r="K148" s="1"/>
      <c r="P148" s="18"/>
    </row>
    <row r="149" ht="15.75" customHeight="1">
      <c r="K149" s="1"/>
      <c r="P149" s="18"/>
    </row>
    <row r="150" ht="15.75" customHeight="1">
      <c r="K150" s="1"/>
      <c r="P150" s="18"/>
    </row>
    <row r="151" ht="15.75" customHeight="1">
      <c r="K151" s="1"/>
      <c r="P151" s="18"/>
    </row>
    <row r="152" ht="15.75" customHeight="1">
      <c r="K152" s="1"/>
      <c r="P152" s="18"/>
    </row>
    <row r="153" ht="15.75" customHeight="1">
      <c r="K153" s="1"/>
      <c r="P153" s="18"/>
    </row>
    <row r="154" ht="15.75" customHeight="1">
      <c r="K154" s="1"/>
      <c r="P154" s="18"/>
    </row>
    <row r="155" ht="15.75" customHeight="1">
      <c r="K155" s="1"/>
      <c r="P155" s="18"/>
    </row>
    <row r="156" ht="15.75" customHeight="1">
      <c r="K156" s="1"/>
      <c r="P156" s="18"/>
    </row>
    <row r="157" ht="15.75" customHeight="1">
      <c r="K157" s="1"/>
      <c r="P157" s="18"/>
    </row>
    <row r="158" ht="15.75" customHeight="1">
      <c r="K158" s="1"/>
      <c r="P158" s="18"/>
    </row>
    <row r="159" ht="15.75" customHeight="1">
      <c r="K159" s="1"/>
      <c r="P159" s="18"/>
    </row>
    <row r="160" ht="15.75" customHeight="1">
      <c r="K160" s="1"/>
      <c r="P160" s="18"/>
    </row>
    <row r="161" ht="15.75" customHeight="1">
      <c r="K161" s="1"/>
      <c r="P161" s="18"/>
    </row>
    <row r="162" ht="15.75" customHeight="1">
      <c r="K162" s="1"/>
      <c r="P162" s="18"/>
    </row>
    <row r="163" ht="15.75" customHeight="1">
      <c r="K163" s="1"/>
      <c r="P163" s="18"/>
    </row>
    <row r="164" ht="15.75" customHeight="1">
      <c r="K164" s="1"/>
      <c r="P164" s="18"/>
    </row>
    <row r="165" ht="15.75" customHeight="1">
      <c r="K165" s="1"/>
      <c r="P165" s="18"/>
    </row>
    <row r="166" ht="15.75" customHeight="1">
      <c r="K166" s="1"/>
      <c r="P166" s="18"/>
    </row>
    <row r="167" ht="15.75" customHeight="1">
      <c r="K167" s="1"/>
      <c r="P167" s="18"/>
    </row>
    <row r="168" ht="15.75" customHeight="1">
      <c r="K168" s="1"/>
      <c r="P168" s="18"/>
    </row>
    <row r="169" ht="15.75" customHeight="1">
      <c r="K169" s="1"/>
      <c r="P169" s="18"/>
    </row>
    <row r="170" ht="15.75" customHeight="1">
      <c r="K170" s="1"/>
      <c r="P170" s="18"/>
    </row>
    <row r="171" ht="15.75" customHeight="1">
      <c r="K171" s="1"/>
      <c r="P171" s="18"/>
    </row>
    <row r="172" ht="15.75" customHeight="1">
      <c r="K172" s="1"/>
      <c r="P172" s="18"/>
    </row>
    <row r="173" ht="15.75" customHeight="1">
      <c r="K173" s="1"/>
      <c r="P173" s="18"/>
    </row>
    <row r="174" ht="15.75" customHeight="1">
      <c r="K174" s="1"/>
      <c r="P174" s="18"/>
    </row>
    <row r="175" ht="15.75" customHeight="1">
      <c r="K175" s="1"/>
      <c r="P175" s="18"/>
    </row>
    <row r="176" ht="15.75" customHeight="1">
      <c r="K176" s="1"/>
      <c r="P176" s="18"/>
    </row>
    <row r="177" ht="15.75" customHeight="1">
      <c r="K177" s="1"/>
      <c r="P177" s="18"/>
    </row>
    <row r="178" ht="15.75" customHeight="1">
      <c r="K178" s="1"/>
      <c r="P178" s="18"/>
    </row>
    <row r="179" ht="15.75" customHeight="1">
      <c r="K179" s="1"/>
      <c r="P179" s="18"/>
    </row>
    <row r="180" ht="15.75" customHeight="1">
      <c r="K180" s="1"/>
      <c r="P180" s="18"/>
    </row>
    <row r="181" ht="15.75" customHeight="1">
      <c r="K181" s="1"/>
      <c r="P181" s="18"/>
    </row>
    <row r="182" ht="15.75" customHeight="1">
      <c r="K182" s="1"/>
      <c r="P182" s="18"/>
    </row>
    <row r="183" ht="15.75" customHeight="1">
      <c r="K183" s="1"/>
      <c r="P183" s="18"/>
    </row>
    <row r="184" ht="15.75" customHeight="1">
      <c r="K184" s="1"/>
      <c r="P184" s="18"/>
    </row>
    <row r="185" ht="15.75" customHeight="1">
      <c r="K185" s="1"/>
      <c r="P185" s="18"/>
    </row>
    <row r="186" ht="15.75" customHeight="1">
      <c r="K186" s="1"/>
      <c r="P186" s="18"/>
    </row>
    <row r="187" ht="15.75" customHeight="1">
      <c r="K187" s="1"/>
      <c r="P187" s="18"/>
    </row>
    <row r="188" ht="15.75" customHeight="1">
      <c r="K188" s="1"/>
      <c r="P188" s="18"/>
    </row>
    <row r="189" ht="15.75" customHeight="1">
      <c r="K189" s="1"/>
      <c r="P189" s="18"/>
    </row>
    <row r="190" ht="15.75" customHeight="1">
      <c r="K190" s="1"/>
      <c r="P190" s="18"/>
    </row>
    <row r="191" ht="15.75" customHeight="1">
      <c r="K191" s="1"/>
      <c r="P191" s="18"/>
    </row>
    <row r="192" ht="15.75" customHeight="1">
      <c r="K192" s="1"/>
      <c r="P192" s="18"/>
    </row>
    <row r="193" ht="15.75" customHeight="1">
      <c r="K193" s="1"/>
      <c r="P193" s="18"/>
    </row>
    <row r="194" ht="15.75" customHeight="1">
      <c r="K194" s="1"/>
      <c r="P194" s="18"/>
    </row>
    <row r="195" ht="15.75" customHeight="1">
      <c r="K195" s="1"/>
      <c r="P195" s="18"/>
    </row>
    <row r="196" ht="15.75" customHeight="1">
      <c r="K196" s="1"/>
      <c r="P196" s="18"/>
    </row>
    <row r="197" ht="15.75" customHeight="1">
      <c r="K197" s="1"/>
      <c r="P197" s="18"/>
    </row>
    <row r="198" ht="15.75" customHeight="1">
      <c r="K198" s="1"/>
      <c r="P198" s="18"/>
    </row>
    <row r="199" ht="15.75" customHeight="1">
      <c r="K199" s="1"/>
      <c r="P199" s="18"/>
    </row>
    <row r="200" ht="15.75" customHeight="1">
      <c r="K200" s="1"/>
      <c r="P200" s="18"/>
    </row>
    <row r="201" ht="15.75" customHeight="1">
      <c r="K201" s="1"/>
      <c r="P201" s="18"/>
    </row>
    <row r="202" ht="15.75" customHeight="1">
      <c r="K202" s="1"/>
      <c r="P202" s="18"/>
    </row>
    <row r="203" ht="15.75" customHeight="1">
      <c r="K203" s="1"/>
      <c r="P203" s="18"/>
    </row>
    <row r="204" ht="15.75" customHeight="1">
      <c r="K204" s="1"/>
      <c r="P204" s="18"/>
    </row>
    <row r="205" ht="15.75" customHeight="1">
      <c r="K205" s="1"/>
      <c r="P205" s="18"/>
    </row>
    <row r="206" ht="15.75" customHeight="1">
      <c r="K206" s="1"/>
      <c r="P206" s="18"/>
    </row>
    <row r="207" ht="15.75" customHeight="1">
      <c r="K207" s="1"/>
      <c r="P207" s="18"/>
    </row>
    <row r="208" ht="15.75" customHeight="1">
      <c r="K208" s="1"/>
      <c r="P208" s="18"/>
    </row>
    <row r="209" ht="15.75" customHeight="1">
      <c r="K209" s="1"/>
      <c r="P209" s="18"/>
    </row>
    <row r="210" ht="15.75" customHeight="1">
      <c r="K210" s="1"/>
      <c r="P210" s="18"/>
    </row>
    <row r="211" ht="15.75" customHeight="1">
      <c r="K211" s="1"/>
      <c r="P211" s="18"/>
    </row>
    <row r="212" ht="15.75" customHeight="1">
      <c r="K212" s="1"/>
      <c r="P212" s="18"/>
    </row>
    <row r="213" ht="15.75" customHeight="1">
      <c r="K213" s="1"/>
      <c r="P213" s="18"/>
    </row>
    <row r="214" ht="15.75" customHeight="1">
      <c r="K214" s="1"/>
      <c r="P214" s="18"/>
    </row>
    <row r="215" ht="15.75" customHeight="1">
      <c r="K215" s="1"/>
      <c r="P215" s="18"/>
    </row>
    <row r="216" ht="15.75" customHeight="1">
      <c r="K216" s="1"/>
      <c r="P216" s="18"/>
    </row>
    <row r="217" ht="15.75" customHeight="1">
      <c r="K217" s="1"/>
      <c r="P217" s="18"/>
    </row>
    <row r="218" ht="15.75" customHeight="1">
      <c r="K218" s="1"/>
      <c r="P218" s="18"/>
    </row>
    <row r="219" ht="15.75" customHeight="1">
      <c r="K219" s="1"/>
      <c r="P219" s="18"/>
    </row>
    <row r="220" ht="15.75" customHeight="1">
      <c r="K220" s="1"/>
      <c r="P220" s="18"/>
    </row>
    <row r="221" ht="15.75" customHeight="1">
      <c r="K221" s="1"/>
      <c r="P221" s="18"/>
    </row>
    <row r="222" ht="15.75" customHeight="1">
      <c r="K222" s="1"/>
      <c r="P222" s="18"/>
    </row>
    <row r="223" ht="15.75" customHeight="1">
      <c r="K223" s="1"/>
      <c r="P223" s="18"/>
    </row>
    <row r="224" ht="15.75" customHeight="1">
      <c r="K224" s="1"/>
      <c r="P224" s="18"/>
    </row>
    <row r="225" ht="15.75" customHeight="1">
      <c r="K225" s="1"/>
      <c r="P225" s="18"/>
    </row>
    <row r="226" ht="15.75" customHeight="1">
      <c r="K226" s="1"/>
      <c r="P226" s="18"/>
    </row>
    <row r="227" ht="15.75" customHeight="1">
      <c r="K227" s="1"/>
      <c r="P227" s="18"/>
    </row>
    <row r="228" ht="15.75" customHeight="1">
      <c r="K228" s="1"/>
      <c r="P228" s="18"/>
    </row>
    <row r="229" ht="15.75" customHeight="1">
      <c r="K229" s="1"/>
      <c r="P229" s="18"/>
    </row>
    <row r="230" ht="15.75" customHeight="1">
      <c r="K230" s="1"/>
      <c r="P230" s="18"/>
    </row>
    <row r="231" ht="15.75" customHeight="1">
      <c r="K231" s="1"/>
      <c r="P231" s="18"/>
    </row>
    <row r="232" ht="15.75" customHeight="1">
      <c r="K232" s="1"/>
      <c r="P232" s="18"/>
    </row>
    <row r="233" ht="15.75" customHeight="1">
      <c r="K233" s="1"/>
      <c r="P233" s="18"/>
    </row>
    <row r="234" ht="15.75" customHeight="1">
      <c r="K234" s="1"/>
      <c r="P234" s="18"/>
    </row>
    <row r="235" ht="15.75" customHeight="1">
      <c r="K235" s="1"/>
      <c r="P235" s="18"/>
    </row>
    <row r="236" ht="15.75" customHeight="1">
      <c r="K236" s="1"/>
      <c r="P236" s="18"/>
    </row>
    <row r="237" ht="15.75" customHeight="1">
      <c r="K237" s="1"/>
      <c r="P237" s="18"/>
    </row>
    <row r="238" ht="15.75" customHeight="1">
      <c r="K238" s="1"/>
      <c r="P238" s="18"/>
    </row>
    <row r="239" ht="15.75" customHeight="1">
      <c r="K239" s="1"/>
      <c r="P239" s="18"/>
    </row>
    <row r="240" ht="15.75" customHeight="1">
      <c r="K240" s="1"/>
      <c r="P240" s="18"/>
    </row>
    <row r="241" ht="15.75" customHeight="1">
      <c r="K241" s="1"/>
      <c r="P241" s="18"/>
    </row>
    <row r="242" ht="15.75" customHeight="1">
      <c r="K242" s="1"/>
      <c r="P242" s="18"/>
    </row>
    <row r="243" ht="15.75" customHeight="1">
      <c r="K243" s="1"/>
      <c r="P243" s="18"/>
    </row>
    <row r="244" ht="15.75" customHeight="1">
      <c r="K244" s="1"/>
      <c r="P244" s="18"/>
    </row>
    <row r="245" ht="15.75" customHeight="1">
      <c r="K245" s="1"/>
      <c r="P245" s="18"/>
    </row>
    <row r="246" ht="15.75" customHeight="1">
      <c r="K246" s="1"/>
      <c r="P246" s="18"/>
    </row>
    <row r="247" ht="15.75" customHeight="1">
      <c r="K247" s="1"/>
      <c r="P247" s="18"/>
    </row>
    <row r="248" ht="15.75" customHeight="1">
      <c r="K248" s="1"/>
      <c r="P248" s="18"/>
    </row>
    <row r="249" ht="15.75" customHeight="1">
      <c r="K249" s="1"/>
      <c r="P249" s="18"/>
    </row>
    <row r="250" ht="15.75" customHeight="1">
      <c r="K250" s="1"/>
      <c r="P250" s="18"/>
    </row>
    <row r="251" ht="15.75" customHeight="1">
      <c r="K251" s="1"/>
      <c r="P251" s="18"/>
    </row>
    <row r="252" ht="15.75" customHeight="1">
      <c r="K252" s="1"/>
      <c r="P252" s="18"/>
    </row>
    <row r="253" ht="15.75" customHeight="1">
      <c r="K253" s="1"/>
      <c r="P253" s="18"/>
    </row>
    <row r="254" ht="15.75" customHeight="1">
      <c r="K254" s="1"/>
      <c r="P254" s="18"/>
    </row>
    <row r="255" ht="15.75" customHeight="1">
      <c r="K255" s="1"/>
      <c r="P255" s="18"/>
    </row>
    <row r="256" ht="15.75" customHeight="1">
      <c r="K256" s="1"/>
      <c r="P256" s="18"/>
    </row>
    <row r="257" ht="15.75" customHeight="1">
      <c r="K257" s="1"/>
      <c r="P257" s="18"/>
    </row>
    <row r="258" ht="15.75" customHeight="1">
      <c r="K258" s="1"/>
      <c r="P258" s="18"/>
    </row>
    <row r="259" ht="15.75" customHeight="1">
      <c r="K259" s="1"/>
      <c r="P259" s="18"/>
    </row>
    <row r="260" ht="15.75" customHeight="1">
      <c r="K260" s="1"/>
      <c r="P260" s="18"/>
    </row>
    <row r="261" ht="15.75" customHeight="1">
      <c r="K261" s="1"/>
      <c r="P261" s="18"/>
    </row>
    <row r="262" ht="15.75" customHeight="1">
      <c r="K262" s="1"/>
      <c r="P262" s="18"/>
    </row>
    <row r="263" ht="15.75" customHeight="1">
      <c r="K263" s="1"/>
      <c r="P263" s="18"/>
    </row>
    <row r="264" ht="15.75" customHeight="1">
      <c r="K264" s="1"/>
      <c r="P264" s="18"/>
    </row>
    <row r="265" ht="15.75" customHeight="1">
      <c r="K265" s="1"/>
      <c r="P265" s="18"/>
    </row>
    <row r="266" ht="15.75" customHeight="1">
      <c r="K266" s="1"/>
      <c r="P266" s="18"/>
    </row>
    <row r="267" ht="15.75" customHeight="1">
      <c r="K267" s="1"/>
      <c r="P267" s="18"/>
    </row>
    <row r="268" ht="15.75" customHeight="1">
      <c r="K268" s="1"/>
      <c r="P268" s="18"/>
    </row>
    <row r="269" ht="15.75" customHeight="1">
      <c r="K269" s="1"/>
      <c r="P269" s="18"/>
    </row>
    <row r="270" ht="15.75" customHeight="1">
      <c r="K270" s="1"/>
      <c r="P270" s="18"/>
    </row>
    <row r="271" ht="15.75" customHeight="1">
      <c r="K271" s="1"/>
      <c r="P271" s="18"/>
    </row>
    <row r="272" ht="15.75" customHeight="1">
      <c r="K272" s="1"/>
      <c r="P272" s="18"/>
    </row>
    <row r="273" ht="15.75" customHeight="1">
      <c r="K273" s="1"/>
      <c r="P273" s="18"/>
    </row>
    <row r="274" ht="15.75" customHeight="1">
      <c r="K274" s="1"/>
      <c r="P274" s="18"/>
    </row>
    <row r="275" ht="15.75" customHeight="1">
      <c r="K275" s="1"/>
      <c r="P275" s="18"/>
    </row>
    <row r="276" ht="15.75" customHeight="1">
      <c r="K276" s="1"/>
      <c r="P276" s="18"/>
    </row>
    <row r="277" ht="15.75" customHeight="1">
      <c r="K277" s="1"/>
      <c r="P277" s="18"/>
    </row>
    <row r="278" ht="15.75" customHeight="1">
      <c r="K278" s="1"/>
      <c r="P278" s="18"/>
    </row>
    <row r="279" ht="15.75" customHeight="1">
      <c r="K279" s="1"/>
      <c r="P279" s="18"/>
    </row>
    <row r="280" ht="15.75" customHeight="1">
      <c r="K280" s="1"/>
      <c r="P280" s="18"/>
    </row>
    <row r="281" ht="15.75" customHeight="1">
      <c r="K281" s="1"/>
      <c r="P281" s="18"/>
    </row>
    <row r="282" ht="15.75" customHeight="1">
      <c r="K282" s="1"/>
      <c r="P282" s="18"/>
    </row>
    <row r="283" ht="15.75" customHeight="1">
      <c r="K283" s="1"/>
      <c r="P283" s="18"/>
    </row>
    <row r="284" ht="15.75" customHeight="1">
      <c r="K284" s="1"/>
      <c r="P284" s="18"/>
    </row>
    <row r="285" ht="15.75" customHeight="1">
      <c r="K285" s="1"/>
      <c r="P285" s="18"/>
    </row>
    <row r="286" ht="15.75" customHeight="1">
      <c r="K286" s="1"/>
      <c r="P286" s="18"/>
    </row>
    <row r="287" ht="15.75" customHeight="1">
      <c r="K287" s="1"/>
      <c r="P287" s="18"/>
    </row>
    <row r="288" ht="15.75" customHeight="1">
      <c r="K288" s="1"/>
      <c r="P288" s="18"/>
    </row>
    <row r="289" ht="15.75" customHeight="1">
      <c r="K289" s="1"/>
      <c r="P289" s="18"/>
    </row>
    <row r="290" ht="15.75" customHeight="1">
      <c r="K290" s="1"/>
      <c r="P290" s="18"/>
    </row>
    <row r="291" ht="15.75" customHeight="1">
      <c r="K291" s="1"/>
      <c r="P291" s="18"/>
    </row>
    <row r="292" ht="15.75" customHeight="1">
      <c r="K292" s="1"/>
      <c r="P292" s="18"/>
    </row>
    <row r="293" ht="15.75" customHeight="1">
      <c r="K293" s="1"/>
      <c r="P293" s="18"/>
    </row>
    <row r="294" ht="15.75" customHeight="1">
      <c r="K294" s="1"/>
      <c r="P294" s="18"/>
    </row>
    <row r="295" ht="15.75" customHeight="1">
      <c r="K295" s="1"/>
      <c r="P295" s="18"/>
    </row>
    <row r="296" ht="15.75" customHeight="1">
      <c r="K296" s="1"/>
      <c r="P296" s="18"/>
    </row>
    <row r="297" ht="15.75" customHeight="1">
      <c r="K297" s="1"/>
      <c r="P297" s="18"/>
    </row>
    <row r="298" ht="15.75" customHeight="1">
      <c r="K298" s="1"/>
      <c r="P298" s="18"/>
    </row>
    <row r="299" ht="15.75" customHeight="1">
      <c r="K299" s="1"/>
      <c r="P299" s="18"/>
    </row>
    <row r="300" ht="15.75" customHeight="1">
      <c r="K300" s="1"/>
      <c r="P300" s="18"/>
    </row>
    <row r="301" ht="15.75" customHeight="1">
      <c r="K301" s="1"/>
      <c r="P301" s="18"/>
    </row>
    <row r="302" ht="15.75" customHeight="1">
      <c r="K302" s="1"/>
      <c r="P302" s="18"/>
    </row>
    <row r="303" ht="15.75" customHeight="1">
      <c r="K303" s="1"/>
      <c r="P303" s="18"/>
    </row>
    <row r="304" ht="15.75" customHeight="1">
      <c r="K304" s="1"/>
      <c r="P304" s="18"/>
    </row>
    <row r="305" ht="15.75" customHeight="1">
      <c r="K305" s="1"/>
      <c r="P305" s="18"/>
    </row>
    <row r="306" ht="15.75" customHeight="1">
      <c r="K306" s="1"/>
      <c r="P306" s="18"/>
    </row>
    <row r="307" ht="15.75" customHeight="1">
      <c r="K307" s="1"/>
      <c r="P307" s="18"/>
    </row>
    <row r="308" ht="15.75" customHeight="1">
      <c r="K308" s="1"/>
      <c r="P308" s="18"/>
    </row>
    <row r="309" ht="15.75" customHeight="1">
      <c r="K309" s="1"/>
      <c r="P309" s="18"/>
    </row>
    <row r="310" ht="15.75" customHeight="1">
      <c r="K310" s="1"/>
      <c r="P310" s="18"/>
    </row>
    <row r="311" ht="15.75" customHeight="1">
      <c r="K311" s="1"/>
      <c r="P311" s="18"/>
    </row>
    <row r="312" ht="15.75" customHeight="1">
      <c r="K312" s="1"/>
      <c r="P312" s="18"/>
    </row>
    <row r="313" ht="15.75" customHeight="1">
      <c r="K313" s="1"/>
      <c r="P313" s="18"/>
    </row>
    <row r="314" ht="15.75" customHeight="1">
      <c r="K314" s="1"/>
      <c r="P314" s="18"/>
    </row>
    <row r="315" ht="15.75" customHeight="1">
      <c r="K315" s="1"/>
      <c r="P315" s="18"/>
    </row>
    <row r="316" ht="15.75" customHeight="1">
      <c r="K316" s="1"/>
      <c r="P316" s="18"/>
    </row>
    <row r="317" ht="15.75" customHeight="1">
      <c r="K317" s="1"/>
      <c r="P317" s="18"/>
    </row>
    <row r="318" ht="15.75" customHeight="1">
      <c r="K318" s="1"/>
      <c r="P318" s="18"/>
    </row>
    <row r="319" ht="15.75" customHeight="1">
      <c r="K319" s="1"/>
      <c r="P319" s="18"/>
    </row>
    <row r="320" ht="15.75" customHeight="1">
      <c r="K320" s="1"/>
      <c r="P320" s="18"/>
    </row>
    <row r="321" ht="15.75" customHeight="1">
      <c r="K321" s="1"/>
      <c r="P321" s="18"/>
    </row>
    <row r="322" ht="15.75" customHeight="1">
      <c r="K322" s="1"/>
      <c r="P322" s="18"/>
    </row>
    <row r="323" ht="15.75" customHeight="1">
      <c r="K323" s="1"/>
      <c r="P323" s="18"/>
    </row>
    <row r="324" ht="15.75" customHeight="1">
      <c r="K324" s="1"/>
      <c r="P324" s="18"/>
    </row>
    <row r="325" ht="15.75" customHeight="1">
      <c r="K325" s="1"/>
      <c r="P325" s="18"/>
    </row>
    <row r="326" ht="15.75" customHeight="1">
      <c r="K326" s="1"/>
      <c r="P326" s="18"/>
    </row>
    <row r="327" ht="15.75" customHeight="1">
      <c r="K327" s="1"/>
      <c r="P327" s="18"/>
    </row>
    <row r="328" ht="15.75" customHeight="1">
      <c r="K328" s="1"/>
      <c r="P328" s="18"/>
    </row>
    <row r="329" ht="15.75" customHeight="1">
      <c r="K329" s="1"/>
      <c r="P329" s="18"/>
    </row>
    <row r="330" ht="15.75" customHeight="1">
      <c r="K330" s="1"/>
      <c r="P330" s="18"/>
    </row>
    <row r="331" ht="15.75" customHeight="1">
      <c r="K331" s="1"/>
      <c r="P331" s="18"/>
    </row>
    <row r="332" ht="15.75" customHeight="1">
      <c r="K332" s="1"/>
      <c r="P332" s="18"/>
    </row>
    <row r="333" ht="15.75" customHeight="1">
      <c r="K333" s="1"/>
      <c r="P333" s="18"/>
    </row>
    <row r="334" ht="15.75" customHeight="1">
      <c r="K334" s="1"/>
      <c r="P334" s="18"/>
    </row>
    <row r="335" ht="15.75" customHeight="1">
      <c r="K335" s="1"/>
      <c r="P335" s="18"/>
    </row>
    <row r="336" ht="15.75" customHeight="1">
      <c r="K336" s="1"/>
      <c r="P336" s="18"/>
    </row>
    <row r="337" ht="15.75" customHeight="1">
      <c r="K337" s="1"/>
      <c r="P337" s="18"/>
    </row>
    <row r="338" ht="15.75" customHeight="1">
      <c r="K338" s="1"/>
      <c r="P338" s="18"/>
    </row>
    <row r="339" ht="15.75" customHeight="1">
      <c r="K339" s="1"/>
      <c r="P339" s="18"/>
    </row>
    <row r="340" ht="15.75" customHeight="1">
      <c r="K340" s="1"/>
      <c r="P340" s="18"/>
    </row>
    <row r="341" ht="15.75" customHeight="1">
      <c r="K341" s="1"/>
      <c r="P341" s="18"/>
    </row>
    <row r="342" ht="15.75" customHeight="1">
      <c r="K342" s="1"/>
      <c r="P342" s="18"/>
    </row>
    <row r="343" ht="15.75" customHeight="1">
      <c r="K343" s="1"/>
      <c r="P343" s="18"/>
    </row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79.25"/>
    <col customWidth="1" min="2" max="2" width="28.38"/>
    <col customWidth="1" min="3" max="5" width="12.63"/>
    <col customWidth="1" min="6" max="6" width="40.38"/>
    <col customWidth="1" min="8" max="8" width="45.25"/>
    <col customWidth="1" min="10" max="10" width="20.88"/>
    <col customWidth="1" min="15" max="15" width="20.25"/>
    <col customWidth="1" min="18" max="18" width="74.13"/>
    <col customWidth="1" min="19" max="19" width="25.38"/>
    <col customWidth="1" min="20" max="20" width="21.25"/>
  </cols>
  <sheetData>
    <row r="1" ht="15.75" customHeight="1">
      <c r="A1" s="17" t="s">
        <v>925</v>
      </c>
      <c r="B1" s="2" t="s">
        <v>1812</v>
      </c>
      <c r="F1" s="2" t="s">
        <v>1813</v>
      </c>
      <c r="H1" s="16" t="s">
        <v>9</v>
      </c>
      <c r="I1" s="2" t="s">
        <v>1814</v>
      </c>
      <c r="J1" s="2" t="s">
        <v>1815</v>
      </c>
      <c r="L1" s="2" t="s">
        <v>929</v>
      </c>
      <c r="N1" s="20" t="s">
        <v>1814</v>
      </c>
      <c r="O1" s="20" t="s">
        <v>1815</v>
      </c>
      <c r="P1" s="20" t="s">
        <v>929</v>
      </c>
      <c r="R1" s="2" t="s">
        <v>1816</v>
      </c>
      <c r="S1" s="21" t="s">
        <v>1817</v>
      </c>
      <c r="T1" s="22" t="s">
        <v>1818</v>
      </c>
      <c r="U1" s="23" t="s">
        <v>1819</v>
      </c>
      <c r="V1" s="24" t="s">
        <v>1820</v>
      </c>
      <c r="X1" s="25">
        <v>1.0</v>
      </c>
      <c r="Y1" s="25">
        <v>2.0</v>
      </c>
    </row>
    <row r="2" ht="15.75" customHeight="1">
      <c r="A2" s="19" t="s">
        <v>711</v>
      </c>
      <c r="B2" s="2" t="str">
        <f>IFERROR(__xludf.DUMMYFUNCTION("SPLIT(A2,""C"")"),"Website : www.abashan.com ")</f>
        <v>Website : www.abashan.com </v>
      </c>
      <c r="C2" s="2" t="str">
        <f>IFERROR(__xludf.DUMMYFUNCTION("""COMPUTED_VALUE"""),"ontact: +88-02-8901185, 8901180")</f>
        <v>ontact: +88-02-8901185, 8901180</v>
      </c>
      <c r="F2" s="26" t="s">
        <v>1821</v>
      </c>
      <c r="H2" s="14" t="s">
        <v>1822</v>
      </c>
      <c r="I2" s="2">
        <f>IFERROR(__xludf.DUMMYFUNCTION("SPLIT(H2,"" "")"),3.0)</f>
        <v>3</v>
      </c>
      <c r="J2" s="2">
        <f>IFERROR(__xludf.DUMMYFUNCTION("""COMPUTED_VALUE"""),2.0)</f>
        <v>2</v>
      </c>
      <c r="K2" s="2" t="str">
        <f>IFERROR(__xludf.DUMMYFUNCTION("""COMPUTED_VALUE"""),"Total")</f>
        <v>Total</v>
      </c>
      <c r="L2" s="2">
        <f>IFERROR(__xludf.DUMMYFUNCTION("""COMPUTED_VALUE"""),5.0)</f>
        <v>5</v>
      </c>
      <c r="N2" s="14">
        <v>3.0</v>
      </c>
      <c r="O2" s="14">
        <v>2.0</v>
      </c>
      <c r="P2" s="14">
        <f t="shared" ref="P2:P141" si="1">N2+O2</f>
        <v>5</v>
      </c>
      <c r="R2" s="2" t="s">
        <v>1823</v>
      </c>
      <c r="S2" s="2" t="str">
        <f t="shared" ref="S2:S143" si="2">RIGHT(R2,25)</f>
        <v>oad, Khilkhet, Dhaka-1229</v>
      </c>
      <c r="T2" s="27" t="str">
        <f>IFERROR(__xludf.DUMMYFUNCTION("SPLIT(S2,"","")"),"oad")</f>
        <v>oad</v>
      </c>
      <c r="U2" s="1" t="str">
        <f>IFERROR(__xludf.DUMMYFUNCTION("""COMPUTED_VALUE""")," Khilkhet")</f>
        <v> Khilkhet</v>
      </c>
      <c r="V2" s="28" t="str">
        <f>IFERROR(__xludf.DUMMYFUNCTION("""COMPUTED_VALUE""")," Dhaka-1229")</f>
        <v> Dhaka-1229</v>
      </c>
      <c r="X2" s="29">
        <v>1977.0</v>
      </c>
      <c r="Y2" s="30" t="s">
        <v>1824</v>
      </c>
    </row>
    <row r="3" ht="15.75" customHeight="1">
      <c r="A3" s="19" t="s">
        <v>936</v>
      </c>
      <c r="B3" s="2" t="str">
        <f>IFERROR(__xludf.DUMMYFUNCTION("SPLIT(A3,""C"")"),"website:")</f>
        <v>website:</v>
      </c>
      <c r="H3" s="14" t="s">
        <v>1825</v>
      </c>
      <c r="I3" s="2">
        <f>IFERROR(__xludf.DUMMYFUNCTION("SPLIT(H3,"" "")"),4.0)</f>
        <v>4</v>
      </c>
      <c r="J3" s="2">
        <f>IFERROR(__xludf.DUMMYFUNCTION("""COMPUTED_VALUE"""),1.0)</f>
        <v>1</v>
      </c>
      <c r="K3" s="2" t="str">
        <f>IFERROR(__xludf.DUMMYFUNCTION("""COMPUTED_VALUE"""),"Total")</f>
        <v>Total</v>
      </c>
      <c r="L3" s="2">
        <f>IFERROR(__xludf.DUMMYFUNCTION("""COMPUTED_VALUE"""),5.0)</f>
        <v>5</v>
      </c>
      <c r="N3" s="14">
        <v>4.0</v>
      </c>
      <c r="O3" s="14">
        <v>1.0</v>
      </c>
      <c r="P3" s="14">
        <f t="shared" si="1"/>
        <v>5</v>
      </c>
      <c r="R3" s="2" t="s">
        <v>1826</v>
      </c>
      <c r="S3" s="2" t="str">
        <f t="shared" si="2"/>
        <v>or#7, Uttara , Dhaka 1230</v>
      </c>
      <c r="T3" s="27" t="str">
        <f>IFERROR(__xludf.DUMMYFUNCTION("SPLIT(S3,"","")"),"or#7")</f>
        <v>or#7</v>
      </c>
      <c r="U3" s="1" t="str">
        <f>IFERROR(__xludf.DUMMYFUNCTION("""COMPUTED_VALUE""")," Uttara ")</f>
        <v> Uttara </v>
      </c>
      <c r="V3" s="28" t="str">
        <f>IFERROR(__xludf.DUMMYFUNCTION("""COMPUTED_VALUE""")," Dhaka 1230")</f>
        <v> Dhaka 1230</v>
      </c>
      <c r="X3" s="30" t="s">
        <v>1827</v>
      </c>
    </row>
    <row r="4" ht="15.75" customHeight="1">
      <c r="A4" s="19" t="s">
        <v>723</v>
      </c>
      <c r="B4" s="2" t="str">
        <f>IFERROR(__xludf.DUMMYFUNCTION("SPLIT(A4,""C"")"),"Website : www.akritybd.com ")</f>
        <v>Website : www.akritybd.com </v>
      </c>
      <c r="C4" s="2" t="str">
        <f>IFERROR(__xludf.DUMMYFUNCTION("""COMPUTED_VALUE"""),"ontact: +88-02-9111557")</f>
        <v>ontact: +88-02-9111557</v>
      </c>
      <c r="F4" s="26" t="s">
        <v>1828</v>
      </c>
      <c r="H4" s="14" t="s">
        <v>1829</v>
      </c>
      <c r="I4" s="2">
        <f>IFERROR(__xludf.DUMMYFUNCTION("SPLIT(H4,"" "")"),1.0)</f>
        <v>1</v>
      </c>
      <c r="J4" s="2">
        <f>IFERROR(__xludf.DUMMYFUNCTION("""COMPUTED_VALUE"""),7.0)</f>
        <v>7</v>
      </c>
      <c r="K4" s="2" t="str">
        <f>IFERROR(__xludf.DUMMYFUNCTION("""COMPUTED_VALUE"""),"Total")</f>
        <v>Total</v>
      </c>
      <c r="L4" s="2">
        <f>IFERROR(__xludf.DUMMYFUNCTION("""COMPUTED_VALUE"""),8.0)</f>
        <v>8</v>
      </c>
      <c r="N4" s="14">
        <v>1.0</v>
      </c>
      <c r="O4" s="14">
        <v>7.0</v>
      </c>
      <c r="P4" s="14">
        <f t="shared" si="1"/>
        <v>8</v>
      </c>
      <c r="R4" s="2" t="s">
        <v>1830</v>
      </c>
      <c r="S4" s="2" t="str">
        <f t="shared" si="2"/>
        <v>, Road-2, Shyamoli, Dhaka</v>
      </c>
      <c r="T4" s="27" t="str">
        <f>IFERROR(__xludf.DUMMYFUNCTION("SPLIT(S4,"","")")," Road-2")</f>
        <v> Road-2</v>
      </c>
      <c r="U4" s="1" t="str">
        <f>IFERROR(__xludf.DUMMYFUNCTION("""COMPUTED_VALUE""")," Shyamoli")</f>
        <v> Shyamoli</v>
      </c>
      <c r="V4" s="28" t="str">
        <f>IFERROR(__xludf.DUMMYFUNCTION("""COMPUTED_VALUE""")," Dhaka")</f>
        <v> Dhaka</v>
      </c>
      <c r="X4" s="30">
        <v>1978.0</v>
      </c>
      <c r="Y4" s="30" t="s">
        <v>1824</v>
      </c>
    </row>
    <row r="5" ht="15.75" customHeight="1">
      <c r="A5" s="19" t="s">
        <v>936</v>
      </c>
      <c r="B5" s="2" t="str">
        <f>IFERROR(__xludf.DUMMYFUNCTION("SPLIT(A5,""C"")"),"website:")</f>
        <v>website:</v>
      </c>
      <c r="H5" s="14" t="s">
        <v>1831</v>
      </c>
      <c r="I5" s="2">
        <f>IFERROR(__xludf.DUMMYFUNCTION("SPLIT(H5,"" "")"),1.0)</f>
        <v>1</v>
      </c>
      <c r="J5" s="2">
        <f>IFERROR(__xludf.DUMMYFUNCTION("""COMPUTED_VALUE"""),3.0)</f>
        <v>3</v>
      </c>
      <c r="K5" s="2" t="str">
        <f>IFERROR(__xludf.DUMMYFUNCTION("""COMPUTED_VALUE"""),"Total")</f>
        <v>Total</v>
      </c>
      <c r="L5" s="2">
        <f>IFERROR(__xludf.DUMMYFUNCTION("""COMPUTED_VALUE"""),4.0)</f>
        <v>4</v>
      </c>
      <c r="N5" s="14">
        <v>1.0</v>
      </c>
      <c r="O5" s="14">
        <v>3.0</v>
      </c>
      <c r="P5" s="14">
        <f t="shared" si="1"/>
        <v>4</v>
      </c>
      <c r="R5" s="2" t="s">
        <v>1832</v>
      </c>
      <c r="S5" s="2" t="str">
        <f t="shared" si="2"/>
        <v>S, Mohakhali, Dhaka 1206.</v>
      </c>
      <c r="T5" s="27" t="str">
        <f>IFERROR(__xludf.DUMMYFUNCTION("SPLIT(S5,"","")"),"S")</f>
        <v>S</v>
      </c>
      <c r="U5" s="1" t="str">
        <f>IFERROR(__xludf.DUMMYFUNCTION("""COMPUTED_VALUE""")," Mohakhali")</f>
        <v> Mohakhali</v>
      </c>
      <c r="V5" s="28" t="str">
        <f>IFERROR(__xludf.DUMMYFUNCTION("""COMPUTED_VALUE""")," Dhaka 1206.")</f>
        <v> Dhaka 1206.</v>
      </c>
      <c r="X5" s="30" t="s">
        <v>1833</v>
      </c>
    </row>
    <row r="6" ht="15.75" customHeight="1">
      <c r="A6" s="19" t="s">
        <v>735</v>
      </c>
      <c r="B6" s="2" t="str">
        <f>IFERROR(__xludf.DUMMYFUNCTION("SPLIT(A6,""C"")"),"Website : ")</f>
        <v>Website : </v>
      </c>
      <c r="C6" s="2" t="str">
        <f>IFERROR(__xludf.DUMMYFUNCTION("""COMPUTED_VALUE"""),"ontact: +88-02-8117462")</f>
        <v>ontact: +88-02-8117462</v>
      </c>
      <c r="F6" s="2" t="s">
        <v>1194</v>
      </c>
      <c r="H6" s="14" t="s">
        <v>1834</v>
      </c>
      <c r="I6" s="2">
        <f>IFERROR(__xludf.DUMMYFUNCTION("SPLIT(H6,"" "")"),5.0)</f>
        <v>5</v>
      </c>
      <c r="J6" s="2">
        <f>IFERROR(__xludf.DUMMYFUNCTION("""COMPUTED_VALUE"""),3.0)</f>
        <v>3</v>
      </c>
      <c r="K6" s="2" t="str">
        <f>IFERROR(__xludf.DUMMYFUNCTION("""COMPUTED_VALUE"""),"Total")</f>
        <v>Total</v>
      </c>
      <c r="L6" s="2">
        <f>IFERROR(__xludf.DUMMYFUNCTION("""COMPUTED_VALUE"""),8.0)</f>
        <v>8</v>
      </c>
      <c r="N6" s="14">
        <v>5.0</v>
      </c>
      <c r="O6" s="14">
        <v>3.0</v>
      </c>
      <c r="P6" s="14">
        <f t="shared" si="1"/>
        <v>8</v>
      </c>
      <c r="R6" s="2" t="s">
        <v>1835</v>
      </c>
      <c r="S6" s="2" t="str">
        <f t="shared" si="2"/>
        <v>7A, Dhanmondi, Dhaka-1209</v>
      </c>
      <c r="T6" s="27" t="str">
        <f>IFERROR(__xludf.DUMMYFUNCTION("SPLIT(S6,"","")"),"7A")</f>
        <v>7A</v>
      </c>
      <c r="U6" s="1" t="str">
        <f>IFERROR(__xludf.DUMMYFUNCTION("""COMPUTED_VALUE""")," Dhanmondi")</f>
        <v> Dhanmondi</v>
      </c>
      <c r="V6" s="28" t="str">
        <f>IFERROR(__xludf.DUMMYFUNCTION("""COMPUTED_VALUE""")," Dhaka-1209")</f>
        <v> Dhaka-1209</v>
      </c>
      <c r="X6" s="30">
        <v>1982.0</v>
      </c>
      <c r="Y6" s="30" t="s">
        <v>1836</v>
      </c>
    </row>
    <row r="7" ht="15.75" customHeight="1">
      <c r="A7" s="19" t="s">
        <v>936</v>
      </c>
      <c r="B7" s="2" t="str">
        <f>IFERROR(__xludf.DUMMYFUNCTION("SPLIT(A7,""C"")"),"website:")</f>
        <v>website:</v>
      </c>
      <c r="H7" s="14" t="s">
        <v>1822</v>
      </c>
      <c r="I7" s="2">
        <f>IFERROR(__xludf.DUMMYFUNCTION("SPLIT(H7,"" "")"),3.0)</f>
        <v>3</v>
      </c>
      <c r="J7" s="2">
        <f>IFERROR(__xludf.DUMMYFUNCTION("""COMPUTED_VALUE"""),2.0)</f>
        <v>2</v>
      </c>
      <c r="K7" s="2" t="str">
        <f>IFERROR(__xludf.DUMMYFUNCTION("""COMPUTED_VALUE"""),"Total")</f>
        <v>Total</v>
      </c>
      <c r="L7" s="2">
        <f>IFERROR(__xludf.DUMMYFUNCTION("""COMPUTED_VALUE"""),5.0)</f>
        <v>5</v>
      </c>
      <c r="N7" s="14">
        <v>3.0</v>
      </c>
      <c r="O7" s="14">
        <v>2.0</v>
      </c>
      <c r="P7" s="14">
        <f t="shared" si="1"/>
        <v>5</v>
      </c>
      <c r="R7" s="2" t="s">
        <v>1837</v>
      </c>
      <c r="S7" s="2" t="str">
        <f t="shared" si="2"/>
        <v>West Dhanmondi,Dhaka-1209</v>
      </c>
      <c r="T7" s="27" t="str">
        <f>IFERROR(__xludf.DUMMYFUNCTION("SPLIT(S7,"","")"),"West Dhanmondi")</f>
        <v>West Dhanmondi</v>
      </c>
      <c r="U7" s="1" t="str">
        <f>IFERROR(__xludf.DUMMYFUNCTION("""COMPUTED_VALUE"""),"Dhaka-1209")</f>
        <v>Dhaka-1209</v>
      </c>
      <c r="V7" s="28"/>
      <c r="X7" s="30" t="s">
        <v>1838</v>
      </c>
    </row>
    <row r="8" ht="15.75" customHeight="1">
      <c r="A8" s="19" t="s">
        <v>748</v>
      </c>
      <c r="B8" s="2" t="str">
        <f>IFERROR(__xludf.DUMMYFUNCTION("SPLIT(A8,""C"")"),"Website : www.archeground.com ")</f>
        <v>Website : www.archeground.com </v>
      </c>
      <c r="C8" s="2" t="str">
        <f>IFERROR(__xludf.DUMMYFUNCTION("""COMPUTED_VALUE"""),"ontact: +88-02-9138516")</f>
        <v>ontact: +88-02-9138516</v>
      </c>
      <c r="F8" s="26" t="s">
        <v>1839</v>
      </c>
      <c r="H8" s="14" t="s">
        <v>1840</v>
      </c>
      <c r="I8" s="2">
        <f>IFERROR(__xludf.DUMMYFUNCTION("SPLIT(H8,"" "")"),6.0)</f>
        <v>6</v>
      </c>
      <c r="J8" s="2">
        <f>IFERROR(__xludf.DUMMYFUNCTION("""COMPUTED_VALUE"""),3.0)</f>
        <v>3</v>
      </c>
      <c r="K8" s="2" t="str">
        <f>IFERROR(__xludf.DUMMYFUNCTION("""COMPUTED_VALUE"""),"Total")</f>
        <v>Total</v>
      </c>
      <c r="L8" s="2">
        <f>IFERROR(__xludf.DUMMYFUNCTION("""COMPUTED_VALUE"""),9.0)</f>
        <v>9</v>
      </c>
      <c r="N8" s="14">
        <v>6.0</v>
      </c>
      <c r="O8" s="14">
        <v>3.0</v>
      </c>
      <c r="P8" s="14">
        <f t="shared" si="1"/>
        <v>9</v>
      </c>
      <c r="R8" s="2" t="s">
        <v>1841</v>
      </c>
      <c r="S8" s="2" t="str">
        <f t="shared" si="2"/>
        <v>us, Kalabagan, Dhaka-1205</v>
      </c>
      <c r="T8" s="27" t="str">
        <f>IFERROR(__xludf.DUMMYFUNCTION("SPLIT(S8,"","")"),"us")</f>
        <v>us</v>
      </c>
      <c r="U8" s="1" t="str">
        <f>IFERROR(__xludf.DUMMYFUNCTION("""COMPUTED_VALUE""")," Kalabagan")</f>
        <v> Kalabagan</v>
      </c>
      <c r="V8" s="28" t="str">
        <f>IFERROR(__xludf.DUMMYFUNCTION("""COMPUTED_VALUE""")," Dhaka-1205")</f>
        <v> Dhaka-1205</v>
      </c>
      <c r="X8" s="30">
        <v>1984.0</v>
      </c>
      <c r="Y8" s="30" t="s">
        <v>1836</v>
      </c>
    </row>
    <row r="9" ht="15.75" customHeight="1">
      <c r="A9" s="19" t="s">
        <v>936</v>
      </c>
      <c r="B9" s="2" t="str">
        <f>IFERROR(__xludf.DUMMYFUNCTION("SPLIT(A9,""C"")"),"website:")</f>
        <v>website:</v>
      </c>
      <c r="H9" s="14" t="s">
        <v>1842</v>
      </c>
      <c r="I9" s="2">
        <f>IFERROR(__xludf.DUMMYFUNCTION("SPLIT(H9,"" "")"),4.0)</f>
        <v>4</v>
      </c>
      <c r="J9" s="2">
        <f>IFERROR(__xludf.DUMMYFUNCTION("""COMPUTED_VALUE"""),1.0)</f>
        <v>1</v>
      </c>
      <c r="K9" s="2" t="str">
        <f>IFERROR(__xludf.DUMMYFUNCTION("""COMPUTED_VALUE"""),"Total")</f>
        <v>Total</v>
      </c>
      <c r="L9" s="2">
        <f>IFERROR(__xludf.DUMMYFUNCTION("""COMPUTED_VALUE"""),5.0)</f>
        <v>5</v>
      </c>
      <c r="N9" s="14">
        <v>4.0</v>
      </c>
      <c r="O9" s="14">
        <v>1.0</v>
      </c>
      <c r="P9" s="14">
        <f t="shared" si="1"/>
        <v>5</v>
      </c>
      <c r="R9" s="2" t="s">
        <v>1843</v>
      </c>
      <c r="S9" s="2" t="str">
        <f t="shared" si="2"/>
        <v> 32/D, Road-10, Banani</v>
      </c>
      <c r="T9" s="27" t="str">
        <f>IFERROR(__xludf.DUMMYFUNCTION("SPLIT(S9,"","")")," 32/D")</f>
        <v> 32/D</v>
      </c>
      <c r="U9" s="1" t="str">
        <f>IFERROR(__xludf.DUMMYFUNCTION("""COMPUTED_VALUE""")," Road-10")</f>
        <v> Road-10</v>
      </c>
      <c r="V9" s="28" t="str">
        <f>IFERROR(__xludf.DUMMYFUNCTION("""COMPUTED_VALUE""")," Banani")</f>
        <v> Banani</v>
      </c>
      <c r="X9" s="30" t="s">
        <v>1844</v>
      </c>
    </row>
    <row r="10" ht="15.75" customHeight="1">
      <c r="A10" s="19" t="s">
        <v>936</v>
      </c>
      <c r="B10" s="2" t="str">
        <f>IFERROR(__xludf.DUMMYFUNCTION("SPLIT(A10,""C"")"),"website:")</f>
        <v>website:</v>
      </c>
      <c r="H10" s="14" t="s">
        <v>1845</v>
      </c>
      <c r="I10" s="2">
        <f>IFERROR(__xludf.DUMMYFUNCTION("SPLIT(H10,"" "")"),1.0)</f>
        <v>1</v>
      </c>
      <c r="J10" s="2">
        <f>IFERROR(__xludf.DUMMYFUNCTION("""COMPUTED_VALUE"""),5.0)</f>
        <v>5</v>
      </c>
      <c r="K10" s="2" t="str">
        <f>IFERROR(__xludf.DUMMYFUNCTION("""COMPUTED_VALUE"""),"Total")</f>
        <v>Total</v>
      </c>
      <c r="L10" s="2">
        <f>IFERROR(__xludf.DUMMYFUNCTION("""COMPUTED_VALUE"""),6.0)</f>
        <v>6</v>
      </c>
      <c r="N10" s="14">
        <v>1.0</v>
      </c>
      <c r="O10" s="14">
        <v>5.0</v>
      </c>
      <c r="P10" s="14">
        <f t="shared" si="1"/>
        <v>6</v>
      </c>
      <c r="R10" s="2" t="s">
        <v>1846</v>
      </c>
      <c r="S10" s="2" t="str">
        <f t="shared" si="2"/>
        <v># C, Lalmatia, Dhaka-1207</v>
      </c>
      <c r="T10" s="27" t="str">
        <f>IFERROR(__xludf.DUMMYFUNCTION("SPLIT(S10,"","")"),"# C")</f>
        <v># C</v>
      </c>
      <c r="U10" s="1" t="str">
        <f>IFERROR(__xludf.DUMMYFUNCTION("""COMPUTED_VALUE""")," Lalmatia")</f>
        <v> Lalmatia</v>
      </c>
      <c r="V10" s="28" t="str">
        <f>IFERROR(__xludf.DUMMYFUNCTION("""COMPUTED_VALUE""")," Dhaka-1207")</f>
        <v> Dhaka-1207</v>
      </c>
      <c r="X10" s="30">
        <v>1985.0</v>
      </c>
      <c r="Y10" s="30" t="s">
        <v>1847</v>
      </c>
    </row>
    <row r="11" ht="15.75" customHeight="1">
      <c r="A11" s="19" t="s">
        <v>936</v>
      </c>
      <c r="B11" s="2" t="str">
        <f>IFERROR(__xludf.DUMMYFUNCTION("SPLIT(A11,""C"")"),"website:")</f>
        <v>website:</v>
      </c>
      <c r="H11" s="14" t="s">
        <v>1848</v>
      </c>
      <c r="I11" s="2">
        <f>IFERROR(__xludf.DUMMYFUNCTION("SPLIT(H11,"" "")"),3.0)</f>
        <v>3</v>
      </c>
      <c r="J11" s="2">
        <f>IFERROR(__xludf.DUMMYFUNCTION("""COMPUTED_VALUE"""),1.0)</f>
        <v>1</v>
      </c>
      <c r="K11" s="2" t="str">
        <f>IFERROR(__xludf.DUMMYFUNCTION("""COMPUTED_VALUE"""),"Total")</f>
        <v>Total</v>
      </c>
      <c r="L11" s="2">
        <f>IFERROR(__xludf.DUMMYFUNCTION("""COMPUTED_VALUE"""),4.0)</f>
        <v>4</v>
      </c>
      <c r="N11" s="14">
        <v>3.0</v>
      </c>
      <c r="O11" s="14">
        <v>1.0</v>
      </c>
      <c r="P11" s="14">
        <f t="shared" si="1"/>
        <v>4</v>
      </c>
      <c r="R11" s="2" t="s">
        <v>1849</v>
      </c>
      <c r="S11" s="2" t="str">
        <f t="shared" si="2"/>
        <v> Block-E, Lalmatia, Dhaka</v>
      </c>
      <c r="T11" s="27" t="str">
        <f>IFERROR(__xludf.DUMMYFUNCTION("SPLIT(S11,"","")")," Block-E")</f>
        <v> Block-E</v>
      </c>
      <c r="U11" s="1" t="str">
        <f>IFERROR(__xludf.DUMMYFUNCTION("""COMPUTED_VALUE""")," Lalmatia")</f>
        <v> Lalmatia</v>
      </c>
      <c r="V11" s="28" t="str">
        <f>IFERROR(__xludf.DUMMYFUNCTION("""COMPUTED_VALUE""")," Dhaka")</f>
        <v> Dhaka</v>
      </c>
      <c r="X11" s="30" t="s">
        <v>1850</v>
      </c>
    </row>
    <row r="12" ht="15.75" customHeight="1">
      <c r="A12" s="19" t="s">
        <v>774</v>
      </c>
      <c r="B12" s="2" t="str">
        <f>IFERROR(__xludf.DUMMYFUNCTION("SPLIT(A12,""C"")"),"Website : www.archiworks.bd.wix.com/Home ")</f>
        <v>Website : www.archiworks.bd.wix.com/Home </v>
      </c>
      <c r="C12" s="2" t="str">
        <f>IFERROR(__xludf.DUMMYFUNCTION("""COMPUTED_VALUE"""),"ontact:")</f>
        <v>ontact:</v>
      </c>
      <c r="F12" s="26" t="s">
        <v>1851</v>
      </c>
      <c r="H12" s="14" t="s">
        <v>1852</v>
      </c>
      <c r="I12" s="2">
        <f>IFERROR(__xludf.DUMMYFUNCTION("SPLIT(H12,"" "")"),4.0)</f>
        <v>4</v>
      </c>
      <c r="J12" s="2">
        <f>IFERROR(__xludf.DUMMYFUNCTION("""COMPUTED_VALUE"""),2.0)</f>
        <v>2</v>
      </c>
      <c r="K12" s="2" t="str">
        <f>IFERROR(__xludf.DUMMYFUNCTION("""COMPUTED_VALUE"""),"Total")</f>
        <v>Total</v>
      </c>
      <c r="L12" s="2">
        <f>IFERROR(__xludf.DUMMYFUNCTION("""COMPUTED_VALUE"""),6.0)</f>
        <v>6</v>
      </c>
      <c r="N12" s="14">
        <v>4.0</v>
      </c>
      <c r="O12" s="14">
        <v>2.0</v>
      </c>
      <c r="P12" s="14">
        <f t="shared" si="1"/>
        <v>6</v>
      </c>
      <c r="R12" s="2" t="s">
        <v>1853</v>
      </c>
      <c r="S12" s="2" t="str">
        <f t="shared" si="2"/>
        <v>n, Gulshan 01, Dhaka-1212</v>
      </c>
      <c r="T12" s="27" t="str">
        <f>IFERROR(__xludf.DUMMYFUNCTION("SPLIT(S12,"","")"),"n")</f>
        <v>n</v>
      </c>
      <c r="U12" s="1" t="str">
        <f>IFERROR(__xludf.DUMMYFUNCTION("""COMPUTED_VALUE""")," Gulshan 01")</f>
        <v> Gulshan 01</v>
      </c>
      <c r="V12" s="28" t="str">
        <f>IFERROR(__xludf.DUMMYFUNCTION("""COMPUTED_VALUE""")," Dhaka-1212")</f>
        <v> Dhaka-1212</v>
      </c>
      <c r="X12" s="30">
        <v>1986.0</v>
      </c>
      <c r="Y12" s="30" t="s">
        <v>1847</v>
      </c>
    </row>
    <row r="13" ht="15.75" customHeight="1">
      <c r="A13" s="19" t="s">
        <v>780</v>
      </c>
      <c r="B13" s="2" t="str">
        <f>IFERROR(__xludf.DUMMYFUNCTION("SPLIT(A13,""C"")"),"Website : www.archsel.com ")</f>
        <v>Website : www.archsel.com </v>
      </c>
      <c r="C13" s="2" t="str">
        <f>IFERROR(__xludf.DUMMYFUNCTION("""COMPUTED_VALUE"""),"ontact: +88-02-8124698, 8116617")</f>
        <v>ontact: +88-02-8124698, 8116617</v>
      </c>
      <c r="F13" s="26" t="s">
        <v>1854</v>
      </c>
      <c r="H13" s="14" t="s">
        <v>1855</v>
      </c>
      <c r="I13" s="2">
        <f>IFERROR(__xludf.DUMMYFUNCTION("SPLIT(H13,"" "")"),2.0)</f>
        <v>2</v>
      </c>
      <c r="J13" s="2">
        <f>IFERROR(__xludf.DUMMYFUNCTION("""COMPUTED_VALUE"""),6.0)</f>
        <v>6</v>
      </c>
      <c r="K13" s="2" t="str">
        <f>IFERROR(__xludf.DUMMYFUNCTION("""COMPUTED_VALUE"""),"Total")</f>
        <v>Total</v>
      </c>
      <c r="L13" s="2">
        <f>IFERROR(__xludf.DUMMYFUNCTION("""COMPUTED_VALUE"""),8.0)</f>
        <v>8</v>
      </c>
      <c r="N13" s="14">
        <v>2.0</v>
      </c>
      <c r="O13" s="14">
        <v>6.0</v>
      </c>
      <c r="P13" s="14">
        <f t="shared" si="1"/>
        <v>8</v>
      </c>
      <c r="R13" s="2" t="s">
        <v>1856</v>
      </c>
      <c r="S13" s="2" t="str">
        <f t="shared" si="2"/>
        <v>siculture H/S, Dhaka-1207</v>
      </c>
      <c r="T13" s="27" t="str">
        <f>IFERROR(__xludf.DUMMYFUNCTION("SPLIT(S13,"","")"),"siculture H/S")</f>
        <v>siculture H/S</v>
      </c>
      <c r="U13" s="1" t="str">
        <f>IFERROR(__xludf.DUMMYFUNCTION("""COMPUTED_VALUE""")," Dhaka-1207")</f>
        <v> Dhaka-1207</v>
      </c>
      <c r="V13" s="28"/>
      <c r="X13" s="30" t="s">
        <v>1857</v>
      </c>
    </row>
    <row r="14" ht="15.75" customHeight="1">
      <c r="A14" s="19" t="s">
        <v>936</v>
      </c>
      <c r="B14" s="2" t="str">
        <f>IFERROR(__xludf.DUMMYFUNCTION("SPLIT(A14,""C"")"),"website:")</f>
        <v>website:</v>
      </c>
      <c r="H14" s="14" t="s">
        <v>1858</v>
      </c>
      <c r="I14" s="2">
        <f>IFERROR(__xludf.DUMMYFUNCTION("SPLIT(H14,"" "")"),1.0)</f>
        <v>1</v>
      </c>
      <c r="J14" s="2">
        <f>IFERROR(__xludf.DUMMYFUNCTION("""COMPUTED_VALUE"""),4.0)</f>
        <v>4</v>
      </c>
      <c r="K14" s="2" t="str">
        <f>IFERROR(__xludf.DUMMYFUNCTION("""COMPUTED_VALUE"""),"Total")</f>
        <v>Total</v>
      </c>
      <c r="L14" s="2">
        <f>IFERROR(__xludf.DUMMYFUNCTION("""COMPUTED_VALUE"""),5.0)</f>
        <v>5</v>
      </c>
      <c r="N14" s="14">
        <v>1.0</v>
      </c>
      <c r="O14" s="14">
        <v>4.0</v>
      </c>
      <c r="P14" s="14">
        <f t="shared" si="1"/>
        <v>5</v>
      </c>
      <c r="R14" s="2" t="s">
        <v>1859</v>
      </c>
      <c r="S14" s="2" t="str">
        <f t="shared" si="2"/>
        <v>4, Green Road, Dhaka-1205</v>
      </c>
      <c r="T14" s="27">
        <f>IFERROR(__xludf.DUMMYFUNCTION("SPLIT(S14,"","")"),4.0)</f>
        <v>4</v>
      </c>
      <c r="U14" s="1" t="str">
        <f>IFERROR(__xludf.DUMMYFUNCTION("""COMPUTED_VALUE""")," Green Road")</f>
        <v> Green Road</v>
      </c>
      <c r="V14" s="28" t="str">
        <f>IFERROR(__xludf.DUMMYFUNCTION("""COMPUTED_VALUE""")," Dhaka-1205")</f>
        <v> Dhaka-1205</v>
      </c>
      <c r="X14" s="30">
        <v>1988.0</v>
      </c>
      <c r="Y14" s="30" t="s">
        <v>1847</v>
      </c>
    </row>
    <row r="15" ht="15.75" customHeight="1">
      <c r="A15" s="19" t="s">
        <v>792</v>
      </c>
      <c r="B15" s="2" t="str">
        <f>IFERROR(__xludf.DUMMYFUNCTION("SPLIT(A15,""C"")"),"Website : www.artisanbd.com ")</f>
        <v>Website : www.artisanbd.com </v>
      </c>
      <c r="C15" s="2" t="str">
        <f>IFERROR(__xludf.DUMMYFUNCTION("""COMPUTED_VALUE"""),"ontact: +88-02-8813992, 9889360")</f>
        <v>ontact: +88-02-8813992, 9889360</v>
      </c>
      <c r="F15" s="26" t="s">
        <v>1860</v>
      </c>
      <c r="H15" s="14" t="s">
        <v>1845</v>
      </c>
      <c r="I15" s="2">
        <f>IFERROR(__xludf.DUMMYFUNCTION("SPLIT(H15,"" "")"),1.0)</f>
        <v>1</v>
      </c>
      <c r="J15" s="2">
        <f>IFERROR(__xludf.DUMMYFUNCTION("""COMPUTED_VALUE"""),5.0)</f>
        <v>5</v>
      </c>
      <c r="K15" s="2" t="str">
        <f>IFERROR(__xludf.DUMMYFUNCTION("""COMPUTED_VALUE"""),"Total")</f>
        <v>Total</v>
      </c>
      <c r="L15" s="2">
        <f>IFERROR(__xludf.DUMMYFUNCTION("""COMPUTED_VALUE"""),6.0)</f>
        <v>6</v>
      </c>
      <c r="N15" s="14">
        <v>1.0</v>
      </c>
      <c r="O15" s="14">
        <v>5.0</v>
      </c>
      <c r="P15" s="14">
        <f t="shared" si="1"/>
        <v>6</v>
      </c>
      <c r="R15" s="2" t="s">
        <v>1861</v>
      </c>
      <c r="S15" s="2" t="str">
        <f t="shared" si="2"/>
        <v> DOHS, Banani, Dhaka-1206</v>
      </c>
      <c r="T15" s="27" t="str">
        <f>IFERROR(__xludf.DUMMYFUNCTION("SPLIT(S15,"","")")," DOHS")</f>
        <v> DOHS</v>
      </c>
      <c r="U15" s="1" t="str">
        <f>IFERROR(__xludf.DUMMYFUNCTION("""COMPUTED_VALUE""")," Banani")</f>
        <v> Banani</v>
      </c>
      <c r="V15" s="28" t="str">
        <f>IFERROR(__xludf.DUMMYFUNCTION("""COMPUTED_VALUE""")," Dhaka-1206")</f>
        <v> Dhaka-1206</v>
      </c>
      <c r="X15" s="30" t="s">
        <v>1862</v>
      </c>
    </row>
    <row r="16" ht="15.75" customHeight="1">
      <c r="A16" s="19" t="s">
        <v>936</v>
      </c>
      <c r="B16" s="2" t="str">
        <f>IFERROR(__xludf.DUMMYFUNCTION("SPLIT(A16,""C"")"),"website:")</f>
        <v>website:</v>
      </c>
      <c r="H16" s="14" t="s">
        <v>1858</v>
      </c>
      <c r="I16" s="2">
        <f>IFERROR(__xludf.DUMMYFUNCTION("SPLIT(H16,"" "")"),1.0)</f>
        <v>1</v>
      </c>
      <c r="J16" s="2">
        <f>IFERROR(__xludf.DUMMYFUNCTION("""COMPUTED_VALUE"""),4.0)</f>
        <v>4</v>
      </c>
      <c r="K16" s="2" t="str">
        <f>IFERROR(__xludf.DUMMYFUNCTION("""COMPUTED_VALUE"""),"Total")</f>
        <v>Total</v>
      </c>
      <c r="L16" s="2">
        <f>IFERROR(__xludf.DUMMYFUNCTION("""COMPUTED_VALUE"""),5.0)</f>
        <v>5</v>
      </c>
      <c r="N16" s="14">
        <v>1.0</v>
      </c>
      <c r="O16" s="14">
        <v>4.0</v>
      </c>
      <c r="P16" s="14">
        <f t="shared" si="1"/>
        <v>5</v>
      </c>
      <c r="R16" s="2" t="s">
        <v>1863</v>
      </c>
      <c r="S16" s="2" t="str">
        <f t="shared" si="2"/>
        <v>d, Chittagong, Bangladesh</v>
      </c>
      <c r="T16" s="27" t="str">
        <f>IFERROR(__xludf.DUMMYFUNCTION("SPLIT(S16,"","")"),"d")</f>
        <v>d</v>
      </c>
      <c r="U16" s="1" t="str">
        <f>IFERROR(__xludf.DUMMYFUNCTION("""COMPUTED_VALUE""")," Chittagong")</f>
        <v> Chittagong</v>
      </c>
      <c r="V16" s="28" t="str">
        <f>IFERROR(__xludf.DUMMYFUNCTION("""COMPUTED_VALUE""")," Bangladesh")</f>
        <v> Bangladesh</v>
      </c>
      <c r="X16" s="30">
        <v>1989.0</v>
      </c>
      <c r="Y16" s="30" t="s">
        <v>1847</v>
      </c>
    </row>
    <row r="17" ht="15.75" customHeight="1">
      <c r="A17" s="19" t="s">
        <v>936</v>
      </c>
      <c r="B17" s="2" t="str">
        <f>IFERROR(__xludf.DUMMYFUNCTION("SPLIT(A17,""C"")"),"website:")</f>
        <v>website:</v>
      </c>
      <c r="H17" s="14" t="s">
        <v>1864</v>
      </c>
      <c r="I17" s="2">
        <f>IFERROR(__xludf.DUMMYFUNCTION("SPLIT(H17,"" "")"),3.0)</f>
        <v>3</v>
      </c>
      <c r="J17" s="2">
        <f>IFERROR(__xludf.DUMMYFUNCTION("""COMPUTED_VALUE"""),3.0)</f>
        <v>3</v>
      </c>
      <c r="K17" s="2" t="str">
        <f>IFERROR(__xludf.DUMMYFUNCTION("""COMPUTED_VALUE"""),"Total")</f>
        <v>Total</v>
      </c>
      <c r="L17" s="2">
        <f>IFERROR(__xludf.DUMMYFUNCTION("""COMPUTED_VALUE"""),5.0)</f>
        <v>5</v>
      </c>
      <c r="N17" s="14">
        <v>3.0</v>
      </c>
      <c r="O17" s="14">
        <v>3.0</v>
      </c>
      <c r="P17" s="14">
        <f t="shared" si="1"/>
        <v>6</v>
      </c>
      <c r="R17" s="2" t="s">
        <v>1865</v>
      </c>
      <c r="S17" s="2" t="str">
        <f t="shared" si="2"/>
        <v>r-05, Uttara, Dhaka 1230.</v>
      </c>
      <c r="T17" s="27" t="str">
        <f>IFERROR(__xludf.DUMMYFUNCTION("SPLIT(S17,"","")"),"r-05")</f>
        <v>r-05</v>
      </c>
      <c r="U17" s="1" t="str">
        <f>IFERROR(__xludf.DUMMYFUNCTION("""COMPUTED_VALUE""")," Uttara")</f>
        <v> Uttara</v>
      </c>
      <c r="V17" s="28" t="str">
        <f>IFERROR(__xludf.DUMMYFUNCTION("""COMPUTED_VALUE""")," Dhaka 1230.")</f>
        <v> Dhaka 1230.</v>
      </c>
      <c r="X17" s="30" t="s">
        <v>1866</v>
      </c>
    </row>
    <row r="18" ht="15.75" customHeight="1">
      <c r="A18" s="19" t="s">
        <v>809</v>
      </c>
      <c r="B18" s="2" t="str">
        <f>IFERROR(__xludf.DUMMYFUNCTION("SPLIT(A18,""C"")"),"Website : http://aligngroupbd.com/webmail ")</f>
        <v>Website : http://aligngroupbd.com/webmail </v>
      </c>
      <c r="C18" s="2" t="str">
        <f>IFERROR(__xludf.DUMMYFUNCTION("""COMPUTED_VALUE"""),"ontact: +8801737280617")</f>
        <v>ontact: +8801737280617</v>
      </c>
      <c r="F18" s="26" t="s">
        <v>1867</v>
      </c>
      <c r="H18" s="14" t="s">
        <v>1868</v>
      </c>
      <c r="I18" s="2">
        <f>IFERROR(__xludf.DUMMYFUNCTION("SPLIT(H18,"" "")"),2.0)</f>
        <v>2</v>
      </c>
      <c r="J18" s="2">
        <f>IFERROR(__xludf.DUMMYFUNCTION("""COMPUTED_VALUE"""),2.0)</f>
        <v>2</v>
      </c>
      <c r="K18" s="2" t="str">
        <f>IFERROR(__xludf.DUMMYFUNCTION("""COMPUTED_VALUE"""),"Total")</f>
        <v>Total</v>
      </c>
      <c r="L18" s="2">
        <f>IFERROR(__xludf.DUMMYFUNCTION("""COMPUTED_VALUE"""),4.0)</f>
        <v>4</v>
      </c>
      <c r="N18" s="14">
        <v>2.0</v>
      </c>
      <c r="O18" s="14">
        <v>2.0</v>
      </c>
      <c r="P18" s="14">
        <f t="shared" si="1"/>
        <v>4</v>
      </c>
      <c r="R18" s="2" t="s">
        <v>1869</v>
      </c>
      <c r="S18" s="2" t="str">
        <f t="shared" si="2"/>
        <v>a, Panchlish, Chittagong.</v>
      </c>
      <c r="T18" s="27" t="str">
        <f>IFERROR(__xludf.DUMMYFUNCTION("SPLIT(S18,"","")"),"a")</f>
        <v>a</v>
      </c>
      <c r="U18" s="1" t="str">
        <f>IFERROR(__xludf.DUMMYFUNCTION("""COMPUTED_VALUE""")," Panchlish")</f>
        <v> Panchlish</v>
      </c>
      <c r="V18" s="28" t="str">
        <f>IFERROR(__xludf.DUMMYFUNCTION("""COMPUTED_VALUE""")," Chittagong.")</f>
        <v> Chittagong.</v>
      </c>
      <c r="X18" s="30">
        <v>1990.0</v>
      </c>
      <c r="Y18" s="30" t="s">
        <v>1870</v>
      </c>
    </row>
    <row r="19" ht="15.75" customHeight="1">
      <c r="A19" s="19" t="s">
        <v>936</v>
      </c>
      <c r="B19" s="2" t="str">
        <f>IFERROR(__xludf.DUMMYFUNCTION("SPLIT(A19,""C"")"),"website:")</f>
        <v>website:</v>
      </c>
      <c r="H19" s="14" t="s">
        <v>1871</v>
      </c>
      <c r="I19" s="2">
        <f>IFERROR(__xludf.DUMMYFUNCTION("SPLIT(H19,"" "")"),1.0)</f>
        <v>1</v>
      </c>
      <c r="J19" s="2">
        <f>IFERROR(__xludf.DUMMYFUNCTION("""COMPUTED_VALUE"""),0.0)</f>
        <v>0</v>
      </c>
      <c r="K19" s="2" t="str">
        <f>IFERROR(__xludf.DUMMYFUNCTION("""COMPUTED_VALUE"""),"Total")</f>
        <v>Total</v>
      </c>
      <c r="L19" s="2">
        <f>IFERROR(__xludf.DUMMYFUNCTION("""COMPUTED_VALUE"""),1.0)</f>
        <v>1</v>
      </c>
      <c r="N19" s="14">
        <v>1.0</v>
      </c>
      <c r="O19" s="14">
        <v>0.0</v>
      </c>
      <c r="P19" s="14">
        <f t="shared" si="1"/>
        <v>1</v>
      </c>
      <c r="R19" s="2" t="s">
        <v>1872</v>
      </c>
      <c r="S19" s="2" t="str">
        <f t="shared" si="2"/>
        <v>/E, Gulshan-1, Dhaka-1212</v>
      </c>
      <c r="T19" s="27" t="str">
        <f>IFERROR(__xludf.DUMMYFUNCTION("SPLIT(S19,"","")"),"/E")</f>
        <v>/E</v>
      </c>
      <c r="U19" s="1" t="str">
        <f>IFERROR(__xludf.DUMMYFUNCTION("""COMPUTED_VALUE""")," Gulshan-1")</f>
        <v> Gulshan-1</v>
      </c>
      <c r="V19" s="28" t="str">
        <f>IFERROR(__xludf.DUMMYFUNCTION("""COMPUTED_VALUE""")," Dhaka-1212")</f>
        <v> Dhaka-1212</v>
      </c>
      <c r="X19" s="30" t="s">
        <v>1873</v>
      </c>
    </row>
    <row r="20" ht="15.75" customHeight="1">
      <c r="A20" s="19" t="s">
        <v>820</v>
      </c>
      <c r="B20" s="2" t="str">
        <f>IFERROR(__xludf.DUMMYFUNCTION("SPLIT(A20,""C"")"),"Website : www.archpmc.com ")</f>
        <v>Website : www.archpmc.com </v>
      </c>
      <c r="C20" s="2" t="str">
        <f>IFERROR(__xludf.DUMMYFUNCTION("""COMPUTED_VALUE"""),"ontact: +8801799586501")</f>
        <v>ontact: +8801799586501</v>
      </c>
      <c r="F20" s="26" t="s">
        <v>1874</v>
      </c>
      <c r="H20" s="14" t="s">
        <v>1871</v>
      </c>
      <c r="I20" s="2">
        <f>IFERROR(__xludf.DUMMYFUNCTION("SPLIT(H20,"" "")"),1.0)</f>
        <v>1</v>
      </c>
      <c r="J20" s="2">
        <f>IFERROR(__xludf.DUMMYFUNCTION("""COMPUTED_VALUE"""),0.0)</f>
        <v>0</v>
      </c>
      <c r="K20" s="2" t="str">
        <f>IFERROR(__xludf.DUMMYFUNCTION("""COMPUTED_VALUE"""),"Total")</f>
        <v>Total</v>
      </c>
      <c r="L20" s="2">
        <f>IFERROR(__xludf.DUMMYFUNCTION("""COMPUTED_VALUE"""),1.0)</f>
        <v>1</v>
      </c>
      <c r="N20" s="14">
        <v>1.0</v>
      </c>
      <c r="O20" s="14">
        <v>0.0</v>
      </c>
      <c r="P20" s="14">
        <f t="shared" si="1"/>
        <v>1</v>
      </c>
      <c r="R20" s="2" t="s">
        <v>1875</v>
      </c>
      <c r="S20" s="2" t="str">
        <f t="shared" si="2"/>
        <v>an, Gulshan-1, Dhaka-1212</v>
      </c>
      <c r="T20" s="27" t="str">
        <f>IFERROR(__xludf.DUMMYFUNCTION("SPLIT(S20,"","")"),"an")</f>
        <v>an</v>
      </c>
      <c r="U20" s="1" t="str">
        <f>IFERROR(__xludf.DUMMYFUNCTION("""COMPUTED_VALUE""")," Gulshan-1")</f>
        <v> Gulshan-1</v>
      </c>
      <c r="V20" s="28" t="str">
        <f>IFERROR(__xludf.DUMMYFUNCTION("""COMPUTED_VALUE""")," Dhaka-1212")</f>
        <v> Dhaka-1212</v>
      </c>
      <c r="X20" s="30">
        <v>1991.0</v>
      </c>
      <c r="Y20" s="30" t="s">
        <v>1870</v>
      </c>
    </row>
    <row r="21" ht="15.75" customHeight="1">
      <c r="A21" s="19" t="s">
        <v>936</v>
      </c>
      <c r="B21" s="2" t="str">
        <f>IFERROR(__xludf.DUMMYFUNCTION("SPLIT(A21,""C"")"),"website:")</f>
        <v>website:</v>
      </c>
      <c r="H21" s="14" t="s">
        <v>1871</v>
      </c>
      <c r="I21" s="2">
        <f>IFERROR(__xludf.DUMMYFUNCTION("SPLIT(H21,"" "")"),1.0)</f>
        <v>1</v>
      </c>
      <c r="J21" s="2">
        <f>IFERROR(__xludf.DUMMYFUNCTION("""COMPUTED_VALUE"""),0.0)</f>
        <v>0</v>
      </c>
      <c r="K21" s="2" t="str">
        <f>IFERROR(__xludf.DUMMYFUNCTION("""COMPUTED_VALUE"""),"Total")</f>
        <v>Total</v>
      </c>
      <c r="L21" s="2">
        <f>IFERROR(__xludf.DUMMYFUNCTION("""COMPUTED_VALUE"""),1.0)</f>
        <v>1</v>
      </c>
      <c r="N21" s="14">
        <v>1.0</v>
      </c>
      <c r="O21" s="14">
        <v>0.0</v>
      </c>
      <c r="P21" s="14">
        <f t="shared" si="1"/>
        <v>1</v>
      </c>
      <c r="R21" s="2" t="s">
        <v>1876</v>
      </c>
      <c r="S21" s="2" t="str">
        <f t="shared" si="2"/>
        <v>3rd Floor, Shamoly, Dhaka</v>
      </c>
      <c r="T21" s="27" t="str">
        <f>IFERROR(__xludf.DUMMYFUNCTION("SPLIT(S21,"","")"),"3rd Floor")</f>
        <v>3rd Floor</v>
      </c>
      <c r="U21" s="1" t="str">
        <f>IFERROR(__xludf.DUMMYFUNCTION("""COMPUTED_VALUE""")," Shamoly")</f>
        <v> Shamoly</v>
      </c>
      <c r="V21" s="28" t="str">
        <f>IFERROR(__xludf.DUMMYFUNCTION("""COMPUTED_VALUE""")," Dhaka")</f>
        <v> Dhaka</v>
      </c>
      <c r="X21" s="30" t="s">
        <v>1877</v>
      </c>
    </row>
    <row r="22" ht="15.75" customHeight="1">
      <c r="A22" s="19" t="s">
        <v>936</v>
      </c>
      <c r="B22" s="2" t="str">
        <f>IFERROR(__xludf.DUMMYFUNCTION("SPLIT(A22,""C"")"),"website:")</f>
        <v>website:</v>
      </c>
      <c r="H22" s="14" t="s">
        <v>1878</v>
      </c>
      <c r="I22" s="2">
        <f>IFERROR(__xludf.DUMMYFUNCTION("SPLIT(H22,"" "")"),3.0)</f>
        <v>3</v>
      </c>
      <c r="J22" s="2">
        <f>IFERROR(__xludf.DUMMYFUNCTION("""COMPUTED_VALUE"""),0.0)</f>
        <v>0</v>
      </c>
      <c r="K22" s="2" t="str">
        <f>IFERROR(__xludf.DUMMYFUNCTION("""COMPUTED_VALUE"""),"Total")</f>
        <v>Total</v>
      </c>
      <c r="L22" s="2">
        <f>IFERROR(__xludf.DUMMYFUNCTION("""COMPUTED_VALUE"""),3.0)</f>
        <v>3</v>
      </c>
      <c r="N22" s="14">
        <v>3.0</v>
      </c>
      <c r="O22" s="14">
        <v>0.0</v>
      </c>
      <c r="P22" s="14">
        <f t="shared" si="1"/>
        <v>3</v>
      </c>
      <c r="R22" s="2" t="s">
        <v>1879</v>
      </c>
      <c r="S22" s="2" t="str">
        <f t="shared" si="2"/>
        <v>04, Dhanmondi, Dhaka-1205</v>
      </c>
      <c r="T22" s="27">
        <f>IFERROR(__xludf.DUMMYFUNCTION("SPLIT(S22,"","")"),4.0)</f>
        <v>4</v>
      </c>
      <c r="U22" s="1" t="str">
        <f>IFERROR(__xludf.DUMMYFUNCTION("""COMPUTED_VALUE""")," Dhanmondi")</f>
        <v> Dhanmondi</v>
      </c>
      <c r="V22" s="28" t="str">
        <f>IFERROR(__xludf.DUMMYFUNCTION("""COMPUTED_VALUE""")," Dhaka-1205")</f>
        <v> Dhaka-1205</v>
      </c>
      <c r="X22" s="30">
        <v>1992.0</v>
      </c>
      <c r="Y22" s="30" t="s">
        <v>1870</v>
      </c>
    </row>
    <row r="23" ht="15.75" customHeight="1">
      <c r="A23" s="19" t="s">
        <v>936</v>
      </c>
      <c r="B23" s="2" t="str">
        <f>IFERROR(__xludf.DUMMYFUNCTION("SPLIT(A23,""C"")"),"website:")</f>
        <v>website:</v>
      </c>
      <c r="H23" s="14" t="s">
        <v>1880</v>
      </c>
      <c r="I23" s="2">
        <f>IFERROR(__xludf.DUMMYFUNCTION("SPLIT(H23,"" "")"),2.0)</f>
        <v>2</v>
      </c>
      <c r="J23" s="2">
        <f>IFERROR(__xludf.DUMMYFUNCTION("""COMPUTED_VALUE"""),5.0)</f>
        <v>5</v>
      </c>
      <c r="K23" s="2" t="str">
        <f>IFERROR(__xludf.DUMMYFUNCTION("""COMPUTED_VALUE"""),"Total")</f>
        <v>Total</v>
      </c>
      <c r="L23" s="2">
        <f>IFERROR(__xludf.DUMMYFUNCTION("""COMPUTED_VALUE"""),7.0)</f>
        <v>7</v>
      </c>
      <c r="N23" s="14">
        <v>2.0</v>
      </c>
      <c r="O23" s="14">
        <v>5.0</v>
      </c>
      <c r="P23" s="14">
        <f t="shared" si="1"/>
        <v>7</v>
      </c>
      <c r="R23" s="2" t="s">
        <v>1881</v>
      </c>
      <c r="S23" s="2" t="str">
        <f t="shared" si="2"/>
        <v>ock-K, Banani, Dhaka-1213</v>
      </c>
      <c r="T23" s="27" t="str">
        <f>IFERROR(__xludf.DUMMYFUNCTION("SPLIT(S23,"","")"),"ock-K")</f>
        <v>ock-K</v>
      </c>
      <c r="U23" s="1" t="str">
        <f>IFERROR(__xludf.DUMMYFUNCTION("""COMPUTED_VALUE""")," Banani")</f>
        <v> Banani</v>
      </c>
      <c r="V23" s="28" t="str">
        <f>IFERROR(__xludf.DUMMYFUNCTION("""COMPUTED_VALUE""")," Dhaka-1213")</f>
        <v> Dhaka-1213</v>
      </c>
      <c r="X23" s="30" t="s">
        <v>1882</v>
      </c>
    </row>
    <row r="24" ht="15.75" customHeight="1">
      <c r="A24" s="19" t="s">
        <v>936</v>
      </c>
      <c r="B24" s="2" t="str">
        <f>IFERROR(__xludf.DUMMYFUNCTION("SPLIT(A24,""C"")"),"website:")</f>
        <v>website:</v>
      </c>
      <c r="H24" s="14" t="s">
        <v>1883</v>
      </c>
      <c r="I24" s="2">
        <f>IFERROR(__xludf.DUMMYFUNCTION("SPLIT(H24,"" "")"),3.0)</f>
        <v>3</v>
      </c>
      <c r="J24" s="2">
        <f>IFERROR(__xludf.DUMMYFUNCTION("""COMPUTED_VALUE"""),0.0)</f>
        <v>0</v>
      </c>
      <c r="K24" s="2" t="str">
        <f>IFERROR(__xludf.DUMMYFUNCTION("""COMPUTED_VALUE"""),"Total")</f>
        <v>Total</v>
      </c>
      <c r="L24" s="2">
        <f>IFERROR(__xludf.DUMMYFUNCTION("""COMPUTED_VALUE"""),3.0)</f>
        <v>3</v>
      </c>
      <c r="N24" s="14">
        <v>3.0</v>
      </c>
      <c r="O24" s="14">
        <v>0.0</v>
      </c>
      <c r="P24" s="14">
        <f t="shared" si="1"/>
        <v>3</v>
      </c>
      <c r="R24" s="2" t="s">
        <v>1884</v>
      </c>
      <c r="S24" s="2" t="str">
        <f t="shared" si="2"/>
        <v>est Dhanmondi, Dhaka-1209</v>
      </c>
      <c r="T24" s="27" t="str">
        <f>IFERROR(__xludf.DUMMYFUNCTION("SPLIT(S24,"","")"),"est Dhanmondi")</f>
        <v>est Dhanmondi</v>
      </c>
      <c r="U24" s="1" t="str">
        <f>IFERROR(__xludf.DUMMYFUNCTION("""COMPUTED_VALUE""")," Dhaka-1209")</f>
        <v> Dhaka-1209</v>
      </c>
      <c r="V24" s="28"/>
      <c r="X24" s="30">
        <v>1993.0</v>
      </c>
      <c r="Y24" s="30" t="s">
        <v>1870</v>
      </c>
    </row>
    <row r="25" ht="15.75" customHeight="1">
      <c r="A25" s="19" t="s">
        <v>849</v>
      </c>
      <c r="B25" s="2" t="str">
        <f>IFERROR(__xludf.DUMMYFUNCTION("SPLIT(A25,""C"")"),"Website : www.archytasltd.com ")</f>
        <v>Website : www.archytasltd.com </v>
      </c>
      <c r="C25" s="2" t="str">
        <f>IFERROR(__xludf.DUMMYFUNCTION("""COMPUTED_VALUE"""),"ontact: +8801911386561")</f>
        <v>ontact: +8801911386561</v>
      </c>
      <c r="F25" s="26" t="s">
        <v>1885</v>
      </c>
      <c r="H25" s="14" t="s">
        <v>1886</v>
      </c>
      <c r="I25" s="2">
        <f>IFERROR(__xludf.DUMMYFUNCTION("SPLIT(H25,"" "")"),1.0)</f>
        <v>1</v>
      </c>
      <c r="J25" s="2" t="str">
        <f>IFERROR(__xludf.DUMMYFUNCTION("""COMPUTED_VALUE"""),"Total")</f>
        <v>Total</v>
      </c>
      <c r="K25" s="2">
        <f>IFERROR(__xludf.DUMMYFUNCTION("""COMPUTED_VALUE"""),1.0)</f>
        <v>1</v>
      </c>
      <c r="N25" s="14">
        <v>1.0</v>
      </c>
      <c r="O25" s="14"/>
      <c r="P25" s="14">
        <f t="shared" si="1"/>
        <v>1</v>
      </c>
      <c r="R25" s="2" t="s">
        <v>1887</v>
      </c>
      <c r="S25" s="2" t="str">
        <f t="shared" si="2"/>
        <v>6, Gulshan-2, Dhaka 1212.</v>
      </c>
      <c r="T25" s="27">
        <f>IFERROR(__xludf.DUMMYFUNCTION("SPLIT(S25,"","")"),6.0)</f>
        <v>6</v>
      </c>
      <c r="U25" s="1" t="str">
        <f>IFERROR(__xludf.DUMMYFUNCTION("""COMPUTED_VALUE""")," Gulshan-2")</f>
        <v> Gulshan-2</v>
      </c>
      <c r="V25" s="28" t="str">
        <f>IFERROR(__xludf.DUMMYFUNCTION("""COMPUTED_VALUE""")," Dhaka 1212.")</f>
        <v> Dhaka 1212.</v>
      </c>
      <c r="X25" s="30" t="s">
        <v>1888</v>
      </c>
    </row>
    <row r="26" ht="15.75" customHeight="1">
      <c r="A26" s="19" t="s">
        <v>936</v>
      </c>
      <c r="B26" s="2" t="str">
        <f>IFERROR(__xludf.DUMMYFUNCTION("SPLIT(A26,""C"")"),"website:")</f>
        <v>website:</v>
      </c>
      <c r="H26" s="14" t="s">
        <v>1852</v>
      </c>
      <c r="I26" s="2">
        <f>IFERROR(__xludf.DUMMYFUNCTION("SPLIT(H26,"" "")"),4.0)</f>
        <v>4</v>
      </c>
      <c r="J26" s="2">
        <f>IFERROR(__xludf.DUMMYFUNCTION("""COMPUTED_VALUE"""),2.0)</f>
        <v>2</v>
      </c>
      <c r="K26" s="2" t="str">
        <f>IFERROR(__xludf.DUMMYFUNCTION("""COMPUTED_VALUE"""),"Total")</f>
        <v>Total</v>
      </c>
      <c r="L26" s="2">
        <f>IFERROR(__xludf.DUMMYFUNCTION("""COMPUTED_VALUE"""),6.0)</f>
        <v>6</v>
      </c>
      <c r="N26" s="14">
        <v>4.0</v>
      </c>
      <c r="O26" s="14">
        <v>2.0</v>
      </c>
      <c r="P26" s="14">
        <f t="shared" si="1"/>
        <v>6</v>
      </c>
      <c r="R26" s="2" t="s">
        <v>1889</v>
      </c>
      <c r="S26" s="2" t="str">
        <f t="shared" si="2"/>
        <v>27, Dhanmondi, Dhaka 1209</v>
      </c>
      <c r="T26" s="27">
        <f>IFERROR(__xludf.DUMMYFUNCTION("SPLIT(S26,"","")"),27.0)</f>
        <v>27</v>
      </c>
      <c r="U26" s="1" t="str">
        <f>IFERROR(__xludf.DUMMYFUNCTION("""COMPUTED_VALUE""")," Dhanmondi")</f>
        <v> Dhanmondi</v>
      </c>
      <c r="V26" s="28" t="str">
        <f>IFERROR(__xludf.DUMMYFUNCTION("""COMPUTED_VALUE""")," Dhaka 1209")</f>
        <v> Dhaka 1209</v>
      </c>
      <c r="X26" s="30">
        <v>1995.0</v>
      </c>
      <c r="Y26" s="30" t="s">
        <v>1890</v>
      </c>
    </row>
    <row r="27" ht="15.75" customHeight="1">
      <c r="A27" s="19" t="s">
        <v>860</v>
      </c>
      <c r="B27" s="2" t="str">
        <f>IFERROR(__xludf.DUMMYFUNCTION("SPLIT(A27,""C"")"),"Website : www.arquitecturabd.com ")</f>
        <v>Website : www.arquitecturabd.com </v>
      </c>
      <c r="C27" s="2" t="str">
        <f>IFERROR(__xludf.DUMMYFUNCTION("""COMPUTED_VALUE"""),"ontact: +880241021810")</f>
        <v>ontact: +880241021810</v>
      </c>
      <c r="F27" s="26" t="s">
        <v>1891</v>
      </c>
      <c r="H27" s="14" t="s">
        <v>1892</v>
      </c>
      <c r="I27" s="2">
        <f>IFERROR(__xludf.DUMMYFUNCTION("SPLIT(H27,"" "")"),6.0)</f>
        <v>6</v>
      </c>
      <c r="J27" s="2">
        <f>IFERROR(__xludf.DUMMYFUNCTION("""COMPUTED_VALUE"""),2.0)</f>
        <v>2</v>
      </c>
      <c r="K27" s="2" t="str">
        <f>IFERROR(__xludf.DUMMYFUNCTION("""COMPUTED_VALUE"""),"Total")</f>
        <v>Total</v>
      </c>
      <c r="L27" s="2">
        <f>IFERROR(__xludf.DUMMYFUNCTION("""COMPUTED_VALUE"""),8.0)</f>
        <v>8</v>
      </c>
      <c r="N27" s="14">
        <v>6.0</v>
      </c>
      <c r="O27" s="14">
        <v>2.0</v>
      </c>
      <c r="P27" s="14">
        <f t="shared" si="1"/>
        <v>8</v>
      </c>
      <c r="R27" s="2" t="s">
        <v>1889</v>
      </c>
      <c r="S27" s="2" t="str">
        <f t="shared" si="2"/>
        <v>27, Dhanmondi, Dhaka 1209</v>
      </c>
      <c r="T27" s="27">
        <f>IFERROR(__xludf.DUMMYFUNCTION("SPLIT(S27,"","")"),27.0)</f>
        <v>27</v>
      </c>
      <c r="U27" s="1" t="str">
        <f>IFERROR(__xludf.DUMMYFUNCTION("""COMPUTED_VALUE""")," Dhanmondi")</f>
        <v> Dhanmondi</v>
      </c>
      <c r="V27" s="28" t="str">
        <f>IFERROR(__xludf.DUMMYFUNCTION("""COMPUTED_VALUE""")," Dhaka 1209")</f>
        <v> Dhaka 1209</v>
      </c>
      <c r="X27" s="30" t="s">
        <v>1893</v>
      </c>
    </row>
    <row r="28" ht="15.75" customHeight="1">
      <c r="A28" s="19" t="s">
        <v>868</v>
      </c>
      <c r="B28" s="2" t="str">
        <f>IFERROR(__xludf.DUMMYFUNCTION("SPLIT(A28,""C"")"),"Website : www.ayoteek.com")</f>
        <v>Website : www.ayoteek.com</v>
      </c>
      <c r="F28" s="26" t="s">
        <v>1894</v>
      </c>
      <c r="H28" s="14" t="s">
        <v>1895</v>
      </c>
      <c r="I28" s="2">
        <f>IFERROR(__xludf.DUMMYFUNCTION("SPLIT(H28,"" "")"),2.0)</f>
        <v>2</v>
      </c>
      <c r="J28" s="2">
        <f>IFERROR(__xludf.DUMMYFUNCTION("""COMPUTED_VALUE"""),3.0)</f>
        <v>3</v>
      </c>
      <c r="K28" s="2" t="str">
        <f>IFERROR(__xludf.DUMMYFUNCTION("""COMPUTED_VALUE"""),"Total")</f>
        <v>Total</v>
      </c>
      <c r="L28" s="2">
        <f>IFERROR(__xludf.DUMMYFUNCTION("""COMPUTED_VALUE"""),5.0)</f>
        <v>5</v>
      </c>
      <c r="N28" s="14">
        <v>2.0</v>
      </c>
      <c r="O28" s="14">
        <v>3.0</v>
      </c>
      <c r="P28" s="14">
        <f t="shared" si="1"/>
        <v>5</v>
      </c>
      <c r="R28" s="2" t="s">
        <v>1896</v>
      </c>
      <c r="S28" s="2" t="str">
        <f t="shared" si="2"/>
        <v>HS, Mohakhali, Dhaka 1206</v>
      </c>
      <c r="T28" s="27" t="str">
        <f>IFERROR(__xludf.DUMMYFUNCTION("SPLIT(S28,"","")"),"HS")</f>
        <v>HS</v>
      </c>
      <c r="U28" s="1" t="str">
        <f>IFERROR(__xludf.DUMMYFUNCTION("""COMPUTED_VALUE""")," Mohakhali")</f>
        <v> Mohakhali</v>
      </c>
      <c r="V28" s="28" t="str">
        <f>IFERROR(__xludf.DUMMYFUNCTION("""COMPUTED_VALUE""")," Dhaka 1206")</f>
        <v> Dhaka 1206</v>
      </c>
      <c r="X28" s="30">
        <v>1996.0</v>
      </c>
      <c r="Y28" s="30" t="s">
        <v>1890</v>
      </c>
    </row>
    <row r="29" ht="15.75" customHeight="1">
      <c r="A29" s="19" t="s">
        <v>874</v>
      </c>
      <c r="B29" s="2" t="str">
        <f>IFERROR(__xludf.DUMMYFUNCTION("SPLIT(A29,""C"")"),"Website : www.architecturetomorrow.com")</f>
        <v>Website : www.architecturetomorrow.com</v>
      </c>
      <c r="F29" s="26" t="s">
        <v>1897</v>
      </c>
      <c r="H29" s="14" t="s">
        <v>1868</v>
      </c>
      <c r="I29" s="2">
        <f>IFERROR(__xludf.DUMMYFUNCTION("SPLIT(H29,"" "")"),2.0)</f>
        <v>2</v>
      </c>
      <c r="J29" s="2">
        <f>IFERROR(__xludf.DUMMYFUNCTION("""COMPUTED_VALUE"""),2.0)</f>
        <v>2</v>
      </c>
      <c r="K29" s="2" t="str">
        <f>IFERROR(__xludf.DUMMYFUNCTION("""COMPUTED_VALUE"""),"Total")</f>
        <v>Total</v>
      </c>
      <c r="L29" s="2">
        <f>IFERROR(__xludf.DUMMYFUNCTION("""COMPUTED_VALUE"""),4.0)</f>
        <v>4</v>
      </c>
      <c r="N29" s="14">
        <v>2.0</v>
      </c>
      <c r="O29" s="14">
        <v>2.0</v>
      </c>
      <c r="P29" s="14">
        <f t="shared" si="1"/>
        <v>4</v>
      </c>
      <c r="R29" s="2" t="s">
        <v>1898</v>
      </c>
      <c r="S29" s="2" t="str">
        <f t="shared" si="2"/>
        <v>-3/4, DOHS, Mirpur, Dhaka</v>
      </c>
      <c r="T29" s="27" t="str">
        <f>IFERROR(__xludf.DUMMYFUNCTION("SPLIT(S29,"","")"),"-3/4")</f>
        <v>-3/4</v>
      </c>
      <c r="U29" s="1" t="str">
        <f>IFERROR(__xludf.DUMMYFUNCTION("""COMPUTED_VALUE""")," DOHS")</f>
        <v> DOHS</v>
      </c>
      <c r="V29" s="28" t="str">
        <f>IFERROR(__xludf.DUMMYFUNCTION("""COMPUTED_VALUE""")," Mirpur")</f>
        <v> Mirpur</v>
      </c>
      <c r="W29" s="2" t="str">
        <f>IFERROR(__xludf.DUMMYFUNCTION("""COMPUTED_VALUE""")," Dhaka")</f>
        <v> Dhaka</v>
      </c>
      <c r="X29" s="30" t="s">
        <v>1899</v>
      </c>
    </row>
    <row r="30" ht="15.75" customHeight="1">
      <c r="A30" s="19" t="s">
        <v>936</v>
      </c>
      <c r="B30" s="2" t="str">
        <f>IFERROR(__xludf.DUMMYFUNCTION("SPLIT(A30,""C"")"),"website:")</f>
        <v>website:</v>
      </c>
      <c r="H30" s="14" t="s">
        <v>1900</v>
      </c>
      <c r="I30" s="2">
        <f>IFERROR(__xludf.DUMMYFUNCTION("SPLIT(H30,"" "")"),2.0)</f>
        <v>2</v>
      </c>
      <c r="J30" s="2">
        <f>IFERROR(__xludf.DUMMYFUNCTION("""COMPUTED_VALUE"""),1.0)</f>
        <v>1</v>
      </c>
      <c r="K30" s="2" t="str">
        <f>IFERROR(__xludf.DUMMYFUNCTION("""COMPUTED_VALUE"""),"Total")</f>
        <v>Total</v>
      </c>
      <c r="L30" s="2">
        <f>IFERROR(__xludf.DUMMYFUNCTION("""COMPUTED_VALUE"""),3.0)</f>
        <v>3</v>
      </c>
      <c r="N30" s="14">
        <v>2.0</v>
      </c>
      <c r="O30" s="14">
        <v>1.0</v>
      </c>
      <c r="P30" s="14">
        <f t="shared" si="1"/>
        <v>3</v>
      </c>
      <c r="R30" s="2" t="s">
        <v>1901</v>
      </c>
      <c r="S30" s="2" t="str">
        <f t="shared" si="2"/>
        <v>ad, 5th Floor, Dhaka-1205</v>
      </c>
      <c r="T30" s="27" t="str">
        <f>IFERROR(__xludf.DUMMYFUNCTION("SPLIT(S30,"","")"),"ad")</f>
        <v>ad</v>
      </c>
      <c r="U30" s="1" t="str">
        <f>IFERROR(__xludf.DUMMYFUNCTION("""COMPUTED_VALUE""")," 5th Floor")</f>
        <v> 5th Floor</v>
      </c>
      <c r="V30" s="28" t="str">
        <f>IFERROR(__xludf.DUMMYFUNCTION("""COMPUTED_VALUE""")," Dhaka-1205")</f>
        <v> Dhaka-1205</v>
      </c>
      <c r="X30" s="30">
        <v>1997.0</v>
      </c>
      <c r="Y30" s="30" t="s">
        <v>1890</v>
      </c>
    </row>
    <row r="31" ht="15.75" customHeight="1">
      <c r="A31" s="19" t="s">
        <v>884</v>
      </c>
      <c r="B31" s="2" t="str">
        <f>IFERROR(__xludf.DUMMYFUNCTION("SPLIT(A31,""C"")"),"Website : www.architectshorizon.com")</f>
        <v>Website : www.architectshorizon.com</v>
      </c>
      <c r="F31" s="26" t="s">
        <v>1902</v>
      </c>
      <c r="H31" s="14" t="s">
        <v>1903</v>
      </c>
      <c r="I31" s="2">
        <f>IFERROR(__xludf.DUMMYFUNCTION("SPLIT(H31,"" "")"),3.0)</f>
        <v>3</v>
      </c>
      <c r="J31" s="2" t="str">
        <f>IFERROR(__xludf.DUMMYFUNCTION("""COMPUTED_VALUE"""),"Total")</f>
        <v>Total</v>
      </c>
      <c r="K31" s="2">
        <f>IFERROR(__xludf.DUMMYFUNCTION("""COMPUTED_VALUE"""),3.0)</f>
        <v>3</v>
      </c>
      <c r="N31" s="14">
        <v>3.0</v>
      </c>
      <c r="O31" s="14"/>
      <c r="P31" s="14">
        <f t="shared" si="1"/>
        <v>3</v>
      </c>
      <c r="R31" s="2" t="s">
        <v>1904</v>
      </c>
      <c r="S31" s="2" t="str">
        <f t="shared" si="2"/>
        <v>ja2, Khilkhat, Dhaka-1229</v>
      </c>
      <c r="T31" s="27" t="str">
        <f>IFERROR(__xludf.DUMMYFUNCTION("SPLIT(S31,"","")"),"ja2")</f>
        <v>ja2</v>
      </c>
      <c r="U31" s="1" t="str">
        <f>IFERROR(__xludf.DUMMYFUNCTION("""COMPUTED_VALUE""")," Khilkhat")</f>
        <v> Khilkhat</v>
      </c>
      <c r="V31" s="28" t="str">
        <f>IFERROR(__xludf.DUMMYFUNCTION("""COMPUTED_VALUE""")," Dhaka-1229")</f>
        <v> Dhaka-1229</v>
      </c>
      <c r="X31" s="30" t="s">
        <v>1905</v>
      </c>
    </row>
    <row r="32" ht="15.75" customHeight="1">
      <c r="A32" s="19" t="s">
        <v>50</v>
      </c>
      <c r="B32" s="2" t="str">
        <f>IFERROR(__xludf.DUMMYFUNCTION("SPLIT(A32,""C"")"),"Website :")</f>
        <v>Website :</v>
      </c>
      <c r="H32" s="14" t="s">
        <v>1906</v>
      </c>
      <c r="I32" s="2">
        <f>IFERROR(__xludf.DUMMYFUNCTION("SPLIT(H32,"" "")"),2.0)</f>
        <v>2</v>
      </c>
      <c r="J32" s="2" t="str">
        <f>IFERROR(__xludf.DUMMYFUNCTION("""COMPUTED_VALUE"""),"Total")</f>
        <v>Total</v>
      </c>
      <c r="K32" s="2">
        <f>IFERROR(__xludf.DUMMYFUNCTION("""COMPUTED_VALUE"""),2.0)</f>
        <v>2</v>
      </c>
      <c r="N32" s="14">
        <v>2.0</v>
      </c>
      <c r="O32" s="14"/>
      <c r="P32" s="14">
        <f t="shared" si="1"/>
        <v>2</v>
      </c>
      <c r="R32" s="2" t="s">
        <v>1907</v>
      </c>
      <c r="S32" s="2" t="str">
        <f t="shared" si="2"/>
        <v>apara, Mirpur, Dhaka-1216</v>
      </c>
      <c r="T32" s="27" t="str">
        <f>IFERROR(__xludf.DUMMYFUNCTION("SPLIT(S32,"","")"),"apara")</f>
        <v>apara</v>
      </c>
      <c r="U32" s="1" t="str">
        <f>IFERROR(__xludf.DUMMYFUNCTION("""COMPUTED_VALUE""")," Mirpur")</f>
        <v> Mirpur</v>
      </c>
      <c r="V32" s="28" t="str">
        <f>IFERROR(__xludf.DUMMYFUNCTION("""COMPUTED_VALUE""")," Dhaka-1216")</f>
        <v> Dhaka-1216</v>
      </c>
      <c r="X32" s="30">
        <v>1998.0</v>
      </c>
      <c r="Y32" s="30" t="s">
        <v>1890</v>
      </c>
    </row>
    <row r="33" ht="15.75" customHeight="1">
      <c r="A33" s="19" t="s">
        <v>936</v>
      </c>
      <c r="B33" s="2" t="str">
        <f>IFERROR(__xludf.DUMMYFUNCTION("SPLIT(A33,""C"")"),"website:")</f>
        <v>website:</v>
      </c>
      <c r="H33" s="14" t="s">
        <v>1908</v>
      </c>
      <c r="I33" s="2">
        <f>IFERROR(__xludf.DUMMYFUNCTION("SPLIT(H33,"" "")"),4.0)</f>
        <v>4</v>
      </c>
      <c r="J33" s="2">
        <f>IFERROR(__xludf.DUMMYFUNCTION("""COMPUTED_VALUE"""),0.0)</f>
        <v>0</v>
      </c>
      <c r="K33" s="2" t="str">
        <f>IFERROR(__xludf.DUMMYFUNCTION("""COMPUTED_VALUE"""),"Total")</f>
        <v>Total</v>
      </c>
      <c r="L33" s="2">
        <f>IFERROR(__xludf.DUMMYFUNCTION("""COMPUTED_VALUE"""),4.0)</f>
        <v>4</v>
      </c>
      <c r="N33" s="14">
        <v>4.0</v>
      </c>
      <c r="O33" s="14">
        <v>0.0</v>
      </c>
      <c r="P33" s="14">
        <f t="shared" si="1"/>
        <v>4</v>
      </c>
      <c r="R33" s="2" t="s">
        <v>1909</v>
      </c>
      <c r="S33" s="2" t="str">
        <f t="shared" si="2"/>
        <v>Dhanmondi R/A, Dhaka-1209</v>
      </c>
      <c r="T33" s="27" t="str">
        <f>IFERROR(__xludf.DUMMYFUNCTION("SPLIT(S33,"","")"),"Dhanmondi R/A")</f>
        <v>Dhanmondi R/A</v>
      </c>
      <c r="U33" s="1" t="str">
        <f>IFERROR(__xludf.DUMMYFUNCTION("""COMPUTED_VALUE""")," Dhaka-1209")</f>
        <v> Dhaka-1209</v>
      </c>
      <c r="V33" s="28"/>
      <c r="X33" s="30" t="s">
        <v>1910</v>
      </c>
    </row>
    <row r="34" ht="15.75" customHeight="1">
      <c r="A34" s="19"/>
      <c r="B34" s="2" t="str">
        <f>IFERROR(__xludf.DUMMYFUNCTION("SPLIT(A34,""C"")"),"#VALUE!")</f>
        <v>#VALUE!</v>
      </c>
      <c r="H34" s="14" t="s">
        <v>1911</v>
      </c>
      <c r="I34" s="2" t="str">
        <f>IFERROR(__xludf.DUMMYFUNCTION("SPLIT(H34,"" "")"),"Total")</f>
        <v>Total</v>
      </c>
      <c r="N34" s="14"/>
      <c r="O34" s="14"/>
      <c r="P34" s="14">
        <f t="shared" si="1"/>
        <v>0</v>
      </c>
      <c r="R34" s="2" t="s">
        <v>1912</v>
      </c>
      <c r="S34" s="2" t="str">
        <f t="shared" si="2"/>
        <v>g no-730, Khilgaon, Dhaka</v>
      </c>
      <c r="T34" s="27" t="str">
        <f>IFERROR(__xludf.DUMMYFUNCTION("SPLIT(S34,"","")"),"g no-730")</f>
        <v>g no-730</v>
      </c>
      <c r="U34" s="1" t="str">
        <f>IFERROR(__xludf.DUMMYFUNCTION("""COMPUTED_VALUE""")," Khilgaon")</f>
        <v> Khilgaon</v>
      </c>
      <c r="V34" s="28" t="str">
        <f>IFERROR(__xludf.DUMMYFUNCTION("""COMPUTED_VALUE""")," Dhaka")</f>
        <v> Dhaka</v>
      </c>
      <c r="X34" s="30">
        <v>1999.0</v>
      </c>
      <c r="Y34" s="30" t="s">
        <v>1890</v>
      </c>
    </row>
    <row r="35" ht="15.75" customHeight="1">
      <c r="A35" s="31" t="s">
        <v>1913</v>
      </c>
      <c r="B35" s="26" t="str">
        <f>IFERROR(__xludf.DUMMYFUNCTION("SPLIT(A35,""C"")")," archiworksbd.wixsite.com/home")</f>
        <v> archiworksbd.wixsite.com/home</v>
      </c>
      <c r="F35" s="26" t="s">
        <v>1913</v>
      </c>
      <c r="H35" s="14" t="s">
        <v>1911</v>
      </c>
      <c r="I35" s="2" t="str">
        <f>IFERROR(__xludf.DUMMYFUNCTION("SPLIT(H35,"" "")"),"Total")</f>
        <v>Total</v>
      </c>
      <c r="N35" s="14"/>
      <c r="O35" s="14"/>
      <c r="P35" s="14">
        <f t="shared" si="1"/>
        <v>0</v>
      </c>
      <c r="R35" s="2" t="s">
        <v>1914</v>
      </c>
      <c r="S35" s="2" t="str">
        <f t="shared" si="2"/>
        <v>/A, Gulshan-1, Dhaka-1212</v>
      </c>
      <c r="T35" s="27" t="str">
        <f>IFERROR(__xludf.DUMMYFUNCTION("SPLIT(S35,"","")"),"/A")</f>
        <v>/A</v>
      </c>
      <c r="U35" s="1" t="str">
        <f>IFERROR(__xludf.DUMMYFUNCTION("""COMPUTED_VALUE""")," Gulshan-1")</f>
        <v> Gulshan-1</v>
      </c>
      <c r="V35" s="28" t="str">
        <f>IFERROR(__xludf.DUMMYFUNCTION("""COMPUTED_VALUE""")," Dhaka-1212")</f>
        <v> Dhaka-1212</v>
      </c>
      <c r="X35" s="30" t="s">
        <v>1915</v>
      </c>
    </row>
    <row r="36" ht="15.75" customHeight="1">
      <c r="A36" s="19"/>
      <c r="B36" s="2" t="str">
        <f>IFERROR(__xludf.DUMMYFUNCTION("SPLIT(A36,""C"")"),"#VALUE!")</f>
        <v>#VALUE!</v>
      </c>
      <c r="H36" s="14" t="s">
        <v>1916</v>
      </c>
      <c r="I36" s="2">
        <f>IFERROR(__xludf.DUMMYFUNCTION("SPLIT(H36,"" "")"),3.0)</f>
        <v>3</v>
      </c>
      <c r="J36" s="2" t="str">
        <f>IFERROR(__xludf.DUMMYFUNCTION("""COMPUTED_VALUE"""),"Total")</f>
        <v>Total</v>
      </c>
      <c r="K36" s="2">
        <f>IFERROR(__xludf.DUMMYFUNCTION("""COMPUTED_VALUE"""),3.0)</f>
        <v>3</v>
      </c>
      <c r="N36" s="14">
        <v>3.0</v>
      </c>
      <c r="O36" s="14"/>
      <c r="P36" s="14">
        <f t="shared" si="1"/>
        <v>3</v>
      </c>
      <c r="R36" s="2" t="s">
        <v>1917</v>
      </c>
      <c r="S36" s="2" t="str">
        <f t="shared" si="2"/>
        <v>/A, Dhanmondi, Dhaka-1216</v>
      </c>
      <c r="T36" s="27" t="str">
        <f>IFERROR(__xludf.DUMMYFUNCTION("SPLIT(S36,"","")"),"/A")</f>
        <v>/A</v>
      </c>
      <c r="U36" s="1" t="str">
        <f>IFERROR(__xludf.DUMMYFUNCTION("""COMPUTED_VALUE""")," Dhanmondi")</f>
        <v> Dhanmondi</v>
      </c>
      <c r="V36" s="28" t="str">
        <f>IFERROR(__xludf.DUMMYFUNCTION("""COMPUTED_VALUE""")," Dhaka-1216")</f>
        <v> Dhaka-1216</v>
      </c>
      <c r="X36" s="30">
        <v>2000.0</v>
      </c>
      <c r="Y36" s="30" t="s">
        <v>1918</v>
      </c>
    </row>
    <row r="37" ht="15.75" customHeight="1">
      <c r="A37" s="19"/>
      <c r="B37" s="2" t="str">
        <f>IFERROR(__xludf.DUMMYFUNCTION("SPLIT(A37,""C"")"),"#VALUE!")</f>
        <v>#VALUE!</v>
      </c>
      <c r="H37" s="14" t="s">
        <v>1919</v>
      </c>
      <c r="I37" s="2">
        <f>IFERROR(__xludf.DUMMYFUNCTION("SPLIT(H37,"" "")"),4.0)</f>
        <v>4</v>
      </c>
      <c r="J37" s="2" t="str">
        <f>IFERROR(__xludf.DUMMYFUNCTION("""COMPUTED_VALUE"""),"Total")</f>
        <v>Total</v>
      </c>
      <c r="K37" s="2">
        <f>IFERROR(__xludf.DUMMYFUNCTION("""COMPUTED_VALUE"""),4.0)</f>
        <v>4</v>
      </c>
      <c r="N37" s="14">
        <v>4.0</v>
      </c>
      <c r="O37" s="14"/>
      <c r="P37" s="14">
        <f t="shared" si="1"/>
        <v>4</v>
      </c>
      <c r="R37" s="2" t="s">
        <v>1917</v>
      </c>
      <c r="S37" s="2" t="str">
        <f t="shared" si="2"/>
        <v>/A, Dhanmondi, Dhaka-1216</v>
      </c>
      <c r="T37" s="27" t="str">
        <f>IFERROR(__xludf.DUMMYFUNCTION("SPLIT(S37,"","")"),"/A")</f>
        <v>/A</v>
      </c>
      <c r="U37" s="1" t="str">
        <f>IFERROR(__xludf.DUMMYFUNCTION("""COMPUTED_VALUE""")," Dhanmondi")</f>
        <v> Dhanmondi</v>
      </c>
      <c r="V37" s="28" t="str">
        <f>IFERROR(__xludf.DUMMYFUNCTION("""COMPUTED_VALUE""")," Dhaka-1216")</f>
        <v> Dhaka-1216</v>
      </c>
      <c r="X37" s="30" t="s">
        <v>1920</v>
      </c>
    </row>
    <row r="38" ht="15.75" customHeight="1">
      <c r="A38" s="19" t="s">
        <v>6</v>
      </c>
      <c r="B38" s="2" t="str">
        <f>IFERROR(__xludf.DUMMYFUNCTION("SPLIT(A38,""C"")"),"Website : www.basatikalpa.com ")</f>
        <v>Website : www.basatikalpa.com </v>
      </c>
      <c r="C38" s="2" t="str">
        <f>IFERROR(__xludf.DUMMYFUNCTION("""COMPUTED_VALUE"""),"ontact: +88‐02‐7252314")</f>
        <v>ontact: +88‐02‐7252314</v>
      </c>
      <c r="F38" s="26" t="s">
        <v>1921</v>
      </c>
      <c r="H38" s="14" t="s">
        <v>1922</v>
      </c>
      <c r="I38" s="2">
        <f>IFERROR(__xludf.DUMMYFUNCTION("SPLIT(H38,"" "")"),1.0)</f>
        <v>1</v>
      </c>
      <c r="J38" s="2">
        <f>IFERROR(__xludf.DUMMYFUNCTION("""COMPUTED_VALUE"""),6.0)</f>
        <v>6</v>
      </c>
      <c r="K38" s="2" t="str">
        <f>IFERROR(__xludf.DUMMYFUNCTION("""COMPUTED_VALUE"""),"Total")</f>
        <v>Total</v>
      </c>
      <c r="L38" s="2">
        <f>IFERROR(__xludf.DUMMYFUNCTION("""COMPUTED_VALUE"""),7.0)</f>
        <v>7</v>
      </c>
      <c r="N38" s="14">
        <v>1.0</v>
      </c>
      <c r="O38" s="14">
        <v>6.0</v>
      </c>
      <c r="P38" s="14">
        <f t="shared" si="1"/>
        <v>7</v>
      </c>
      <c r="R38" s="2" t="s">
        <v>1923</v>
      </c>
      <c r="S38" s="2" t="str">
        <f t="shared" si="2"/>
        <v>tan, VIP Road, Dhaka‐1000</v>
      </c>
      <c r="T38" s="27" t="str">
        <f>IFERROR(__xludf.DUMMYFUNCTION("SPLIT(S38,"","")"),"tan")</f>
        <v>tan</v>
      </c>
      <c r="U38" s="1" t="str">
        <f>IFERROR(__xludf.DUMMYFUNCTION("""COMPUTED_VALUE""")," VIP Road")</f>
        <v> VIP Road</v>
      </c>
      <c r="V38" s="28" t="str">
        <f>IFERROR(__xludf.DUMMYFUNCTION("""COMPUTED_VALUE""")," Dhaka‐1000")</f>
        <v> Dhaka‐1000</v>
      </c>
      <c r="X38" s="30">
        <v>2001.0</v>
      </c>
      <c r="Y38" s="30" t="s">
        <v>1918</v>
      </c>
    </row>
    <row r="39" ht="15.75" customHeight="1">
      <c r="A39" s="19"/>
      <c r="B39" s="2" t="str">
        <f>IFERROR(__xludf.DUMMYFUNCTION("SPLIT(A39,""C"")"),"#VALUE!")</f>
        <v>#VALUE!</v>
      </c>
      <c r="H39" s="14" t="s">
        <v>1924</v>
      </c>
      <c r="I39" s="2">
        <f>IFERROR(__xludf.DUMMYFUNCTION("SPLIT(H39,"" "")"),5.0)</f>
        <v>5</v>
      </c>
      <c r="J39" s="2">
        <f>IFERROR(__xludf.DUMMYFUNCTION("""COMPUTED_VALUE"""),15.0)</f>
        <v>15</v>
      </c>
      <c r="K39" s="2" t="str">
        <f>IFERROR(__xludf.DUMMYFUNCTION("""COMPUTED_VALUE"""),"Total")</f>
        <v>Total</v>
      </c>
      <c r="L39" s="2">
        <f>IFERROR(__xludf.DUMMYFUNCTION("""COMPUTED_VALUE"""),20.0)</f>
        <v>20</v>
      </c>
      <c r="N39" s="14">
        <v>5.0</v>
      </c>
      <c r="O39" s="14">
        <v>15.0</v>
      </c>
      <c r="P39" s="14">
        <f t="shared" si="1"/>
        <v>20</v>
      </c>
      <c r="R39" s="2" t="s">
        <v>1925</v>
      </c>
      <c r="S39" s="2" t="str">
        <f t="shared" si="2"/>
        <v>ra Model Town, Dhaka‐1230</v>
      </c>
      <c r="T39" s="27" t="str">
        <f>IFERROR(__xludf.DUMMYFUNCTION("SPLIT(S39,"","")"),"ra Model Town")</f>
        <v>ra Model Town</v>
      </c>
      <c r="U39" s="1" t="str">
        <f>IFERROR(__xludf.DUMMYFUNCTION("""COMPUTED_VALUE""")," Dhaka‐1230")</f>
        <v> Dhaka‐1230</v>
      </c>
      <c r="V39" s="28"/>
      <c r="X39" s="30" t="s">
        <v>1926</v>
      </c>
    </row>
    <row r="40" ht="15.75" customHeight="1">
      <c r="A40" s="19" t="s">
        <v>21</v>
      </c>
      <c r="B40" s="2" t="str">
        <f>IFERROR(__xludf.DUMMYFUNCTION("SPLIT(A40,""C"")"),"Website : www.binyashltd.com ")</f>
        <v>Website : www.binyashltd.com </v>
      </c>
      <c r="C40" s="2" t="str">
        <f>IFERROR(__xludf.DUMMYFUNCTION("""COMPUTED_VALUE"""),"ontact: +88‐02‐8715368")</f>
        <v>ontact: +88‐02‐8715368</v>
      </c>
      <c r="F40" s="26" t="s">
        <v>1927</v>
      </c>
      <c r="H40" s="14" t="s">
        <v>1928</v>
      </c>
      <c r="I40" s="2">
        <f>IFERROR(__xludf.DUMMYFUNCTION("SPLIT(H40,"" "")"),7.0)</f>
        <v>7</v>
      </c>
      <c r="J40" s="2">
        <f>IFERROR(__xludf.DUMMYFUNCTION("""COMPUTED_VALUE"""),9.0)</f>
        <v>9</v>
      </c>
      <c r="K40" s="2" t="str">
        <f>IFERROR(__xludf.DUMMYFUNCTION("""COMPUTED_VALUE"""),"Total")</f>
        <v>Total</v>
      </c>
      <c r="L40" s="2">
        <f>IFERROR(__xludf.DUMMYFUNCTION("""COMPUTED_VALUE"""),16.0)</f>
        <v>16</v>
      </c>
      <c r="N40" s="14">
        <v>7.0</v>
      </c>
      <c r="O40" s="14">
        <v>9.0</v>
      </c>
      <c r="P40" s="14">
        <f t="shared" si="1"/>
        <v>16</v>
      </c>
      <c r="R40" s="2" t="s">
        <v>1929</v>
      </c>
      <c r="S40" s="2" t="str">
        <f t="shared" si="2"/>
        <v>HS, Mohakhali, Dhaka‐1206</v>
      </c>
      <c r="T40" s="27" t="str">
        <f>IFERROR(__xludf.DUMMYFUNCTION("SPLIT(S40,"","")"),"HS")</f>
        <v>HS</v>
      </c>
      <c r="U40" s="1" t="str">
        <f>IFERROR(__xludf.DUMMYFUNCTION("""COMPUTED_VALUE""")," Mohakhali")</f>
        <v> Mohakhali</v>
      </c>
      <c r="V40" s="28" t="str">
        <f>IFERROR(__xludf.DUMMYFUNCTION("""COMPUTED_VALUE""")," Dhaka‐1206")</f>
        <v> Dhaka‐1206</v>
      </c>
      <c r="X40" s="30">
        <v>2002.0</v>
      </c>
      <c r="Y40" s="30" t="s">
        <v>1918</v>
      </c>
    </row>
    <row r="41" ht="15.75" customHeight="1">
      <c r="A41" s="19" t="s">
        <v>29</v>
      </c>
      <c r="B41" s="2" t="str">
        <f>IFERROR(__xludf.DUMMYFUNCTION("SPLIT(A41,""C"")"),"Website : www.bksandassociates.com ")</f>
        <v>Website : www.bksandassociates.com </v>
      </c>
      <c r="C41" s="2" t="str">
        <f>IFERROR(__xludf.DUMMYFUNCTION("""COMPUTED_VALUE"""),"ontact: +88‐02‐9677467")</f>
        <v>ontact: +88‐02‐9677467</v>
      </c>
      <c r="F41" s="26" t="s">
        <v>1930</v>
      </c>
      <c r="H41" s="14" t="s">
        <v>1895</v>
      </c>
      <c r="I41" s="2">
        <f>IFERROR(__xludf.DUMMYFUNCTION("SPLIT(H41,"" "")"),2.0)</f>
        <v>2</v>
      </c>
      <c r="J41" s="2">
        <f>IFERROR(__xludf.DUMMYFUNCTION("""COMPUTED_VALUE"""),3.0)</f>
        <v>3</v>
      </c>
      <c r="K41" s="2" t="str">
        <f>IFERROR(__xludf.DUMMYFUNCTION("""COMPUTED_VALUE"""),"Total")</f>
        <v>Total</v>
      </c>
      <c r="L41" s="2">
        <f>IFERROR(__xludf.DUMMYFUNCTION("""COMPUTED_VALUE"""),5.0)</f>
        <v>5</v>
      </c>
      <c r="N41" s="14">
        <v>2.0</v>
      </c>
      <c r="O41" s="14">
        <v>3.0</v>
      </c>
      <c r="P41" s="14">
        <f t="shared" si="1"/>
        <v>5</v>
      </c>
      <c r="R41" s="2" t="s">
        <v>1931</v>
      </c>
      <c r="S41" s="2" t="str">
        <f t="shared" si="2"/>
        <v>ock‐I, Banani, Dkaka‐1213</v>
      </c>
      <c r="T41" s="27" t="str">
        <f>IFERROR(__xludf.DUMMYFUNCTION("SPLIT(S41,"","")"),"ock‐I")</f>
        <v>ock‐I</v>
      </c>
      <c r="U41" s="1" t="str">
        <f>IFERROR(__xludf.DUMMYFUNCTION("""COMPUTED_VALUE""")," Banani")</f>
        <v> Banani</v>
      </c>
      <c r="V41" s="28" t="str">
        <f>IFERROR(__xludf.DUMMYFUNCTION("""COMPUTED_VALUE""")," Dkaka‐1213")</f>
        <v> Dkaka‐1213</v>
      </c>
      <c r="X41" s="30" t="s">
        <v>1932</v>
      </c>
    </row>
    <row r="42" ht="15.75" customHeight="1">
      <c r="A42" s="19"/>
      <c r="B42" s="2" t="str">
        <f>IFERROR(__xludf.DUMMYFUNCTION("SPLIT(A42,""C"")"),"#VALUE!")</f>
        <v>#VALUE!</v>
      </c>
      <c r="H42" s="14" t="s">
        <v>1868</v>
      </c>
      <c r="I42" s="2">
        <f>IFERROR(__xludf.DUMMYFUNCTION("SPLIT(H42,"" "")"),2.0)</f>
        <v>2</v>
      </c>
      <c r="J42" s="2">
        <f>IFERROR(__xludf.DUMMYFUNCTION("""COMPUTED_VALUE"""),2.0)</f>
        <v>2</v>
      </c>
      <c r="K42" s="2" t="str">
        <f>IFERROR(__xludf.DUMMYFUNCTION("""COMPUTED_VALUE"""),"Total")</f>
        <v>Total</v>
      </c>
      <c r="L42" s="2">
        <f>IFERROR(__xludf.DUMMYFUNCTION("""COMPUTED_VALUE"""),4.0)</f>
        <v>4</v>
      </c>
      <c r="N42" s="14">
        <v>2.0</v>
      </c>
      <c r="O42" s="14">
        <v>2.0</v>
      </c>
      <c r="P42" s="14">
        <f t="shared" si="1"/>
        <v>4</v>
      </c>
      <c r="R42" s="2" t="s">
        <v>1933</v>
      </c>
      <c r="S42" s="2" t="str">
        <f t="shared" si="2"/>
        <v>oad, Shyamoli, Dhaka‐1207</v>
      </c>
      <c r="T42" s="27" t="str">
        <f>IFERROR(__xludf.DUMMYFUNCTION("SPLIT(S42,"","")"),"oad")</f>
        <v>oad</v>
      </c>
      <c r="U42" s="1" t="str">
        <f>IFERROR(__xludf.DUMMYFUNCTION("""COMPUTED_VALUE""")," Shyamoli")</f>
        <v> Shyamoli</v>
      </c>
      <c r="V42" s="28" t="str">
        <f>IFERROR(__xludf.DUMMYFUNCTION("""COMPUTED_VALUE""")," Dhaka‐1207")</f>
        <v> Dhaka‐1207</v>
      </c>
      <c r="X42" s="30">
        <v>2003.0</v>
      </c>
      <c r="Y42" s="30" t="s">
        <v>1918</v>
      </c>
    </row>
    <row r="43" ht="15.75" customHeight="1">
      <c r="A43" s="19" t="s">
        <v>43</v>
      </c>
      <c r="B43" s="2" t="str">
        <f>IFERROR(__xludf.DUMMYFUNCTION("SPLIT(A43,""C"")"),"Website : www.37bridge.net ")</f>
        <v>Website : www.37bridge.net </v>
      </c>
      <c r="C43" s="2" t="str">
        <f>IFERROR(__xludf.DUMMYFUNCTION("""COMPUTED_VALUE"""),"ontact: +88‐02‐8051994")</f>
        <v>ontact: +88‐02‐8051994</v>
      </c>
      <c r="F43" s="26" t="s">
        <v>1934</v>
      </c>
      <c r="H43" s="14" t="s">
        <v>1868</v>
      </c>
      <c r="I43" s="2">
        <f>IFERROR(__xludf.DUMMYFUNCTION("SPLIT(H43,"" "")"),2.0)</f>
        <v>2</v>
      </c>
      <c r="J43" s="2">
        <f>IFERROR(__xludf.DUMMYFUNCTION("""COMPUTED_VALUE"""),2.0)</f>
        <v>2</v>
      </c>
      <c r="K43" s="2" t="str">
        <f>IFERROR(__xludf.DUMMYFUNCTION("""COMPUTED_VALUE"""),"Total")</f>
        <v>Total</v>
      </c>
      <c r="L43" s="2">
        <f>IFERROR(__xludf.DUMMYFUNCTION("""COMPUTED_VALUE"""),4.0)</f>
        <v>4</v>
      </c>
      <c r="N43" s="14">
        <v>2.0</v>
      </c>
      <c r="O43" s="14">
        <v>2.0</v>
      </c>
      <c r="P43" s="14">
        <f t="shared" si="1"/>
        <v>4</v>
      </c>
      <c r="R43" s="2" t="s">
        <v>1935</v>
      </c>
      <c r="S43" s="2" t="str">
        <f t="shared" si="2"/>
        <v>arus Salam, Mirpur, Dhaka</v>
      </c>
      <c r="T43" s="27" t="str">
        <f>IFERROR(__xludf.DUMMYFUNCTION("SPLIT(S43,"","")"),"arus Salam")</f>
        <v>arus Salam</v>
      </c>
      <c r="U43" s="1" t="str">
        <f>IFERROR(__xludf.DUMMYFUNCTION("""COMPUTED_VALUE""")," Mirpur")</f>
        <v> Mirpur</v>
      </c>
      <c r="V43" s="28" t="str">
        <f>IFERROR(__xludf.DUMMYFUNCTION("""COMPUTED_VALUE""")," Dhaka")</f>
        <v> Dhaka</v>
      </c>
      <c r="X43" s="30" t="s">
        <v>1936</v>
      </c>
    </row>
    <row r="44" ht="15.75" customHeight="1">
      <c r="A44" s="19" t="s">
        <v>50</v>
      </c>
      <c r="B44" s="2" t="str">
        <f>IFERROR(__xludf.DUMMYFUNCTION("SPLIT(A44,""C"")"),"Website :")</f>
        <v>Website :</v>
      </c>
      <c r="H44" s="14" t="s">
        <v>1900</v>
      </c>
      <c r="I44" s="2">
        <f>IFERROR(__xludf.DUMMYFUNCTION("SPLIT(H44,"" "")"),2.0)</f>
        <v>2</v>
      </c>
      <c r="J44" s="2">
        <f>IFERROR(__xludf.DUMMYFUNCTION("""COMPUTED_VALUE"""),1.0)</f>
        <v>1</v>
      </c>
      <c r="K44" s="2" t="str">
        <f>IFERROR(__xludf.DUMMYFUNCTION("""COMPUTED_VALUE"""),"Total")</f>
        <v>Total</v>
      </c>
      <c r="L44" s="2">
        <f>IFERROR(__xludf.DUMMYFUNCTION("""COMPUTED_VALUE"""),3.0)</f>
        <v>3</v>
      </c>
      <c r="N44" s="14">
        <v>2.0</v>
      </c>
      <c r="O44" s="14">
        <v>1.0</v>
      </c>
      <c r="P44" s="14">
        <f t="shared" si="1"/>
        <v>3</v>
      </c>
      <c r="R44" s="2" t="s">
        <v>1937</v>
      </c>
      <c r="S44" s="2" t="str">
        <f t="shared" si="2"/>
        <v>Elephant Road, Dhaka‐1205</v>
      </c>
      <c r="T44" s="27" t="str">
        <f>IFERROR(__xludf.DUMMYFUNCTION("SPLIT(S44,"","")"),"Elephant Road")</f>
        <v>Elephant Road</v>
      </c>
      <c r="U44" s="1" t="str">
        <f>IFERROR(__xludf.DUMMYFUNCTION("""COMPUTED_VALUE""")," Dhaka‐1205")</f>
        <v> Dhaka‐1205</v>
      </c>
      <c r="V44" s="28"/>
      <c r="X44" s="30">
        <v>2004.0</v>
      </c>
      <c r="Y44" s="30" t="s">
        <v>1918</v>
      </c>
    </row>
    <row r="45" ht="15.75" customHeight="1">
      <c r="A45" s="19"/>
      <c r="B45" s="2" t="str">
        <f>IFERROR(__xludf.DUMMYFUNCTION("SPLIT(A45,""C"")"),"#VALUE!")</f>
        <v>#VALUE!</v>
      </c>
      <c r="H45" s="14" t="s">
        <v>1938</v>
      </c>
      <c r="I45" s="2">
        <f>IFERROR(__xludf.DUMMYFUNCTION("SPLIT(H45,"" "")"),7.0)</f>
        <v>7</v>
      </c>
      <c r="J45" s="2">
        <f>IFERROR(__xludf.DUMMYFUNCTION("""COMPUTED_VALUE"""),0.0)</f>
        <v>0</v>
      </c>
      <c r="K45" s="2" t="str">
        <f>IFERROR(__xludf.DUMMYFUNCTION("""COMPUTED_VALUE"""),"Total")</f>
        <v>Total</v>
      </c>
      <c r="L45" s="2">
        <f>IFERROR(__xludf.DUMMYFUNCTION("""COMPUTED_VALUE"""),7.0)</f>
        <v>7</v>
      </c>
      <c r="N45" s="14">
        <v>7.0</v>
      </c>
      <c r="O45" s="14">
        <v>0.0</v>
      </c>
      <c r="P45" s="14">
        <f t="shared" si="1"/>
        <v>7</v>
      </c>
      <c r="R45" s="2" t="s">
        <v>1939</v>
      </c>
      <c r="S45" s="2" t="str">
        <f t="shared" si="2"/>
        <v>44, Gulshan‐2, Dhaka‐1212</v>
      </c>
      <c r="T45" s="27">
        <f>IFERROR(__xludf.DUMMYFUNCTION("SPLIT(S45,"","")"),44.0)</f>
        <v>44</v>
      </c>
      <c r="U45" s="1" t="str">
        <f>IFERROR(__xludf.DUMMYFUNCTION("""COMPUTED_VALUE""")," Gulshan‐2")</f>
        <v> Gulshan‐2</v>
      </c>
      <c r="V45" s="28" t="str">
        <f>IFERROR(__xludf.DUMMYFUNCTION("""COMPUTED_VALUE""")," Dhaka‐1212")</f>
        <v> Dhaka‐1212</v>
      </c>
      <c r="X45" s="30" t="s">
        <v>1940</v>
      </c>
    </row>
    <row r="46" ht="15.75" customHeight="1">
      <c r="A46" s="19"/>
      <c r="B46" s="2" t="str">
        <f>IFERROR(__xludf.DUMMYFUNCTION("SPLIT(A46,""C"")"),"#VALUE!")</f>
        <v>#VALUE!</v>
      </c>
      <c r="H46" s="14" t="s">
        <v>1871</v>
      </c>
      <c r="I46" s="2">
        <f>IFERROR(__xludf.DUMMYFUNCTION("SPLIT(H46,"" "")"),1.0)</f>
        <v>1</v>
      </c>
      <c r="J46" s="2">
        <f>IFERROR(__xludf.DUMMYFUNCTION("""COMPUTED_VALUE"""),0.0)</f>
        <v>0</v>
      </c>
      <c r="K46" s="2" t="str">
        <f>IFERROR(__xludf.DUMMYFUNCTION("""COMPUTED_VALUE"""),"Total")</f>
        <v>Total</v>
      </c>
      <c r="L46" s="2">
        <f>IFERROR(__xludf.DUMMYFUNCTION("""COMPUTED_VALUE"""),1.0)</f>
        <v>1</v>
      </c>
      <c r="N46" s="14">
        <v>1.0</v>
      </c>
      <c r="O46" s="14">
        <v>0.0</v>
      </c>
      <c r="P46" s="14">
        <f t="shared" si="1"/>
        <v>1</v>
      </c>
      <c r="R46" s="2" t="s">
        <v>1941</v>
      </c>
      <c r="S46" s="2" t="str">
        <f t="shared" si="2"/>
        <v>ue, Gulshan‐1, Dhaka‐1212</v>
      </c>
      <c r="T46" s="27" t="str">
        <f>IFERROR(__xludf.DUMMYFUNCTION("SPLIT(S46,"","")"),"ue")</f>
        <v>ue</v>
      </c>
      <c r="U46" s="1" t="str">
        <f>IFERROR(__xludf.DUMMYFUNCTION("""COMPUTED_VALUE""")," Gulshan‐1")</f>
        <v> Gulshan‐1</v>
      </c>
      <c r="V46" s="28" t="str">
        <f>IFERROR(__xludf.DUMMYFUNCTION("""COMPUTED_VALUE""")," Dhaka‐1212")</f>
        <v> Dhaka‐1212</v>
      </c>
      <c r="X46" s="30">
        <v>2005.0</v>
      </c>
      <c r="Y46" s="30" t="s">
        <v>1942</v>
      </c>
    </row>
    <row r="47" ht="15.75" customHeight="1">
      <c r="A47" s="19" t="s">
        <v>71</v>
      </c>
      <c r="B47" s="2" t="str">
        <f>IFERROR(__xludf.DUMMYFUNCTION("SPLIT(A47,""C"")"),"Website : www.cubeinsidebd.com ")</f>
        <v>Website : www.cubeinsidebd.com </v>
      </c>
      <c r="C47" s="2" t="str">
        <f>IFERROR(__xludf.DUMMYFUNCTION("""COMPUTED_VALUE"""),"ontact: +88‐02‐9870193")</f>
        <v>ontact: +88‐02‐9870193</v>
      </c>
      <c r="F47" s="26" t="s">
        <v>1943</v>
      </c>
      <c r="H47" s="14" t="s">
        <v>1944</v>
      </c>
      <c r="I47" s="2">
        <f>IFERROR(__xludf.DUMMYFUNCTION("SPLIT(H47,"" "")"),7.0)</f>
        <v>7</v>
      </c>
      <c r="J47" s="2">
        <f>IFERROR(__xludf.DUMMYFUNCTION("""COMPUTED_VALUE"""),3.0)</f>
        <v>3</v>
      </c>
      <c r="K47" s="2" t="str">
        <f>IFERROR(__xludf.DUMMYFUNCTION("""COMPUTED_VALUE"""),"Total")</f>
        <v>Total</v>
      </c>
      <c r="L47" s="2">
        <f>IFERROR(__xludf.DUMMYFUNCTION("""COMPUTED_VALUE"""),10.0)</f>
        <v>10</v>
      </c>
      <c r="N47" s="14">
        <v>7.0</v>
      </c>
      <c r="O47" s="14">
        <v>3.0</v>
      </c>
      <c r="P47" s="14">
        <f t="shared" si="1"/>
        <v>10</v>
      </c>
      <c r="R47" s="2" t="s">
        <v>1945</v>
      </c>
      <c r="S47" s="2" t="str">
        <f t="shared" si="2"/>
        <v>ock‐I, Banani, Dhaka‐1213</v>
      </c>
      <c r="T47" s="27" t="str">
        <f>IFERROR(__xludf.DUMMYFUNCTION("SPLIT(S47,"","")"),"ock‐I")</f>
        <v>ock‐I</v>
      </c>
      <c r="U47" s="1" t="str">
        <f>IFERROR(__xludf.DUMMYFUNCTION("""COMPUTED_VALUE""")," Banani")</f>
        <v> Banani</v>
      </c>
      <c r="V47" s="28" t="str">
        <f>IFERROR(__xludf.DUMMYFUNCTION("""COMPUTED_VALUE""")," Dhaka‐1213")</f>
        <v> Dhaka‐1213</v>
      </c>
      <c r="X47" s="30" t="s">
        <v>1946</v>
      </c>
    </row>
    <row r="48" ht="15.75" customHeight="1">
      <c r="A48" s="19" t="s">
        <v>80</v>
      </c>
      <c r="B48" s="2" t="str">
        <f>IFERROR(__xludf.DUMMYFUNCTION("SPLIT(A48,""C"")"),"Website : www.deshupodesh.com ")</f>
        <v>Website : www.deshupodesh.com </v>
      </c>
      <c r="C48" s="2" t="str">
        <f>IFERROR(__xludf.DUMMYFUNCTION("""COMPUTED_VALUE"""),"ontact: +88‐02‐8117694, 9137154")</f>
        <v>ontact: +88‐02‐8117694, 9137154</v>
      </c>
      <c r="F48" s="26" t="s">
        <v>1947</v>
      </c>
      <c r="H48" s="14" t="s">
        <v>1948</v>
      </c>
      <c r="I48" s="2">
        <f>IFERROR(__xludf.DUMMYFUNCTION("SPLIT(H48,"" "")"),2.0)</f>
        <v>2</v>
      </c>
      <c r="J48" s="2">
        <f>IFERROR(__xludf.DUMMYFUNCTION("""COMPUTED_VALUE"""),17.0)</f>
        <v>17</v>
      </c>
      <c r="K48" s="2" t="str">
        <f>IFERROR(__xludf.DUMMYFUNCTION("""COMPUTED_VALUE"""),"Total")</f>
        <v>Total</v>
      </c>
      <c r="L48" s="2">
        <f>IFERROR(__xludf.DUMMYFUNCTION("""COMPUTED_VALUE"""),19.0)</f>
        <v>19</v>
      </c>
      <c r="N48" s="14">
        <v>2.0</v>
      </c>
      <c r="O48" s="14">
        <v>17.0</v>
      </c>
      <c r="P48" s="14">
        <f t="shared" si="1"/>
        <v>19</v>
      </c>
      <c r="R48" s="2" t="s">
        <v>1949</v>
      </c>
      <c r="S48" s="2" t="str">
        <f t="shared" si="2"/>
        <v>, Mohammadpur, Dhaka‐1207</v>
      </c>
      <c r="T48" s="27" t="str">
        <f>IFERROR(__xludf.DUMMYFUNCTION("SPLIT(S48,"","")")," Mohammadpur")</f>
        <v> Mohammadpur</v>
      </c>
      <c r="U48" s="1" t="str">
        <f>IFERROR(__xludf.DUMMYFUNCTION("""COMPUTED_VALUE""")," Dhaka‐1207")</f>
        <v> Dhaka‐1207</v>
      </c>
      <c r="V48" s="28"/>
      <c r="X48" s="30">
        <v>2006.0</v>
      </c>
      <c r="Y48" s="30" t="s">
        <v>1942</v>
      </c>
    </row>
    <row r="49" ht="15.75" customHeight="1">
      <c r="A49" s="19"/>
      <c r="B49" s="2" t="str">
        <f>IFERROR(__xludf.DUMMYFUNCTION("SPLIT(A49,""C"")"),"#VALUE!")</f>
        <v>#VALUE!</v>
      </c>
      <c r="H49" s="14" t="s">
        <v>1831</v>
      </c>
      <c r="I49" s="2">
        <f>IFERROR(__xludf.DUMMYFUNCTION("SPLIT(H49,"" "")"),1.0)</f>
        <v>1</v>
      </c>
      <c r="J49" s="2">
        <f>IFERROR(__xludf.DUMMYFUNCTION("""COMPUTED_VALUE"""),3.0)</f>
        <v>3</v>
      </c>
      <c r="K49" s="2" t="str">
        <f>IFERROR(__xludf.DUMMYFUNCTION("""COMPUTED_VALUE"""),"Total")</f>
        <v>Total</v>
      </c>
      <c r="L49" s="2">
        <f>IFERROR(__xludf.DUMMYFUNCTION("""COMPUTED_VALUE"""),4.0)</f>
        <v>4</v>
      </c>
      <c r="N49" s="14">
        <v>1.0</v>
      </c>
      <c r="O49" s="14">
        <v>3.0</v>
      </c>
      <c r="P49" s="14">
        <f t="shared" si="1"/>
        <v>4</v>
      </c>
      <c r="R49" s="2" t="s">
        <v>1950</v>
      </c>
      <c r="S49" s="2" t="str">
        <f t="shared" si="2"/>
        <v>loor, Flat‐GC, Dhaka‐1215</v>
      </c>
      <c r="T49" s="27" t="str">
        <f>IFERROR(__xludf.DUMMYFUNCTION("SPLIT(S49,"","")"),"loor")</f>
        <v>loor</v>
      </c>
      <c r="U49" s="1" t="str">
        <f>IFERROR(__xludf.DUMMYFUNCTION("""COMPUTED_VALUE""")," Flat‐GC")</f>
        <v> Flat‐GC</v>
      </c>
      <c r="V49" s="28" t="str">
        <f>IFERROR(__xludf.DUMMYFUNCTION("""COMPUTED_VALUE""")," Dhaka‐1215")</f>
        <v> Dhaka‐1215</v>
      </c>
      <c r="X49" s="30" t="s">
        <v>1951</v>
      </c>
    </row>
    <row r="50" ht="15.75" customHeight="1">
      <c r="A50" s="19"/>
      <c r="B50" s="2" t="str">
        <f>IFERROR(__xludf.DUMMYFUNCTION("SPLIT(A50,""C"")"),"#VALUE!")</f>
        <v>#VALUE!</v>
      </c>
      <c r="H50" s="14" t="s">
        <v>1952</v>
      </c>
      <c r="I50" s="2">
        <f>IFERROR(__xludf.DUMMYFUNCTION("SPLIT(H50,"" "")"),2.0)</f>
        <v>2</v>
      </c>
      <c r="J50" s="2">
        <f>IFERROR(__xludf.DUMMYFUNCTION("""COMPUTED_VALUE"""),7.0)</f>
        <v>7</v>
      </c>
      <c r="K50" s="2" t="str">
        <f>IFERROR(__xludf.DUMMYFUNCTION("""COMPUTED_VALUE"""),"Total")</f>
        <v>Total</v>
      </c>
      <c r="L50" s="2">
        <f>IFERROR(__xludf.DUMMYFUNCTION("""COMPUTED_VALUE"""),9.0)</f>
        <v>9</v>
      </c>
      <c r="N50" s="14">
        <v>2.0</v>
      </c>
      <c r="O50" s="14">
        <v>7.0</v>
      </c>
      <c r="P50" s="14">
        <f t="shared" si="1"/>
        <v>9</v>
      </c>
      <c r="R50" s="2" t="s">
        <v>1953</v>
      </c>
      <c r="S50" s="2" t="str">
        <f t="shared" si="2"/>
        <v> Road‐9, Sector‐4, Uttara</v>
      </c>
      <c r="T50" s="27" t="str">
        <f>IFERROR(__xludf.DUMMYFUNCTION("SPLIT(S50,"","")")," Road‐9")</f>
        <v> Road‐9</v>
      </c>
      <c r="U50" s="1" t="str">
        <f>IFERROR(__xludf.DUMMYFUNCTION("""COMPUTED_VALUE""")," Sector‐4")</f>
        <v> Sector‐4</v>
      </c>
      <c r="V50" s="28" t="str">
        <f>IFERROR(__xludf.DUMMYFUNCTION("""COMPUTED_VALUE""")," Uttara")</f>
        <v> Uttara</v>
      </c>
      <c r="X50" s="30">
        <v>2007.0</v>
      </c>
      <c r="Y50" s="30" t="s">
        <v>1942</v>
      </c>
    </row>
    <row r="51" ht="15.75" customHeight="1">
      <c r="A51" s="19" t="s">
        <v>100</v>
      </c>
      <c r="B51" s="2" t="str">
        <f>IFERROR(__xludf.DUMMYFUNCTION("SPLIT(A51,""C"")"),"Website : www.designvision.com.bd ")</f>
        <v>Website : www.designvision.com.bd </v>
      </c>
      <c r="C51" s="2" t="str">
        <f>IFERROR(__xludf.DUMMYFUNCTION("""COMPUTED_VALUE"""),"ontact: +88‐02‐9895183, 8834353")</f>
        <v>ontact: +88‐02‐9895183, 8834353</v>
      </c>
      <c r="F51" s="26" t="s">
        <v>1954</v>
      </c>
      <c r="H51" s="14" t="s">
        <v>1955</v>
      </c>
      <c r="I51" s="2">
        <f>IFERROR(__xludf.DUMMYFUNCTION("SPLIT(H51,"" "")"),7.0)</f>
        <v>7</v>
      </c>
      <c r="J51" s="2">
        <f>IFERROR(__xludf.DUMMYFUNCTION("""COMPUTED_VALUE"""),5.0)</f>
        <v>5</v>
      </c>
      <c r="K51" s="2" t="str">
        <f>IFERROR(__xludf.DUMMYFUNCTION("""COMPUTED_VALUE"""),"Total")</f>
        <v>Total</v>
      </c>
      <c r="L51" s="2">
        <f>IFERROR(__xludf.DUMMYFUNCTION("""COMPUTED_VALUE"""),12.0)</f>
        <v>12</v>
      </c>
      <c r="N51" s="14">
        <v>7.0</v>
      </c>
      <c r="O51" s="14">
        <v>5.0</v>
      </c>
      <c r="P51" s="14">
        <f t="shared" si="1"/>
        <v>12</v>
      </c>
      <c r="R51" s="2" t="s">
        <v>1956</v>
      </c>
      <c r="S51" s="2" t="str">
        <f t="shared" si="2"/>
        <v>agati Sharani, Dhaka‐1212</v>
      </c>
      <c r="T51" s="27" t="str">
        <f>IFERROR(__xludf.DUMMYFUNCTION("SPLIT(S51,"","")"),"agati Sharani")</f>
        <v>agati Sharani</v>
      </c>
      <c r="U51" s="1" t="str">
        <f>IFERROR(__xludf.DUMMYFUNCTION("""COMPUTED_VALUE""")," Dhaka‐1212")</f>
        <v> Dhaka‐1212</v>
      </c>
      <c r="V51" s="28"/>
      <c r="X51" s="30" t="s">
        <v>1957</v>
      </c>
    </row>
    <row r="52" ht="15.75" customHeight="1">
      <c r="A52" s="19" t="s">
        <v>108</v>
      </c>
      <c r="B52" s="2" t="str">
        <f>IFERROR(__xludf.DUMMYFUNCTION("SPLIT(A52,""C"")"),"Website : www.domusbdarchitects.com ")</f>
        <v>Website : www.domusbdarchitects.com </v>
      </c>
      <c r="C52" s="2" t="str">
        <f>IFERROR(__xludf.DUMMYFUNCTION("""COMPUTED_VALUE"""),"ontact: +88‐02‐8822629,9820968,9820969,9889418")</f>
        <v>ontact: +88‐02‐8822629,9820968,9820969,9889418</v>
      </c>
      <c r="F52" s="26" t="s">
        <v>1958</v>
      </c>
      <c r="H52" s="14" t="s">
        <v>1959</v>
      </c>
      <c r="I52" s="2">
        <f>IFERROR(__xludf.DUMMYFUNCTION("SPLIT(H52,"" "")"),6.0)</f>
        <v>6</v>
      </c>
      <c r="J52" s="2">
        <f>IFERROR(__xludf.DUMMYFUNCTION("""COMPUTED_VALUE"""),12.0)</f>
        <v>12</v>
      </c>
      <c r="K52" s="2" t="str">
        <f>IFERROR(__xludf.DUMMYFUNCTION("""COMPUTED_VALUE"""),"Total")</f>
        <v>Total</v>
      </c>
      <c r="L52" s="2">
        <f>IFERROR(__xludf.DUMMYFUNCTION("""COMPUTED_VALUE"""),18.0)</f>
        <v>18</v>
      </c>
      <c r="N52" s="14">
        <v>6.0</v>
      </c>
      <c r="O52" s="14">
        <v>12.0</v>
      </c>
      <c r="P52" s="14">
        <f t="shared" si="1"/>
        <v>18</v>
      </c>
      <c r="R52" s="2" t="s">
        <v>1960</v>
      </c>
      <c r="S52" s="2" t="str">
        <f t="shared" si="2"/>
        <v>i C/A, Banani ,Dhaka 1213</v>
      </c>
      <c r="T52" s="27" t="str">
        <f>IFERROR(__xludf.DUMMYFUNCTION("SPLIT(S52,"","")"),"i C/A")</f>
        <v>i C/A</v>
      </c>
      <c r="U52" s="1" t="str">
        <f>IFERROR(__xludf.DUMMYFUNCTION("""COMPUTED_VALUE""")," Banani ")</f>
        <v> Banani </v>
      </c>
      <c r="V52" s="28" t="str">
        <f>IFERROR(__xludf.DUMMYFUNCTION("""COMPUTED_VALUE"""),"Dhaka 1213")</f>
        <v>Dhaka 1213</v>
      </c>
      <c r="X52" s="30">
        <v>2008.0</v>
      </c>
      <c r="Y52" s="30" t="s">
        <v>1942</v>
      </c>
    </row>
    <row r="53" ht="15.75" customHeight="1">
      <c r="A53" s="19" t="s">
        <v>936</v>
      </c>
      <c r="B53" s="2" t="str">
        <f>IFERROR(__xludf.DUMMYFUNCTION("SPLIT(A53,""C"")"),"website:")</f>
        <v>website:</v>
      </c>
      <c r="H53" s="14" t="s">
        <v>1961</v>
      </c>
      <c r="I53" s="2">
        <f>IFERROR(__xludf.DUMMYFUNCTION("SPLIT(H53,"" "")"),3.0)</f>
        <v>3</v>
      </c>
      <c r="J53" s="2">
        <f>IFERROR(__xludf.DUMMYFUNCTION("""COMPUTED_VALUE"""),3.0)</f>
        <v>3</v>
      </c>
      <c r="K53" s="2" t="str">
        <f>IFERROR(__xludf.DUMMYFUNCTION("""COMPUTED_VALUE"""),"Total")</f>
        <v>Total</v>
      </c>
      <c r="L53" s="2">
        <f>IFERROR(__xludf.DUMMYFUNCTION("""COMPUTED_VALUE"""),6.0)</f>
        <v>6</v>
      </c>
      <c r="N53" s="14">
        <v>3.0</v>
      </c>
      <c r="O53" s="14">
        <v>3.0</v>
      </c>
      <c r="P53" s="14">
        <f t="shared" si="1"/>
        <v>6</v>
      </c>
      <c r="R53" s="2" t="s">
        <v>1962</v>
      </c>
      <c r="S53" s="2" t="str">
        <f t="shared" si="2"/>
        <v> Lalmatia, Block‐A, Dhaka</v>
      </c>
      <c r="T53" s="27" t="str">
        <f>IFERROR(__xludf.DUMMYFUNCTION("SPLIT(S53,"","")")," Lalmatia")</f>
        <v> Lalmatia</v>
      </c>
      <c r="U53" s="1" t="str">
        <f>IFERROR(__xludf.DUMMYFUNCTION("""COMPUTED_VALUE""")," Block‐A")</f>
        <v> Block‐A</v>
      </c>
      <c r="V53" s="28" t="str">
        <f>IFERROR(__xludf.DUMMYFUNCTION("""COMPUTED_VALUE""")," Dhaka")</f>
        <v> Dhaka</v>
      </c>
      <c r="X53" s="30" t="s">
        <v>1963</v>
      </c>
    </row>
    <row r="54" ht="15.75" customHeight="1">
      <c r="A54" s="19" t="s">
        <v>121</v>
      </c>
      <c r="B54" s="2" t="str">
        <f>IFERROR(__xludf.DUMMYFUNCTION("SPLIT(A54,""C"")"),"Website : www.dehsarworks.com ")</f>
        <v>Website : www.dehsarworks.com </v>
      </c>
      <c r="C54" s="2" t="str">
        <f>IFERROR(__xludf.DUMMYFUNCTION("""COMPUTED_VALUE"""),"ontact: +8801818064118")</f>
        <v>ontact: +8801818064118</v>
      </c>
      <c r="F54" s="26" t="s">
        <v>1964</v>
      </c>
      <c r="H54" s="14" t="s">
        <v>1965</v>
      </c>
      <c r="I54" s="2">
        <f>IFERROR(__xludf.DUMMYFUNCTION("SPLIT(H54,"" "")"),4.0)</f>
        <v>4</v>
      </c>
      <c r="J54" s="2">
        <f>IFERROR(__xludf.DUMMYFUNCTION("""COMPUTED_VALUE"""),5.0)</f>
        <v>5</v>
      </c>
      <c r="K54" s="2" t="str">
        <f>IFERROR(__xludf.DUMMYFUNCTION("""COMPUTED_VALUE"""),"Total")</f>
        <v>Total</v>
      </c>
      <c r="L54" s="2">
        <f>IFERROR(__xludf.DUMMYFUNCTION("""COMPUTED_VALUE"""),9.0)</f>
        <v>9</v>
      </c>
      <c r="N54" s="14">
        <v>4.0</v>
      </c>
      <c r="O54" s="14">
        <v>5.0</v>
      </c>
      <c r="P54" s="14">
        <f t="shared" si="1"/>
        <v>9</v>
      </c>
      <c r="R54" s="2" t="s">
        <v>1966</v>
      </c>
      <c r="S54" s="2" t="str">
        <f t="shared" si="2"/>
        <v>Dhanmondi R/A, Dhaka‐1209</v>
      </c>
      <c r="T54" s="27" t="str">
        <f>IFERROR(__xludf.DUMMYFUNCTION("SPLIT(S54,"","")"),"Dhanmondi R/A")</f>
        <v>Dhanmondi R/A</v>
      </c>
      <c r="U54" s="1" t="str">
        <f>IFERROR(__xludf.DUMMYFUNCTION("""COMPUTED_VALUE""")," Dhaka‐1209")</f>
        <v> Dhaka‐1209</v>
      </c>
      <c r="V54" s="28"/>
      <c r="X54" s="30">
        <v>2009.0</v>
      </c>
      <c r="Y54" s="30" t="s">
        <v>1942</v>
      </c>
    </row>
    <row r="55" ht="15.75" customHeight="1">
      <c r="A55" s="19" t="s">
        <v>128</v>
      </c>
      <c r="B55" s="2" t="str">
        <f>IFERROR(__xludf.DUMMYFUNCTION("SPLIT(A55,""C"")"),"Website : www.diagonalarchitects‐bd.com")</f>
        <v>Website : www.diagonalarchitects‐bd.com</v>
      </c>
      <c r="F55" s="2" t="s">
        <v>1967</v>
      </c>
      <c r="H55" s="14" t="s">
        <v>1968</v>
      </c>
      <c r="I55" s="2">
        <f>IFERROR(__xludf.DUMMYFUNCTION("SPLIT(H55,"" "")"),1.0)</f>
        <v>1</v>
      </c>
      <c r="J55" s="2">
        <f>IFERROR(__xludf.DUMMYFUNCTION("""COMPUTED_VALUE"""),2.0)</f>
        <v>2</v>
      </c>
      <c r="K55" s="2" t="str">
        <f>IFERROR(__xludf.DUMMYFUNCTION("""COMPUTED_VALUE"""),"Total")</f>
        <v>Total</v>
      </c>
      <c r="L55" s="2">
        <f>IFERROR(__xludf.DUMMYFUNCTION("""COMPUTED_VALUE"""),3.0)</f>
        <v>3</v>
      </c>
      <c r="N55" s="14">
        <v>1.0</v>
      </c>
      <c r="O55" s="14">
        <v>2.0</v>
      </c>
      <c r="P55" s="14">
        <f t="shared" si="1"/>
        <v>3</v>
      </c>
      <c r="R55" s="2" t="s">
        <v>1969</v>
      </c>
      <c r="S55" s="2" t="str">
        <f t="shared" si="2"/>
        <v>ad, Shyamoli, Dhaka‐1207.</v>
      </c>
      <c r="T55" s="27" t="str">
        <f>IFERROR(__xludf.DUMMYFUNCTION("SPLIT(S55,"","")"),"ad")</f>
        <v>ad</v>
      </c>
      <c r="U55" s="1" t="str">
        <f>IFERROR(__xludf.DUMMYFUNCTION("""COMPUTED_VALUE""")," Shyamoli")</f>
        <v> Shyamoli</v>
      </c>
      <c r="V55" s="28" t="str">
        <f>IFERROR(__xludf.DUMMYFUNCTION("""COMPUTED_VALUE""")," Dhaka‐1207.")</f>
        <v> Dhaka‐1207.</v>
      </c>
      <c r="X55" s="30" t="s">
        <v>1970</v>
      </c>
    </row>
    <row r="56" ht="15.75" customHeight="1">
      <c r="A56" s="19" t="s">
        <v>7</v>
      </c>
      <c r="B56" s="2" t="str">
        <f>IFERROR(__xludf.DUMMYFUNCTION("SPLIT(A56,""C"")"),"NAME OF PROPRIETOR/ PARTNER/ DIRE")</f>
        <v>NAME OF PROPRIETOR/ PARTNER/ DIRE</v>
      </c>
      <c r="C56" s="2" t="str">
        <f>IFERROR(__xludf.DUMMYFUNCTION("""COMPUTED_VALUE"""),"TOR(s) &amp; DESIGNATION")</f>
        <v>TOR(s) &amp; DESIGNATION</v>
      </c>
      <c r="H56" s="14" t="s">
        <v>1848</v>
      </c>
      <c r="I56" s="2">
        <f>IFERROR(__xludf.DUMMYFUNCTION("SPLIT(H56,"" "")"),3.0)</f>
        <v>3</v>
      </c>
      <c r="J56" s="2">
        <f>IFERROR(__xludf.DUMMYFUNCTION("""COMPUTED_VALUE"""),1.0)</f>
        <v>1</v>
      </c>
      <c r="K56" s="2" t="str">
        <f>IFERROR(__xludf.DUMMYFUNCTION("""COMPUTED_VALUE"""),"Total")</f>
        <v>Total</v>
      </c>
      <c r="L56" s="2">
        <f>IFERROR(__xludf.DUMMYFUNCTION("""COMPUTED_VALUE"""),4.0)</f>
        <v>4</v>
      </c>
      <c r="N56" s="14">
        <v>3.0</v>
      </c>
      <c r="O56" s="14">
        <v>1.0</v>
      </c>
      <c r="P56" s="14">
        <f t="shared" si="1"/>
        <v>4</v>
      </c>
      <c r="R56" s="2" t="s">
        <v>1971</v>
      </c>
      <c r="S56" s="2" t="str">
        <f t="shared" si="2"/>
        <v>, Mohammadpur, Dhaka‐1207</v>
      </c>
      <c r="T56" s="27" t="str">
        <f>IFERROR(__xludf.DUMMYFUNCTION("SPLIT(S56,"","")")," Mohammadpur")</f>
        <v> Mohammadpur</v>
      </c>
      <c r="U56" s="1" t="str">
        <f>IFERROR(__xludf.DUMMYFUNCTION("""COMPUTED_VALUE""")," Dhaka‐1207")</f>
        <v> Dhaka‐1207</v>
      </c>
      <c r="V56" s="28"/>
      <c r="X56" s="30">
        <v>2010.0</v>
      </c>
      <c r="Y56" s="30" t="s">
        <v>1972</v>
      </c>
    </row>
    <row r="57" ht="15.75" customHeight="1">
      <c r="A57" s="19" t="s">
        <v>939</v>
      </c>
      <c r="B57" s="2" t="str">
        <f>IFERROR(__xludf.DUMMYFUNCTION("SPLIT(A57,""C"")"),"Website : www.dwg‐office.com ")</f>
        <v>Website : www.dwg‐office.com </v>
      </c>
      <c r="C57" s="2" t="str">
        <f>IFERROR(__xludf.DUMMYFUNCTION("""COMPUTED_VALUE"""),"ontact: +88‐02‐9125596, 8801819287680")</f>
        <v>ontact: +88‐02‐9125596, 8801819287680</v>
      </c>
      <c r="F57" s="2" t="s">
        <v>1973</v>
      </c>
      <c r="H57" s="14" t="s">
        <v>1822</v>
      </c>
      <c r="I57" s="2">
        <f>IFERROR(__xludf.DUMMYFUNCTION("SPLIT(H57,"" "")"),3.0)</f>
        <v>3</v>
      </c>
      <c r="J57" s="2">
        <f>IFERROR(__xludf.DUMMYFUNCTION("""COMPUTED_VALUE"""),2.0)</f>
        <v>2</v>
      </c>
      <c r="K57" s="2" t="str">
        <f>IFERROR(__xludf.DUMMYFUNCTION("""COMPUTED_VALUE"""),"Total")</f>
        <v>Total</v>
      </c>
      <c r="L57" s="2">
        <f>IFERROR(__xludf.DUMMYFUNCTION("""COMPUTED_VALUE"""),5.0)</f>
        <v>5</v>
      </c>
      <c r="N57" s="14">
        <v>3.0</v>
      </c>
      <c r="O57" s="14">
        <v>2.0</v>
      </c>
      <c r="P57" s="14">
        <f t="shared" si="1"/>
        <v>5</v>
      </c>
      <c r="R57" s="2" t="s">
        <v>1974</v>
      </c>
      <c r="S57" s="2" t="str">
        <f t="shared" si="2"/>
        <v> Dhanmond R/A, Dhaka‐1209</v>
      </c>
      <c r="T57" s="27" t="str">
        <f>IFERROR(__xludf.DUMMYFUNCTION("SPLIT(S57,"","")")," Dhanmond R/A")</f>
        <v> Dhanmond R/A</v>
      </c>
      <c r="U57" s="1" t="str">
        <f>IFERROR(__xludf.DUMMYFUNCTION("""COMPUTED_VALUE""")," Dhaka‐1209")</f>
        <v> Dhaka‐1209</v>
      </c>
      <c r="V57" s="28"/>
      <c r="X57" s="30" t="s">
        <v>1975</v>
      </c>
    </row>
    <row r="58" ht="15.75" customHeight="1">
      <c r="A58" s="19" t="s">
        <v>1976</v>
      </c>
      <c r="B58" s="2" t="str">
        <f>IFERROR(__xludf.DUMMYFUNCTION("SPLIT(A58,""C"")")," www.dasein‐bd.com")</f>
        <v> www.dasein‐bd.com</v>
      </c>
      <c r="F58" s="2" t="s">
        <v>1976</v>
      </c>
      <c r="H58" s="14" t="s">
        <v>1968</v>
      </c>
      <c r="I58" s="2">
        <f>IFERROR(__xludf.DUMMYFUNCTION("SPLIT(H58,"" "")"),1.0)</f>
        <v>1</v>
      </c>
      <c r="J58" s="2">
        <f>IFERROR(__xludf.DUMMYFUNCTION("""COMPUTED_VALUE"""),2.0)</f>
        <v>2</v>
      </c>
      <c r="K58" s="2" t="str">
        <f>IFERROR(__xludf.DUMMYFUNCTION("""COMPUTED_VALUE"""),"Total")</f>
        <v>Total</v>
      </c>
      <c r="L58" s="2">
        <f>IFERROR(__xludf.DUMMYFUNCTION("""COMPUTED_VALUE"""),3.0)</f>
        <v>3</v>
      </c>
      <c r="N58" s="14">
        <v>1.0</v>
      </c>
      <c r="O58" s="14">
        <v>2.0</v>
      </c>
      <c r="P58" s="14">
        <f t="shared" si="1"/>
        <v>3</v>
      </c>
      <c r="R58" s="2" t="s">
        <v>1977</v>
      </c>
      <c r="S58" s="2" t="str">
        <f t="shared" si="2"/>
        <v>), Dhanmondi, Dhaka‐1209.</v>
      </c>
      <c r="T58" s="27" t="str">
        <f>IFERROR(__xludf.DUMMYFUNCTION("SPLIT(S58,"","")"),")")</f>
        <v>)</v>
      </c>
      <c r="U58" s="1" t="str">
        <f>IFERROR(__xludf.DUMMYFUNCTION("""COMPUTED_VALUE""")," Dhanmondi")</f>
        <v> Dhanmondi</v>
      </c>
      <c r="V58" s="28" t="str">
        <f>IFERROR(__xludf.DUMMYFUNCTION("""COMPUTED_VALUE""")," Dhaka‐1209.")</f>
        <v> Dhaka‐1209.</v>
      </c>
      <c r="X58" s="30">
        <v>2011.0</v>
      </c>
      <c r="Y58" s="30" t="s">
        <v>1972</v>
      </c>
    </row>
    <row r="59" ht="15.75" customHeight="1">
      <c r="A59" s="31" t="s">
        <v>1978</v>
      </c>
      <c r="B59" s="26" t="str">
        <f>IFERROR(__xludf.DUMMYFUNCTION("SPLIT(A59,""C"")")," www.dwm4.com")</f>
        <v> www.dwm4.com</v>
      </c>
      <c r="F59" s="26" t="s">
        <v>1978</v>
      </c>
      <c r="H59" s="14" t="s">
        <v>1911</v>
      </c>
      <c r="I59" s="2" t="str">
        <f>IFERROR(__xludf.DUMMYFUNCTION("SPLIT(H59,"" "")"),"Total")</f>
        <v>Total</v>
      </c>
      <c r="N59" s="14"/>
      <c r="O59" s="14"/>
      <c r="P59" s="14">
        <f t="shared" si="1"/>
        <v>0</v>
      </c>
      <c r="R59" s="2" t="s">
        <v>1979</v>
      </c>
      <c r="S59" s="2" t="str">
        <f t="shared" si="2"/>
        <v> , Mohkhali , Dhaka ‐1206</v>
      </c>
      <c r="T59" s="27" t="str">
        <f>IFERROR(__xludf.DUMMYFUNCTION("SPLIT(S59,"","")")," ")</f>
        <v> </v>
      </c>
      <c r="U59" s="1" t="str">
        <f>IFERROR(__xludf.DUMMYFUNCTION("""COMPUTED_VALUE""")," Mohkhali ")</f>
        <v> Mohkhali </v>
      </c>
      <c r="V59" s="28" t="str">
        <f>IFERROR(__xludf.DUMMYFUNCTION("""COMPUTED_VALUE""")," Dhaka ‐1206")</f>
        <v> Dhaka ‐1206</v>
      </c>
      <c r="X59" s="30" t="s">
        <v>1980</v>
      </c>
    </row>
    <row r="60" ht="15.75" customHeight="1">
      <c r="A60" s="31" t="s">
        <v>1981</v>
      </c>
      <c r="B60" s="26" t="str">
        <f>IFERROR(__xludf.DUMMYFUNCTION("SPLIT(A60,""C"")")," www.dwm4intrends.com")</f>
        <v> www.dwm4intrends.com</v>
      </c>
      <c r="F60" s="26" t="s">
        <v>1981</v>
      </c>
      <c r="H60" s="14" t="s">
        <v>1911</v>
      </c>
      <c r="I60" s="2" t="str">
        <f>IFERROR(__xludf.DUMMYFUNCTION("SPLIT(H60,"" "")"),"Total")</f>
        <v>Total</v>
      </c>
      <c r="N60" s="14"/>
      <c r="O60" s="14"/>
      <c r="P60" s="14">
        <f t="shared" si="1"/>
        <v>0</v>
      </c>
      <c r="R60" s="2" t="s">
        <v>1982</v>
      </c>
      <c r="S60" s="2" t="str">
        <f t="shared" si="2"/>
        <v>HS, Mohakhali, Dhaka‐1206</v>
      </c>
      <c r="T60" s="27" t="str">
        <f>IFERROR(__xludf.DUMMYFUNCTION("SPLIT(S60,"","")"),"HS")</f>
        <v>HS</v>
      </c>
      <c r="U60" s="1" t="str">
        <f>IFERROR(__xludf.DUMMYFUNCTION("""COMPUTED_VALUE""")," Mohakhali")</f>
        <v> Mohakhali</v>
      </c>
      <c r="V60" s="28" t="str">
        <f>IFERROR(__xludf.DUMMYFUNCTION("""COMPUTED_VALUE""")," Dhaka‐1206")</f>
        <v> Dhaka‐1206</v>
      </c>
      <c r="X60" s="30">
        <v>2012.0</v>
      </c>
      <c r="Y60" s="30" t="s">
        <v>1972</v>
      </c>
    </row>
    <row r="61" ht="15.75" customHeight="1">
      <c r="A61" s="19" t="s">
        <v>936</v>
      </c>
      <c r="B61" s="2" t="str">
        <f>IFERROR(__xludf.DUMMYFUNCTION("SPLIT(A61,""C"")"),"website:")</f>
        <v>website:</v>
      </c>
      <c r="H61" s="14" t="s">
        <v>1983</v>
      </c>
      <c r="I61" s="2">
        <f>IFERROR(__xludf.DUMMYFUNCTION("SPLIT(H61,"" "")"),6.0)</f>
        <v>6</v>
      </c>
      <c r="J61" s="2">
        <f>IFERROR(__xludf.DUMMYFUNCTION("""COMPUTED_VALUE"""),9.0)</f>
        <v>9</v>
      </c>
      <c r="K61" s="2" t="str">
        <f>IFERROR(__xludf.DUMMYFUNCTION("""COMPUTED_VALUE"""),"Total")</f>
        <v>Total</v>
      </c>
      <c r="L61" s="2">
        <f>IFERROR(__xludf.DUMMYFUNCTION("""COMPUTED_VALUE"""),15.0)</f>
        <v>15</v>
      </c>
      <c r="N61" s="14">
        <v>6.0</v>
      </c>
      <c r="O61" s="14">
        <v>9.0</v>
      </c>
      <c r="P61" s="14">
        <f t="shared" si="1"/>
        <v>15</v>
      </c>
      <c r="R61" s="2" t="s">
        <v>1984</v>
      </c>
      <c r="S61" s="2" t="str">
        <f t="shared" si="2"/>
        <v>Dhanmondi R/A, Dhaka‐1205</v>
      </c>
      <c r="T61" s="27" t="str">
        <f>IFERROR(__xludf.DUMMYFUNCTION("SPLIT(S61,"","")"),"Dhanmondi R/A")</f>
        <v>Dhanmondi R/A</v>
      </c>
      <c r="U61" s="1" t="str">
        <f>IFERROR(__xludf.DUMMYFUNCTION("""COMPUTED_VALUE""")," Dhaka‐1205")</f>
        <v> Dhaka‐1205</v>
      </c>
      <c r="V61" s="28"/>
      <c r="X61" s="30" t="s">
        <v>1985</v>
      </c>
    </row>
    <row r="62" ht="15.75" customHeight="1">
      <c r="A62" s="19" t="s">
        <v>936</v>
      </c>
      <c r="B62" s="2" t="str">
        <f>IFERROR(__xludf.DUMMYFUNCTION("SPLIT(A62,""C"")"),"website:")</f>
        <v>website:</v>
      </c>
      <c r="H62" s="14" t="s">
        <v>1822</v>
      </c>
      <c r="I62" s="2">
        <f>IFERROR(__xludf.DUMMYFUNCTION("SPLIT(H62,"" "")"),3.0)</f>
        <v>3</v>
      </c>
      <c r="J62" s="2">
        <f>IFERROR(__xludf.DUMMYFUNCTION("""COMPUTED_VALUE"""),2.0)</f>
        <v>2</v>
      </c>
      <c r="K62" s="2" t="str">
        <f>IFERROR(__xludf.DUMMYFUNCTION("""COMPUTED_VALUE"""),"Total")</f>
        <v>Total</v>
      </c>
      <c r="L62" s="2">
        <f>IFERROR(__xludf.DUMMYFUNCTION("""COMPUTED_VALUE"""),5.0)</f>
        <v>5</v>
      </c>
      <c r="N62" s="14">
        <v>3.0</v>
      </c>
      <c r="O62" s="14">
        <v>2.0</v>
      </c>
      <c r="P62" s="14">
        <f t="shared" si="1"/>
        <v>5</v>
      </c>
      <c r="R62" s="2" t="s">
        <v>1986</v>
      </c>
      <c r="S62" s="2" t="str">
        <f t="shared" si="2"/>
        <v>para, Tejgaon, Dhaka‐1215</v>
      </c>
      <c r="T62" s="27" t="str">
        <f>IFERROR(__xludf.DUMMYFUNCTION("SPLIT(S62,"","")"),"para")</f>
        <v>para</v>
      </c>
      <c r="U62" s="1" t="str">
        <f>IFERROR(__xludf.DUMMYFUNCTION("""COMPUTED_VALUE""")," Tejgaon")</f>
        <v> Tejgaon</v>
      </c>
      <c r="V62" s="28" t="str">
        <f>IFERROR(__xludf.DUMMYFUNCTION("""COMPUTED_VALUE""")," Dhaka‐1215")</f>
        <v> Dhaka‐1215</v>
      </c>
      <c r="X62" s="30">
        <v>2013.0</v>
      </c>
      <c r="Y62" s="30" t="s">
        <v>1972</v>
      </c>
    </row>
    <row r="63" ht="15.75" customHeight="1">
      <c r="A63" s="19" t="s">
        <v>936</v>
      </c>
      <c r="B63" s="2" t="str">
        <f>IFERROR(__xludf.DUMMYFUNCTION("SPLIT(A63,""C"")"),"website:")</f>
        <v>website:</v>
      </c>
      <c r="H63" s="14" t="s">
        <v>1987</v>
      </c>
      <c r="I63" s="2">
        <f>IFERROR(__xludf.DUMMYFUNCTION("SPLIT(H63,"" "")"),10.0)</f>
        <v>10</v>
      </c>
      <c r="J63" s="2">
        <f>IFERROR(__xludf.DUMMYFUNCTION("""COMPUTED_VALUE"""),3.0)</f>
        <v>3</v>
      </c>
      <c r="K63" s="2" t="str">
        <f>IFERROR(__xludf.DUMMYFUNCTION("""COMPUTED_VALUE"""),"Total")</f>
        <v>Total</v>
      </c>
      <c r="L63" s="2">
        <f>IFERROR(__xludf.DUMMYFUNCTION("""COMPUTED_VALUE"""),13.0)</f>
        <v>13</v>
      </c>
      <c r="N63" s="14">
        <v>10.0</v>
      </c>
      <c r="O63" s="14">
        <v>3.0</v>
      </c>
      <c r="P63" s="14">
        <f t="shared" si="1"/>
        <v>13</v>
      </c>
      <c r="R63" s="2" t="s">
        <v>1988</v>
      </c>
      <c r="S63" s="2" t="str">
        <f t="shared" si="2"/>
        <v>/E, Gulshan‐1, Dhaka‐1212</v>
      </c>
      <c r="T63" s="27" t="str">
        <f>IFERROR(__xludf.DUMMYFUNCTION("SPLIT(S63,"","")"),"/E")</f>
        <v>/E</v>
      </c>
      <c r="U63" s="1" t="str">
        <f>IFERROR(__xludf.DUMMYFUNCTION("""COMPUTED_VALUE""")," Gulshan‐1")</f>
        <v> Gulshan‐1</v>
      </c>
      <c r="V63" s="28" t="str">
        <f>IFERROR(__xludf.DUMMYFUNCTION("""COMPUTED_VALUE""")," Dhaka‐1212")</f>
        <v> Dhaka‐1212</v>
      </c>
      <c r="X63" s="30" t="s">
        <v>1989</v>
      </c>
    </row>
    <row r="64" ht="15.75" customHeight="1">
      <c r="A64" s="19" t="s">
        <v>190</v>
      </c>
      <c r="B64" s="2" t="str">
        <f>IFERROR(__xludf.DUMMYFUNCTION("SPLIT(A64,""C"")"),"Website : www.envision‐arch.org")</f>
        <v>Website : www.envision‐arch.org</v>
      </c>
      <c r="F64" s="2" t="s">
        <v>1990</v>
      </c>
      <c r="H64" s="14" t="s">
        <v>1848</v>
      </c>
      <c r="I64" s="2">
        <f>IFERROR(__xludf.DUMMYFUNCTION("SPLIT(H64,"" "")"),3.0)</f>
        <v>3</v>
      </c>
      <c r="J64" s="2">
        <f>IFERROR(__xludf.DUMMYFUNCTION("""COMPUTED_VALUE"""),1.0)</f>
        <v>1</v>
      </c>
      <c r="K64" s="2" t="str">
        <f>IFERROR(__xludf.DUMMYFUNCTION("""COMPUTED_VALUE"""),"Total")</f>
        <v>Total</v>
      </c>
      <c r="L64" s="2">
        <f>IFERROR(__xludf.DUMMYFUNCTION("""COMPUTED_VALUE"""),4.0)</f>
        <v>4</v>
      </c>
      <c r="N64" s="14">
        <v>3.0</v>
      </c>
      <c r="O64" s="14">
        <v>1.0</v>
      </c>
      <c r="P64" s="14">
        <f t="shared" si="1"/>
        <v>4</v>
      </c>
      <c r="R64" s="2" t="s">
        <v>1991</v>
      </c>
      <c r="S64" s="2" t="str">
        <f t="shared" si="2"/>
        <v>oor, Lalmatia, Dhaka‐1207</v>
      </c>
      <c r="T64" s="27" t="str">
        <f>IFERROR(__xludf.DUMMYFUNCTION("SPLIT(S64,"","")"),"oor")</f>
        <v>oor</v>
      </c>
      <c r="U64" s="1" t="str">
        <f>IFERROR(__xludf.DUMMYFUNCTION("""COMPUTED_VALUE""")," Lalmatia")</f>
        <v> Lalmatia</v>
      </c>
      <c r="V64" s="28" t="str">
        <f>IFERROR(__xludf.DUMMYFUNCTION("""COMPUTED_VALUE""")," Dhaka‐1207")</f>
        <v> Dhaka‐1207</v>
      </c>
      <c r="X64" s="30">
        <v>2014.0</v>
      </c>
      <c r="Y64" s="30" t="s">
        <v>1972</v>
      </c>
    </row>
    <row r="65" ht="15.75" customHeight="1">
      <c r="A65" s="19" t="s">
        <v>196</v>
      </c>
      <c r="B65" s="2" t="str">
        <f>IFERROR(__xludf.DUMMYFUNCTION("SPLIT(A65,""C"")"),"Website : www.fourthdimensionbd.com ")</f>
        <v>Website : www.fourthdimensionbd.com </v>
      </c>
      <c r="C65" s="2" t="str">
        <f>IFERROR(__xludf.DUMMYFUNCTION("""COMPUTED_VALUE"""),"ontact: +88‐02‐7913394, 8957701")</f>
        <v>ontact: +88‐02‐7913394, 8957701</v>
      </c>
      <c r="F65" s="26" t="s">
        <v>1992</v>
      </c>
      <c r="H65" s="14" t="s">
        <v>1993</v>
      </c>
      <c r="I65" s="2">
        <f>IFERROR(__xludf.DUMMYFUNCTION("SPLIT(H65,"" "")"),2.0)</f>
        <v>2</v>
      </c>
      <c r="J65" s="2">
        <f>IFERROR(__xludf.DUMMYFUNCTION("""COMPUTED_VALUE"""),12.0)</f>
        <v>12</v>
      </c>
      <c r="K65" s="2" t="str">
        <f>IFERROR(__xludf.DUMMYFUNCTION("""COMPUTED_VALUE"""),"Total")</f>
        <v>Total</v>
      </c>
      <c r="L65" s="2">
        <f>IFERROR(__xludf.DUMMYFUNCTION("""COMPUTED_VALUE"""),14.0)</f>
        <v>14</v>
      </c>
      <c r="N65" s="14">
        <v>2.0</v>
      </c>
      <c r="O65" s="14">
        <v>12.0</v>
      </c>
      <c r="P65" s="14">
        <f t="shared" si="1"/>
        <v>14</v>
      </c>
      <c r="R65" s="2" t="s">
        <v>1994</v>
      </c>
      <c r="S65" s="2" t="str">
        <f t="shared" si="2"/>
        <v>ra Model Town, Dhaka‐1230</v>
      </c>
      <c r="T65" s="27" t="str">
        <f>IFERROR(__xludf.DUMMYFUNCTION("SPLIT(S65,"","")"),"ra Model Town")</f>
        <v>ra Model Town</v>
      </c>
      <c r="U65" s="1" t="str">
        <f>IFERROR(__xludf.DUMMYFUNCTION("""COMPUTED_VALUE""")," Dhaka‐1230")</f>
        <v> Dhaka‐1230</v>
      </c>
      <c r="V65" s="28"/>
      <c r="X65" s="30" t="s">
        <v>1995</v>
      </c>
    </row>
    <row r="66" ht="15.75" customHeight="1">
      <c r="A66" s="19" t="s">
        <v>936</v>
      </c>
      <c r="B66" s="2" t="str">
        <f>IFERROR(__xludf.DUMMYFUNCTION("SPLIT(A66,""C"")"),"website:")</f>
        <v>website:</v>
      </c>
      <c r="H66" s="14" t="s">
        <v>1996</v>
      </c>
      <c r="I66" s="2">
        <f>IFERROR(__xludf.DUMMYFUNCTION("SPLIT(H66,"" "")"),2.0)</f>
        <v>2</v>
      </c>
      <c r="J66" s="2">
        <f>IFERROR(__xludf.DUMMYFUNCTION("""COMPUTED_VALUE"""),4.0)</f>
        <v>4</v>
      </c>
      <c r="K66" s="2" t="str">
        <f>IFERROR(__xludf.DUMMYFUNCTION("""COMPUTED_VALUE"""),"Total")</f>
        <v>Total</v>
      </c>
      <c r="L66" s="2">
        <f>IFERROR(__xludf.DUMMYFUNCTION("""COMPUTED_VALUE"""),6.0)</f>
        <v>6</v>
      </c>
      <c r="N66" s="14">
        <v>2.0</v>
      </c>
      <c r="O66" s="14">
        <v>4.0</v>
      </c>
      <c r="P66" s="14">
        <f t="shared" si="1"/>
        <v>6</v>
      </c>
      <c r="R66" s="2" t="s">
        <v>1997</v>
      </c>
      <c r="S66" s="2" t="str">
        <f t="shared" si="2"/>
        <v>tor‐7, Uttara, Dhaka‐1230</v>
      </c>
      <c r="T66" s="27" t="str">
        <f>IFERROR(__xludf.DUMMYFUNCTION("SPLIT(S66,"","")"),"tor‐7")</f>
        <v>tor‐7</v>
      </c>
      <c r="U66" s="1" t="str">
        <f>IFERROR(__xludf.DUMMYFUNCTION("""COMPUTED_VALUE""")," Uttara")</f>
        <v> Uttara</v>
      </c>
      <c r="V66" s="28" t="str">
        <f>IFERROR(__xludf.DUMMYFUNCTION("""COMPUTED_VALUE""")," Dhaka‐1230")</f>
        <v> Dhaka‐1230</v>
      </c>
      <c r="X66" s="30">
        <v>2015.0</v>
      </c>
      <c r="Y66" s="30" t="s">
        <v>1998</v>
      </c>
    </row>
    <row r="67" ht="15.75" customHeight="1">
      <c r="A67" s="19" t="s">
        <v>936</v>
      </c>
      <c r="B67" s="2" t="str">
        <f>IFERROR(__xludf.DUMMYFUNCTION("SPLIT(A67,""C"")"),"website:")</f>
        <v>website:</v>
      </c>
      <c r="H67" s="14" t="s">
        <v>1822</v>
      </c>
      <c r="I67" s="2">
        <f>IFERROR(__xludf.DUMMYFUNCTION("SPLIT(H67,"" "")"),3.0)</f>
        <v>3</v>
      </c>
      <c r="J67" s="2">
        <f>IFERROR(__xludf.DUMMYFUNCTION("""COMPUTED_VALUE"""),2.0)</f>
        <v>2</v>
      </c>
      <c r="K67" s="2" t="str">
        <f>IFERROR(__xludf.DUMMYFUNCTION("""COMPUTED_VALUE"""),"Total")</f>
        <v>Total</v>
      </c>
      <c r="L67" s="2">
        <f>IFERROR(__xludf.DUMMYFUNCTION("""COMPUTED_VALUE"""),5.0)</f>
        <v>5</v>
      </c>
      <c r="N67" s="14">
        <v>3.0</v>
      </c>
      <c r="O67" s="14">
        <v>2.0</v>
      </c>
      <c r="P67" s="14">
        <f t="shared" si="1"/>
        <v>5</v>
      </c>
      <c r="R67" s="2" t="s">
        <v>1999</v>
      </c>
      <c r="S67" s="2" t="str">
        <f t="shared" si="2"/>
        <v>al Khan Road, Chittagong.</v>
      </c>
      <c r="T67" s="27" t="str">
        <f>IFERROR(__xludf.DUMMYFUNCTION("SPLIT(S67,"","")"),"al Khan Road")</f>
        <v>al Khan Road</v>
      </c>
      <c r="U67" s="1" t="str">
        <f>IFERROR(__xludf.DUMMYFUNCTION("""COMPUTED_VALUE""")," Chittagong.")</f>
        <v> Chittagong.</v>
      </c>
      <c r="V67" s="28"/>
      <c r="X67" s="30" t="s">
        <v>2000</v>
      </c>
    </row>
    <row r="68" ht="15.75" customHeight="1">
      <c r="A68" s="19" t="s">
        <v>214</v>
      </c>
      <c r="B68" s="2" t="str">
        <f>IFERROR(__xludf.DUMMYFUNCTION("SPLIT(A68,""C"")"),"Website : www.gka‐bd.com ")</f>
        <v>Website : www.gka‐bd.com </v>
      </c>
      <c r="C68" s="2" t="str">
        <f>IFERROR(__xludf.DUMMYFUNCTION("""COMPUTED_VALUE"""),"ontact: +88‐02‐8191082")</f>
        <v>ontact: +88‐02‐8191082</v>
      </c>
      <c r="F68" s="2" t="s">
        <v>2001</v>
      </c>
      <c r="H68" s="14" t="s">
        <v>1858</v>
      </c>
      <c r="I68" s="2">
        <f>IFERROR(__xludf.DUMMYFUNCTION("SPLIT(H68,"" "")"),1.0)</f>
        <v>1</v>
      </c>
      <c r="J68" s="2">
        <f>IFERROR(__xludf.DUMMYFUNCTION("""COMPUTED_VALUE"""),4.0)</f>
        <v>4</v>
      </c>
      <c r="K68" s="2" t="str">
        <f>IFERROR(__xludf.DUMMYFUNCTION("""COMPUTED_VALUE"""),"Total")</f>
        <v>Total</v>
      </c>
      <c r="L68" s="2">
        <f>IFERROR(__xludf.DUMMYFUNCTION("""COMPUTED_VALUE"""),5.0)</f>
        <v>5</v>
      </c>
      <c r="N68" s="14">
        <v>1.0</v>
      </c>
      <c r="O68" s="14">
        <v>4.0</v>
      </c>
      <c r="P68" s="14">
        <f t="shared" si="1"/>
        <v>5</v>
      </c>
      <c r="R68" s="2" t="s">
        <v>2002</v>
      </c>
      <c r="S68" s="2" t="str">
        <f t="shared" si="2"/>
        <v>Dhanmondi R/A, Dhaka‐1209</v>
      </c>
      <c r="T68" s="27" t="str">
        <f>IFERROR(__xludf.DUMMYFUNCTION("SPLIT(S68,"","")"),"Dhanmondi R/A")</f>
        <v>Dhanmondi R/A</v>
      </c>
      <c r="U68" s="1" t="str">
        <f>IFERROR(__xludf.DUMMYFUNCTION("""COMPUTED_VALUE""")," Dhaka‐1209")</f>
        <v> Dhaka‐1209</v>
      </c>
      <c r="V68" s="28"/>
      <c r="X68" s="30">
        <v>2016.0</v>
      </c>
      <c r="Y68" s="30" t="s">
        <v>1998</v>
      </c>
    </row>
    <row r="69" ht="15.75" customHeight="1">
      <c r="A69" s="19" t="s">
        <v>221</v>
      </c>
      <c r="B69" s="2" t="str">
        <f>IFERROR(__xludf.DUMMYFUNCTION("SPLIT(A69,""C"")"),"Website : www.genesis.archi")</f>
        <v>Website : www.genesis.archi</v>
      </c>
      <c r="F69" s="2" t="s">
        <v>2003</v>
      </c>
      <c r="H69" s="14" t="s">
        <v>1858</v>
      </c>
      <c r="I69" s="2">
        <f>IFERROR(__xludf.DUMMYFUNCTION("SPLIT(H69,"" "")"),1.0)</f>
        <v>1</v>
      </c>
      <c r="J69" s="2">
        <f>IFERROR(__xludf.DUMMYFUNCTION("""COMPUTED_VALUE"""),4.0)</f>
        <v>4</v>
      </c>
      <c r="K69" s="2" t="str">
        <f>IFERROR(__xludf.DUMMYFUNCTION("""COMPUTED_VALUE"""),"Total")</f>
        <v>Total</v>
      </c>
      <c r="L69" s="2">
        <f>IFERROR(__xludf.DUMMYFUNCTION("""COMPUTED_VALUE"""),5.0)</f>
        <v>5</v>
      </c>
      <c r="N69" s="14">
        <v>1.0</v>
      </c>
      <c r="O69" s="14">
        <v>4.0</v>
      </c>
      <c r="P69" s="14">
        <f t="shared" si="1"/>
        <v>5</v>
      </c>
      <c r="R69" s="2" t="s">
        <v>2004</v>
      </c>
      <c r="S69" s="2" t="str">
        <f t="shared" si="2"/>
        <v>zipur Sadar, Gazipur‐1700</v>
      </c>
      <c r="T69" s="27" t="str">
        <f>IFERROR(__xludf.DUMMYFUNCTION("SPLIT(S69,"","")"),"zipur Sadar")</f>
        <v>zipur Sadar</v>
      </c>
      <c r="U69" s="1" t="str">
        <f>IFERROR(__xludf.DUMMYFUNCTION("""COMPUTED_VALUE""")," Gazipur‐1700")</f>
        <v> Gazipur‐1700</v>
      </c>
      <c r="V69" s="28"/>
      <c r="X69" s="30" t="s">
        <v>2005</v>
      </c>
    </row>
    <row r="70" ht="15.75" customHeight="1">
      <c r="A70" s="31" t="s">
        <v>2006</v>
      </c>
      <c r="B70" s="26" t="str">
        <f>IFERROR(__xludf.DUMMYFUNCTION("SPLIT(A70,""C"")")," www.gravityarchitecturestudio.com")</f>
        <v> www.gravityarchitecturestudio.com</v>
      </c>
      <c r="F70" s="26" t="s">
        <v>2006</v>
      </c>
      <c r="H70" s="14" t="s">
        <v>2007</v>
      </c>
      <c r="I70" s="2">
        <f>IFERROR(__xludf.DUMMYFUNCTION("SPLIT(H70,"" "")"),5.0)</f>
        <v>5</v>
      </c>
      <c r="J70" s="2">
        <f>IFERROR(__xludf.DUMMYFUNCTION("""COMPUTED_VALUE"""),1.0)</f>
        <v>1</v>
      </c>
      <c r="K70" s="2" t="str">
        <f>IFERROR(__xludf.DUMMYFUNCTION("""COMPUTED_VALUE"""),"Total")</f>
        <v>Total</v>
      </c>
      <c r="L70" s="2">
        <f>IFERROR(__xludf.DUMMYFUNCTION("""COMPUTED_VALUE"""),6.0)</f>
        <v>6</v>
      </c>
      <c r="N70" s="14">
        <v>5.0</v>
      </c>
      <c r="O70" s="14">
        <v>1.0</v>
      </c>
      <c r="P70" s="14">
        <f t="shared" si="1"/>
        <v>6</v>
      </c>
      <c r="R70" s="2" t="s">
        <v>2008</v>
      </c>
      <c r="S70" s="2" t="str">
        <f t="shared" si="2"/>
        <v>HS Mohakhali, Dhaka‐1206.</v>
      </c>
      <c r="T70" s="27" t="str">
        <f>IFERROR(__xludf.DUMMYFUNCTION("SPLIT(S70,"","")"),"HS Mohakhali")</f>
        <v>HS Mohakhali</v>
      </c>
      <c r="U70" s="1" t="str">
        <f>IFERROR(__xludf.DUMMYFUNCTION("""COMPUTED_VALUE""")," Dhaka‐1206.")</f>
        <v> Dhaka‐1206.</v>
      </c>
      <c r="V70" s="28"/>
      <c r="X70" s="30">
        <v>2017.0</v>
      </c>
      <c r="Y70" s="30" t="s">
        <v>1998</v>
      </c>
    </row>
    <row r="71" ht="15.75" customHeight="1">
      <c r="A71" s="19" t="s">
        <v>936</v>
      </c>
      <c r="B71" s="2" t="str">
        <f>IFERROR(__xludf.DUMMYFUNCTION("SPLIT(A71,""C"")"),"website:")</f>
        <v>website:</v>
      </c>
      <c r="H71" s="14" t="s">
        <v>1871</v>
      </c>
      <c r="I71" s="2">
        <f>IFERROR(__xludf.DUMMYFUNCTION("SPLIT(H71,"" "")"),1.0)</f>
        <v>1</v>
      </c>
      <c r="J71" s="2">
        <f>IFERROR(__xludf.DUMMYFUNCTION("""COMPUTED_VALUE"""),0.0)</f>
        <v>0</v>
      </c>
      <c r="K71" s="2" t="str">
        <f>IFERROR(__xludf.DUMMYFUNCTION("""COMPUTED_VALUE"""),"Total")</f>
        <v>Total</v>
      </c>
      <c r="L71" s="2">
        <f>IFERROR(__xludf.DUMMYFUNCTION("""COMPUTED_VALUE"""),1.0)</f>
        <v>1</v>
      </c>
      <c r="N71" s="14">
        <v>1.0</v>
      </c>
      <c r="O71" s="14">
        <v>0.0</v>
      </c>
      <c r="P71" s="14">
        <f t="shared" si="1"/>
        <v>1</v>
      </c>
      <c r="R71" s="2" t="s">
        <v>2009</v>
      </c>
      <c r="S71" s="2" t="str">
        <f t="shared" si="2"/>
        <v>venue, Gulshan, Dhaka‐121</v>
      </c>
      <c r="T71" s="27" t="str">
        <f>IFERROR(__xludf.DUMMYFUNCTION("SPLIT(S71,"","")"),"venue")</f>
        <v>venue</v>
      </c>
      <c r="U71" s="1" t="str">
        <f>IFERROR(__xludf.DUMMYFUNCTION("""COMPUTED_VALUE""")," Gulshan")</f>
        <v> Gulshan</v>
      </c>
      <c r="V71" s="28" t="str">
        <f>IFERROR(__xludf.DUMMYFUNCTION("""COMPUTED_VALUE""")," Dhaka‐121")</f>
        <v> Dhaka‐121</v>
      </c>
      <c r="X71" s="30" t="s">
        <v>2010</v>
      </c>
    </row>
    <row r="72" ht="15.75" customHeight="1">
      <c r="A72" s="19" t="s">
        <v>936</v>
      </c>
      <c r="B72" s="2" t="str">
        <f>IFERROR(__xludf.DUMMYFUNCTION("SPLIT(A72,""C"")"),"website:")</f>
        <v>website:</v>
      </c>
      <c r="H72" s="14" t="s">
        <v>1831</v>
      </c>
      <c r="I72" s="2">
        <f>IFERROR(__xludf.DUMMYFUNCTION("SPLIT(H72,"" "")"),1.0)</f>
        <v>1</v>
      </c>
      <c r="J72" s="2">
        <f>IFERROR(__xludf.DUMMYFUNCTION("""COMPUTED_VALUE"""),3.0)</f>
        <v>3</v>
      </c>
      <c r="K72" s="2" t="str">
        <f>IFERROR(__xludf.DUMMYFUNCTION("""COMPUTED_VALUE"""),"Total")</f>
        <v>Total</v>
      </c>
      <c r="L72" s="2">
        <f>IFERROR(__xludf.DUMMYFUNCTION("""COMPUTED_VALUE"""),4.0)</f>
        <v>4</v>
      </c>
      <c r="N72" s="14">
        <v>1.0</v>
      </c>
      <c r="O72" s="14">
        <v>3.0</v>
      </c>
      <c r="P72" s="14">
        <f t="shared" si="1"/>
        <v>4</v>
      </c>
      <c r="R72" s="2" t="s">
        <v>2011</v>
      </c>
      <c r="S72" s="2" t="str">
        <f t="shared" si="2"/>
        <v>w), Dhanmondi, Dhaka‐1209</v>
      </c>
      <c r="T72" s="27" t="str">
        <f>IFERROR(__xludf.DUMMYFUNCTION("SPLIT(S72,"","")"),"w)")</f>
        <v>w)</v>
      </c>
      <c r="U72" s="1" t="str">
        <f>IFERROR(__xludf.DUMMYFUNCTION("""COMPUTED_VALUE""")," Dhanmondi")</f>
        <v> Dhanmondi</v>
      </c>
      <c r="V72" s="28" t="str">
        <f>IFERROR(__xludf.DUMMYFUNCTION("""COMPUTED_VALUE""")," Dhaka‐1209")</f>
        <v> Dhaka‐1209</v>
      </c>
      <c r="X72" s="30">
        <v>2018.0</v>
      </c>
      <c r="Y72" s="30" t="s">
        <v>1998</v>
      </c>
    </row>
    <row r="73" ht="15.75" customHeight="1">
      <c r="A73" s="19" t="s">
        <v>936</v>
      </c>
      <c r="B73" s="2" t="str">
        <f>IFERROR(__xludf.DUMMYFUNCTION("SPLIT(A73,""C"")"),"website:")</f>
        <v>website:</v>
      </c>
      <c r="H73" s="14" t="s">
        <v>1895</v>
      </c>
      <c r="I73" s="2">
        <f>IFERROR(__xludf.DUMMYFUNCTION("SPLIT(H73,"" "")"),2.0)</f>
        <v>2</v>
      </c>
      <c r="J73" s="2">
        <f>IFERROR(__xludf.DUMMYFUNCTION("""COMPUTED_VALUE"""),3.0)</f>
        <v>3</v>
      </c>
      <c r="K73" s="2" t="str">
        <f>IFERROR(__xludf.DUMMYFUNCTION("""COMPUTED_VALUE"""),"Total")</f>
        <v>Total</v>
      </c>
      <c r="L73" s="2">
        <f>IFERROR(__xludf.DUMMYFUNCTION("""COMPUTED_VALUE"""),5.0)</f>
        <v>5</v>
      </c>
      <c r="N73" s="14">
        <v>2.0</v>
      </c>
      <c r="O73" s="14">
        <v>3.0</v>
      </c>
      <c r="P73" s="14">
        <f t="shared" si="1"/>
        <v>5</v>
      </c>
      <c r="R73" s="2" t="s">
        <v>2012</v>
      </c>
      <c r="S73" s="2" t="str">
        <f t="shared" si="2"/>
        <v>d‐2, Shyamoli, Dhaka‐1207</v>
      </c>
      <c r="T73" s="27" t="str">
        <f>IFERROR(__xludf.DUMMYFUNCTION("SPLIT(S73,"","")"),"d‐2")</f>
        <v>d‐2</v>
      </c>
      <c r="U73" s="1" t="str">
        <f>IFERROR(__xludf.DUMMYFUNCTION("""COMPUTED_VALUE""")," Shyamoli")</f>
        <v> Shyamoli</v>
      </c>
      <c r="V73" s="28" t="str">
        <f>IFERROR(__xludf.DUMMYFUNCTION("""COMPUTED_VALUE""")," Dhaka‐1207")</f>
        <v> Dhaka‐1207</v>
      </c>
      <c r="X73" s="30" t="s">
        <v>2013</v>
      </c>
    </row>
    <row r="74" ht="15.75" customHeight="1">
      <c r="A74" s="19" t="s">
        <v>50</v>
      </c>
      <c r="B74" s="2" t="str">
        <f>IFERROR(__xludf.DUMMYFUNCTION("SPLIT(A74,""C"")"),"Website :")</f>
        <v>Website :</v>
      </c>
      <c r="H74" s="14" t="s">
        <v>2014</v>
      </c>
      <c r="I74" s="2">
        <f>IFERROR(__xludf.DUMMYFUNCTION("SPLIT(H74,"" "")"),3.0)</f>
        <v>3</v>
      </c>
      <c r="J74" s="2">
        <f>IFERROR(__xludf.DUMMYFUNCTION("""COMPUTED_VALUE"""),7.0)</f>
        <v>7</v>
      </c>
      <c r="K74" s="2" t="str">
        <f>IFERROR(__xludf.DUMMYFUNCTION("""COMPUTED_VALUE"""),"Total")</f>
        <v>Total</v>
      </c>
      <c r="L74" s="2">
        <f>IFERROR(__xludf.DUMMYFUNCTION("""COMPUTED_VALUE"""),10.0)</f>
        <v>10</v>
      </c>
      <c r="N74" s="14">
        <v>3.0</v>
      </c>
      <c r="O74" s="14">
        <v>7.0</v>
      </c>
      <c r="P74" s="14">
        <f t="shared" si="1"/>
        <v>10</v>
      </c>
      <c r="R74" s="2" t="s">
        <v>2015</v>
      </c>
      <c r="S74" s="2" t="str">
        <f t="shared" si="2"/>
        <v>HS Mohakhali , Dhaka 1206</v>
      </c>
      <c r="T74" s="27" t="str">
        <f>IFERROR(__xludf.DUMMYFUNCTION("SPLIT(S74,"","")"),"HS Mohakhali ")</f>
        <v>HS Mohakhali </v>
      </c>
      <c r="U74" s="1" t="str">
        <f>IFERROR(__xludf.DUMMYFUNCTION("""COMPUTED_VALUE""")," Dhaka 1206")</f>
        <v> Dhaka 1206</v>
      </c>
      <c r="V74" s="28"/>
      <c r="X74" s="30">
        <v>2019.0</v>
      </c>
      <c r="Y74" s="30" t="s">
        <v>1998</v>
      </c>
    </row>
    <row r="75" ht="15.75" customHeight="1">
      <c r="A75" s="19" t="s">
        <v>936</v>
      </c>
      <c r="B75" s="2" t="str">
        <f>IFERROR(__xludf.DUMMYFUNCTION("SPLIT(A75,""C"")"),"website:")</f>
        <v>website:</v>
      </c>
      <c r="H75" s="14" t="s">
        <v>2016</v>
      </c>
      <c r="I75" s="2">
        <f>IFERROR(__xludf.DUMMYFUNCTION("SPLIT(H75,"" "")"),2.0)</f>
        <v>2</v>
      </c>
      <c r="J75" s="2">
        <f>IFERROR(__xludf.DUMMYFUNCTION("""COMPUTED_VALUE"""),0.0)</f>
        <v>0</v>
      </c>
      <c r="K75" s="2" t="str">
        <f>IFERROR(__xludf.DUMMYFUNCTION("""COMPUTED_VALUE"""),"Total")</f>
        <v>Total</v>
      </c>
      <c r="L75" s="2">
        <f>IFERROR(__xludf.DUMMYFUNCTION("""COMPUTED_VALUE"""),2.0)</f>
        <v>2</v>
      </c>
      <c r="N75" s="14">
        <v>2.0</v>
      </c>
      <c r="O75" s="14">
        <v>0.0</v>
      </c>
      <c r="P75" s="14">
        <f t="shared" si="1"/>
        <v>2</v>
      </c>
      <c r="R75" s="2" t="s">
        <v>2017</v>
      </c>
      <c r="S75" s="2" t="str">
        <f t="shared" si="2"/>
        <v>or, Dhanmondi, Dhaka‐1205</v>
      </c>
      <c r="T75" s="27" t="str">
        <f>IFERROR(__xludf.DUMMYFUNCTION("SPLIT(S75,"","")"),"or")</f>
        <v>or</v>
      </c>
      <c r="U75" s="1" t="str">
        <f>IFERROR(__xludf.DUMMYFUNCTION("""COMPUTED_VALUE""")," Dhanmondi")</f>
        <v> Dhanmondi</v>
      </c>
      <c r="V75" s="28" t="str">
        <f>IFERROR(__xludf.DUMMYFUNCTION("""COMPUTED_VALUE""")," Dhaka‐1205")</f>
        <v> Dhaka‐1205</v>
      </c>
      <c r="X75" s="30" t="s">
        <v>2018</v>
      </c>
    </row>
    <row r="76" ht="15.75" customHeight="1">
      <c r="A76" s="19" t="s">
        <v>266</v>
      </c>
      <c r="B76" s="2" t="str">
        <f>IFERROR(__xludf.DUMMYFUNCTION("SPLIT(A76,""C"")"),"Website : www.studioinarch.com.bd ")</f>
        <v>Website : www.studioinarch.com.bd </v>
      </c>
      <c r="C76" s="2" t="str">
        <f>IFERROR(__xludf.DUMMYFUNCTION("""COMPUTED_VALUE"""),"ontact: +8801715005352")</f>
        <v>ontact: +8801715005352</v>
      </c>
      <c r="F76" s="26" t="s">
        <v>2019</v>
      </c>
      <c r="H76" s="14" t="s">
        <v>1900</v>
      </c>
      <c r="I76" s="2">
        <f>IFERROR(__xludf.DUMMYFUNCTION("SPLIT(H76,"" "")"),2.0)</f>
        <v>2</v>
      </c>
      <c r="J76" s="2">
        <f>IFERROR(__xludf.DUMMYFUNCTION("""COMPUTED_VALUE"""),1.0)</f>
        <v>1</v>
      </c>
      <c r="K76" s="2" t="str">
        <f>IFERROR(__xludf.DUMMYFUNCTION("""COMPUTED_VALUE"""),"Total")</f>
        <v>Total</v>
      </c>
      <c r="L76" s="2">
        <f>IFERROR(__xludf.DUMMYFUNCTION("""COMPUTED_VALUE"""),3.0)</f>
        <v>3</v>
      </c>
      <c r="N76" s="14">
        <v>2.0</v>
      </c>
      <c r="O76" s="14">
        <v>1.0</v>
      </c>
      <c r="P76" s="14">
        <f t="shared" si="1"/>
        <v>3</v>
      </c>
      <c r="R76" s="2" t="s">
        <v>2020</v>
      </c>
      <c r="S76" s="2" t="str">
        <f t="shared" si="2"/>
        <v>HS, Mohakhali, Dhaka‐1206</v>
      </c>
      <c r="T76" s="27" t="str">
        <f>IFERROR(__xludf.DUMMYFUNCTION("SPLIT(S76,"","")"),"HS")</f>
        <v>HS</v>
      </c>
      <c r="U76" s="1" t="str">
        <f>IFERROR(__xludf.DUMMYFUNCTION("""COMPUTED_VALUE""")," Mohakhali")</f>
        <v> Mohakhali</v>
      </c>
      <c r="V76" s="28" t="str">
        <f>IFERROR(__xludf.DUMMYFUNCTION("""COMPUTED_VALUE""")," Dhaka‐1206")</f>
        <v> Dhaka‐1206</v>
      </c>
      <c r="X76" s="30">
        <v>2020.0</v>
      </c>
      <c r="Y76" s="30" t="s">
        <v>2021</v>
      </c>
    </row>
    <row r="77" ht="15.75" customHeight="1">
      <c r="A77" s="19" t="s">
        <v>273</v>
      </c>
      <c r="B77" s="2" t="str">
        <f>IFERROR(__xludf.DUMMYFUNCTION("SPLIT(A77,""C"")"),"Website : www.facebook.com/insightarch")</f>
        <v>Website : www.facebook.com/insightarch</v>
      </c>
      <c r="F77" s="26" t="s">
        <v>2022</v>
      </c>
      <c r="H77" s="14" t="s">
        <v>2023</v>
      </c>
      <c r="I77" s="2">
        <f>IFERROR(__xludf.DUMMYFUNCTION("SPLIT(H77,"" "")"),6.0)</f>
        <v>6</v>
      </c>
      <c r="J77" s="2">
        <f>IFERROR(__xludf.DUMMYFUNCTION("""COMPUTED_VALUE"""),1.0)</f>
        <v>1</v>
      </c>
      <c r="K77" s="2" t="str">
        <f>IFERROR(__xludf.DUMMYFUNCTION("""COMPUTED_VALUE"""),"Total")</f>
        <v>Total</v>
      </c>
      <c r="L77" s="2">
        <f>IFERROR(__xludf.DUMMYFUNCTION("""COMPUTED_VALUE"""),7.0)</f>
        <v>7</v>
      </c>
      <c r="N77" s="14">
        <v>6.0</v>
      </c>
      <c r="O77" s="14">
        <v>1.0</v>
      </c>
      <c r="P77" s="14">
        <f t="shared" si="1"/>
        <v>7</v>
      </c>
      <c r="R77" s="2" t="s">
        <v>2024</v>
      </c>
      <c r="S77" s="2" t="str">
        <f t="shared" si="2"/>
        <v>, Mohammadpur, Dhaka‐1207</v>
      </c>
      <c r="T77" s="27" t="str">
        <f>IFERROR(__xludf.DUMMYFUNCTION("SPLIT(S77,"","")")," Mohammadpur")</f>
        <v> Mohammadpur</v>
      </c>
      <c r="U77" s="1" t="str">
        <f>IFERROR(__xludf.DUMMYFUNCTION("""COMPUTED_VALUE""")," Dhaka‐1207")</f>
        <v> Dhaka‐1207</v>
      </c>
      <c r="V77" s="28"/>
    </row>
    <row r="78" ht="15.75" customHeight="1">
      <c r="A78" s="31" t="s">
        <v>2025</v>
      </c>
      <c r="B78" s="26" t="str">
        <f>IFERROR(__xludf.DUMMYFUNCTION("SPLIT(A78,""C"")")," www.inquestbd.com")</f>
        <v> www.inquestbd.com</v>
      </c>
      <c r="F78" s="26" t="s">
        <v>2025</v>
      </c>
      <c r="H78" s="14" t="s">
        <v>2026</v>
      </c>
      <c r="I78" s="2">
        <f>IFERROR(__xludf.DUMMYFUNCTION("SPLIT(H78,"" "")"),7.0)</f>
        <v>7</v>
      </c>
      <c r="J78" s="2">
        <f>IFERROR(__xludf.DUMMYFUNCTION("""COMPUTED_VALUE"""),1.0)</f>
        <v>1</v>
      </c>
      <c r="K78" s="2" t="str">
        <f>IFERROR(__xludf.DUMMYFUNCTION("""COMPUTED_VALUE"""),"Total")</f>
        <v>Total</v>
      </c>
      <c r="L78" s="2">
        <f>IFERROR(__xludf.DUMMYFUNCTION("""COMPUTED_VALUE"""),8.0)</f>
        <v>8</v>
      </c>
      <c r="N78" s="14">
        <v>7.0</v>
      </c>
      <c r="O78" s="14">
        <v>1.0</v>
      </c>
      <c r="P78" s="14">
        <f t="shared" si="1"/>
        <v>8</v>
      </c>
      <c r="R78" s="2" t="s">
        <v>2027</v>
      </c>
      <c r="S78" s="2" t="str">
        <f t="shared" si="2"/>
        <v>k‐D, Lalmatia, Dhaka‐1209</v>
      </c>
      <c r="T78" s="27" t="str">
        <f>IFERROR(__xludf.DUMMYFUNCTION("SPLIT(S78,"","")"),"k‐D")</f>
        <v>k‐D</v>
      </c>
      <c r="U78" s="1" t="str">
        <f>IFERROR(__xludf.DUMMYFUNCTION("""COMPUTED_VALUE""")," Lalmatia")</f>
        <v> Lalmatia</v>
      </c>
      <c r="V78" s="28" t="str">
        <f>IFERROR(__xludf.DUMMYFUNCTION("""COMPUTED_VALUE""")," Dhaka‐1209")</f>
        <v> Dhaka‐1209</v>
      </c>
    </row>
    <row r="79" ht="15.75" customHeight="1">
      <c r="A79" s="19"/>
      <c r="B79" s="2" t="str">
        <f>IFERROR(__xludf.DUMMYFUNCTION("SPLIT(A79,""C"")"),"#VALUE!")</f>
        <v>#VALUE!</v>
      </c>
      <c r="H79" s="14" t="s">
        <v>1916</v>
      </c>
      <c r="I79" s="2">
        <f>IFERROR(__xludf.DUMMYFUNCTION("SPLIT(H79,"" "")"),3.0)</f>
        <v>3</v>
      </c>
      <c r="J79" s="2" t="str">
        <f>IFERROR(__xludf.DUMMYFUNCTION("""COMPUTED_VALUE"""),"Total")</f>
        <v>Total</v>
      </c>
      <c r="K79" s="2">
        <f>IFERROR(__xludf.DUMMYFUNCTION("""COMPUTED_VALUE"""),3.0)</f>
        <v>3</v>
      </c>
      <c r="N79" s="14">
        <v>3.0</v>
      </c>
      <c r="O79" s="14"/>
      <c r="P79" s="14">
        <f t="shared" si="1"/>
        <v>3</v>
      </c>
      <c r="R79" s="2" t="s">
        <v>2028</v>
      </c>
      <c r="S79" s="2" t="str">
        <f t="shared" si="2"/>
        <v>/3 Darussalam, Dhaka‐1216</v>
      </c>
      <c r="T79" s="27" t="str">
        <f>IFERROR(__xludf.DUMMYFUNCTION("SPLIT(S79,"","")"),"/3 Darussalam")</f>
        <v>/3 Darussalam</v>
      </c>
      <c r="U79" s="1" t="str">
        <f>IFERROR(__xludf.DUMMYFUNCTION("""COMPUTED_VALUE""")," Dhaka‐1216")</f>
        <v> Dhaka‐1216</v>
      </c>
      <c r="V79" s="28"/>
    </row>
    <row r="80" ht="15.75" customHeight="1">
      <c r="A80" s="19" t="s">
        <v>296</v>
      </c>
      <c r="B80" s="2" t="str">
        <f>IFERROR(__xludf.DUMMYFUNCTION("SPLIT(A80,""C"")"),"Website : www.jaarchitects.com.bd ")</f>
        <v>Website : www.jaarchitects.com.bd </v>
      </c>
      <c r="C80" s="2" t="str">
        <f>IFERROR(__xludf.DUMMYFUNCTION("""COMPUTED_VALUE"""),"ontact: +88‐02‐9889196, 9887311")</f>
        <v>ontact: +88‐02‐9889196, 9887311</v>
      </c>
      <c r="F80" s="26" t="s">
        <v>2029</v>
      </c>
      <c r="H80" s="14" t="s">
        <v>2030</v>
      </c>
      <c r="I80" s="2">
        <f>IFERROR(__xludf.DUMMYFUNCTION("SPLIT(H80,"" "")"),13.0)</f>
        <v>13</v>
      </c>
      <c r="J80" s="2">
        <f>IFERROR(__xludf.DUMMYFUNCTION("""COMPUTED_VALUE"""),3.0)</f>
        <v>3</v>
      </c>
      <c r="K80" s="2" t="str">
        <f>IFERROR(__xludf.DUMMYFUNCTION("""COMPUTED_VALUE"""),"Total")</f>
        <v>Total</v>
      </c>
      <c r="L80" s="2">
        <f>IFERROR(__xludf.DUMMYFUNCTION("""COMPUTED_VALUE"""),16.0)</f>
        <v>16</v>
      </c>
      <c r="N80" s="14">
        <v>13.0</v>
      </c>
      <c r="O80" s="14">
        <v>3.0</v>
      </c>
      <c r="P80" s="14">
        <f t="shared" si="1"/>
        <v>16</v>
      </c>
      <c r="R80" s="2" t="s">
        <v>2031</v>
      </c>
      <c r="S80" s="2" t="str">
        <f t="shared" si="2"/>
        <v> 99,Gulshan 2, Dhaka‐1212</v>
      </c>
      <c r="T80" s="27">
        <f>IFERROR(__xludf.DUMMYFUNCTION("SPLIT(S80,"","")"),99.0)</f>
        <v>99</v>
      </c>
      <c r="U80" s="1" t="str">
        <f>IFERROR(__xludf.DUMMYFUNCTION("""COMPUTED_VALUE"""),"Gulshan 2")</f>
        <v>Gulshan 2</v>
      </c>
      <c r="V80" s="28" t="str">
        <f>IFERROR(__xludf.DUMMYFUNCTION("""COMPUTED_VALUE""")," Dhaka‐1212")</f>
        <v> Dhaka‐1212</v>
      </c>
    </row>
    <row r="81" ht="15.75" customHeight="1">
      <c r="A81" s="19" t="s">
        <v>936</v>
      </c>
      <c r="B81" s="2" t="str">
        <f>IFERROR(__xludf.DUMMYFUNCTION("SPLIT(A81,""C"")"),"website:")</f>
        <v>website:</v>
      </c>
      <c r="H81" s="14" t="s">
        <v>1968</v>
      </c>
      <c r="I81" s="2">
        <f>IFERROR(__xludf.DUMMYFUNCTION("SPLIT(H81,"" "")"),1.0)</f>
        <v>1</v>
      </c>
      <c r="J81" s="2">
        <f>IFERROR(__xludf.DUMMYFUNCTION("""COMPUTED_VALUE"""),2.0)</f>
        <v>2</v>
      </c>
      <c r="K81" s="2" t="str">
        <f>IFERROR(__xludf.DUMMYFUNCTION("""COMPUTED_VALUE"""),"Total")</f>
        <v>Total</v>
      </c>
      <c r="L81" s="2">
        <f>IFERROR(__xludf.DUMMYFUNCTION("""COMPUTED_VALUE"""),3.0)</f>
        <v>3</v>
      </c>
      <c r="N81" s="14">
        <v>1.0</v>
      </c>
      <c r="O81" s="14">
        <v>2.0</v>
      </c>
      <c r="P81" s="14">
        <f t="shared" si="1"/>
        <v>3</v>
      </c>
      <c r="R81" s="2" t="s">
        <v>2032</v>
      </c>
      <c r="S81" s="2" t="str">
        <f t="shared" si="2"/>
        <v>Kafrul, Cantonment, Dhaka</v>
      </c>
      <c r="T81" s="27" t="str">
        <f>IFERROR(__xludf.DUMMYFUNCTION("SPLIT(S81,"","")"),"Kafrul")</f>
        <v>Kafrul</v>
      </c>
      <c r="U81" s="1" t="str">
        <f>IFERROR(__xludf.DUMMYFUNCTION("""COMPUTED_VALUE""")," Cantonment")</f>
        <v> Cantonment</v>
      </c>
      <c r="V81" s="28" t="str">
        <f>IFERROR(__xludf.DUMMYFUNCTION("""COMPUTED_VALUE""")," Dhaka")</f>
        <v> Dhaka</v>
      </c>
    </row>
    <row r="82" ht="15.75" customHeight="1">
      <c r="A82" s="19" t="s">
        <v>311</v>
      </c>
      <c r="B82" s="2" t="str">
        <f>IFERROR(__xludf.DUMMYFUNCTION("SPLIT(A82,""C"")"),"Website : www.khetro.com ")</f>
        <v>Website : www.khetro.com </v>
      </c>
      <c r="C82" s="2" t="str">
        <f>IFERROR(__xludf.DUMMYFUNCTION("""COMPUTED_VALUE"""),"ontact: +88‐02‐8872212")</f>
        <v>ontact: +88‐02‐8872212</v>
      </c>
      <c r="F82" s="26" t="s">
        <v>2033</v>
      </c>
      <c r="H82" s="14" t="s">
        <v>1965</v>
      </c>
      <c r="I82" s="2">
        <f>IFERROR(__xludf.DUMMYFUNCTION("SPLIT(H82,"" "")"),4.0)</f>
        <v>4</v>
      </c>
      <c r="J82" s="2">
        <f>IFERROR(__xludf.DUMMYFUNCTION("""COMPUTED_VALUE"""),5.0)</f>
        <v>5</v>
      </c>
      <c r="K82" s="2" t="str">
        <f>IFERROR(__xludf.DUMMYFUNCTION("""COMPUTED_VALUE"""),"Total")</f>
        <v>Total</v>
      </c>
      <c r="L82" s="2">
        <f>IFERROR(__xludf.DUMMYFUNCTION("""COMPUTED_VALUE"""),9.0)</f>
        <v>9</v>
      </c>
      <c r="N82" s="14">
        <v>4.0</v>
      </c>
      <c r="O82" s="14">
        <v>5.0</v>
      </c>
      <c r="P82" s="14">
        <f t="shared" si="1"/>
        <v>9</v>
      </c>
      <c r="R82" s="2" t="s">
        <v>2034</v>
      </c>
      <c r="S82" s="2" t="str">
        <f t="shared" si="2"/>
        <v>OHS,Mohakhali, Dhaka‐1206</v>
      </c>
      <c r="T82" s="27" t="str">
        <f>IFERROR(__xludf.DUMMYFUNCTION("SPLIT(S82,"","")"),"OHS")</f>
        <v>OHS</v>
      </c>
      <c r="U82" s="1" t="str">
        <f>IFERROR(__xludf.DUMMYFUNCTION("""COMPUTED_VALUE"""),"Mohakhali")</f>
        <v>Mohakhali</v>
      </c>
      <c r="V82" s="28" t="str">
        <f>IFERROR(__xludf.DUMMYFUNCTION("""COMPUTED_VALUE""")," Dhaka‐1206")</f>
        <v> Dhaka‐1206</v>
      </c>
    </row>
    <row r="83" ht="15.75" customHeight="1">
      <c r="A83" s="19" t="s">
        <v>320</v>
      </c>
      <c r="B83" s="2" t="str">
        <f>IFERROR(__xludf.DUMMYFUNCTION("SPLIT(A83,""C"")"),"Website : www.khettraarchitects.com ")</f>
        <v>Website : www.khettraarchitects.com </v>
      </c>
      <c r="C83" s="2" t="str">
        <f>IFERROR(__xludf.DUMMYFUNCTION("""COMPUTED_VALUE"""),"ontact: +88‐02‐ 8142871")</f>
        <v>ontact: +88‐02‐ 8142871</v>
      </c>
      <c r="F83" s="26" t="s">
        <v>2035</v>
      </c>
      <c r="H83" s="14" t="s">
        <v>1922</v>
      </c>
      <c r="I83" s="2">
        <f>IFERROR(__xludf.DUMMYFUNCTION("SPLIT(H83,"" "")"),1.0)</f>
        <v>1</v>
      </c>
      <c r="J83" s="2">
        <f>IFERROR(__xludf.DUMMYFUNCTION("""COMPUTED_VALUE"""),6.0)</f>
        <v>6</v>
      </c>
      <c r="K83" s="2" t="str">
        <f>IFERROR(__xludf.DUMMYFUNCTION("""COMPUTED_VALUE"""),"Total")</f>
        <v>Total</v>
      </c>
      <c r="L83" s="2">
        <f>IFERROR(__xludf.DUMMYFUNCTION("""COMPUTED_VALUE"""),7.0)</f>
        <v>7</v>
      </c>
      <c r="N83" s="14">
        <v>1.0</v>
      </c>
      <c r="O83" s="14">
        <v>6.0</v>
      </c>
      <c r="P83" s="14">
        <f t="shared" si="1"/>
        <v>7</v>
      </c>
      <c r="R83" s="2" t="s">
        <v>2036</v>
      </c>
      <c r="S83" s="2" t="str">
        <f t="shared" si="2"/>
        <v>8/A, Dhanmondi,Dhaka‐1209</v>
      </c>
      <c r="T83" s="27" t="str">
        <f>IFERROR(__xludf.DUMMYFUNCTION("SPLIT(S83,"","")"),"8/A")</f>
        <v>8/A</v>
      </c>
      <c r="U83" s="1" t="str">
        <f>IFERROR(__xludf.DUMMYFUNCTION("""COMPUTED_VALUE""")," Dhanmondi")</f>
        <v> Dhanmondi</v>
      </c>
      <c r="V83" s="28" t="str">
        <f>IFERROR(__xludf.DUMMYFUNCTION("""COMPUTED_VALUE"""),"Dhaka‐1209")</f>
        <v>Dhaka‐1209</v>
      </c>
    </row>
    <row r="84" ht="15.75" customHeight="1">
      <c r="A84" s="19" t="s">
        <v>951</v>
      </c>
      <c r="B84" s="2" t="str">
        <f>IFERROR(__xludf.DUMMYFUNCTION("SPLIT(A84,""C"")"),"Website : https://www.facebook.com/K2AHArchitects ")</f>
        <v>Website : https://www.facebook.com/K2AHArchitects </v>
      </c>
      <c r="C84" s="2" t="str">
        <f>IFERROR(__xludf.DUMMYFUNCTION("""COMPUTED_VALUE"""),"ontact: +8801717183918, 8801717068255")</f>
        <v>ontact: +8801717183918, 8801717068255</v>
      </c>
      <c r="F84" s="26" t="s">
        <v>2037</v>
      </c>
      <c r="H84" s="14" t="s">
        <v>1961</v>
      </c>
      <c r="I84" s="2">
        <f>IFERROR(__xludf.DUMMYFUNCTION("SPLIT(H84,"" "")"),3.0)</f>
        <v>3</v>
      </c>
      <c r="J84" s="2">
        <f>IFERROR(__xludf.DUMMYFUNCTION("""COMPUTED_VALUE"""),3.0)</f>
        <v>3</v>
      </c>
      <c r="K84" s="2" t="str">
        <f>IFERROR(__xludf.DUMMYFUNCTION("""COMPUTED_VALUE"""),"Total")</f>
        <v>Total</v>
      </c>
      <c r="L84" s="2">
        <f>IFERROR(__xludf.DUMMYFUNCTION("""COMPUTED_VALUE"""),6.0)</f>
        <v>6</v>
      </c>
      <c r="N84" s="14">
        <v>3.0</v>
      </c>
      <c r="O84" s="14">
        <v>3.0</v>
      </c>
      <c r="P84" s="14">
        <f t="shared" si="1"/>
        <v>6</v>
      </c>
      <c r="R84" s="2" t="s">
        <v>2038</v>
      </c>
      <c r="S84" s="2" t="str">
        <f t="shared" si="2"/>
        <v>/A, Dhanmondi, Dhaka‐1209</v>
      </c>
      <c r="T84" s="27" t="str">
        <f>IFERROR(__xludf.DUMMYFUNCTION("SPLIT(S84,"","")"),"/A")</f>
        <v>/A</v>
      </c>
      <c r="U84" s="1" t="str">
        <f>IFERROR(__xludf.DUMMYFUNCTION("""COMPUTED_VALUE""")," Dhanmondi")</f>
        <v> Dhanmondi</v>
      </c>
      <c r="V84" s="28" t="str">
        <f>IFERROR(__xludf.DUMMYFUNCTION("""COMPUTED_VALUE""")," Dhaka‐1209")</f>
        <v> Dhaka‐1209</v>
      </c>
    </row>
    <row r="85" ht="15.75" customHeight="1">
      <c r="A85" s="19" t="s">
        <v>936</v>
      </c>
      <c r="B85" s="2" t="str">
        <f>IFERROR(__xludf.DUMMYFUNCTION("SPLIT(A85,""C"")"),"website:")</f>
        <v>website:</v>
      </c>
      <c r="H85" s="14" t="s">
        <v>1852</v>
      </c>
      <c r="I85" s="2">
        <f>IFERROR(__xludf.DUMMYFUNCTION("SPLIT(H85,"" "")"),4.0)</f>
        <v>4</v>
      </c>
      <c r="J85" s="2">
        <f>IFERROR(__xludf.DUMMYFUNCTION("""COMPUTED_VALUE"""),2.0)</f>
        <v>2</v>
      </c>
      <c r="K85" s="2" t="str">
        <f>IFERROR(__xludf.DUMMYFUNCTION("""COMPUTED_VALUE"""),"Total")</f>
        <v>Total</v>
      </c>
      <c r="L85" s="2">
        <f>IFERROR(__xludf.DUMMYFUNCTION("""COMPUTED_VALUE"""),6.0)</f>
        <v>6</v>
      </c>
      <c r="N85" s="14">
        <v>4.0</v>
      </c>
      <c r="O85" s="14">
        <v>2.0</v>
      </c>
      <c r="P85" s="14">
        <f t="shared" si="1"/>
        <v>6</v>
      </c>
      <c r="R85" s="2" t="s">
        <v>2039</v>
      </c>
      <c r="S85" s="2" t="str">
        <f t="shared" si="2"/>
        <v>HS, Mohakhali, Dhaka‐1206</v>
      </c>
      <c r="T85" s="27" t="str">
        <f>IFERROR(__xludf.DUMMYFUNCTION("SPLIT(S85,"","")"),"HS")</f>
        <v>HS</v>
      </c>
      <c r="U85" s="1" t="str">
        <f>IFERROR(__xludf.DUMMYFUNCTION("""COMPUTED_VALUE""")," Mohakhali")</f>
        <v> Mohakhali</v>
      </c>
      <c r="V85" s="28" t="str">
        <f>IFERROR(__xludf.DUMMYFUNCTION("""COMPUTED_VALUE""")," Dhaka‐1206")</f>
        <v> Dhaka‐1206</v>
      </c>
    </row>
    <row r="86" ht="15.75" customHeight="1">
      <c r="A86" s="19" t="s">
        <v>936</v>
      </c>
      <c r="B86" s="2" t="str">
        <f>IFERROR(__xludf.DUMMYFUNCTION("SPLIT(A86,""C"")"),"website:")</f>
        <v>website:</v>
      </c>
      <c r="H86" s="14" t="s">
        <v>2016</v>
      </c>
      <c r="I86" s="2">
        <f>IFERROR(__xludf.DUMMYFUNCTION("SPLIT(H86,"" "")"),2.0)</f>
        <v>2</v>
      </c>
      <c r="J86" s="2">
        <f>IFERROR(__xludf.DUMMYFUNCTION("""COMPUTED_VALUE"""),0.0)</f>
        <v>0</v>
      </c>
      <c r="K86" s="2" t="str">
        <f>IFERROR(__xludf.DUMMYFUNCTION("""COMPUTED_VALUE"""),"Total")</f>
        <v>Total</v>
      </c>
      <c r="L86" s="2">
        <f>IFERROR(__xludf.DUMMYFUNCTION("""COMPUTED_VALUE"""),2.0)</f>
        <v>2</v>
      </c>
      <c r="N86" s="14">
        <v>2.0</v>
      </c>
      <c r="O86" s="14">
        <v>0.0</v>
      </c>
      <c r="P86" s="14">
        <f t="shared" si="1"/>
        <v>2</v>
      </c>
      <c r="R86" s="2" t="s">
        <v>2040</v>
      </c>
      <c r="S86" s="2" t="str">
        <f t="shared" si="2"/>
        <v>urk Avenue, Banani, Dhaka</v>
      </c>
      <c r="T86" s="27" t="str">
        <f>IFERROR(__xludf.DUMMYFUNCTION("SPLIT(S86,"","")"),"urk Avenue")</f>
        <v>urk Avenue</v>
      </c>
      <c r="U86" s="1" t="str">
        <f>IFERROR(__xludf.DUMMYFUNCTION("""COMPUTED_VALUE""")," Banani")</f>
        <v> Banani</v>
      </c>
      <c r="V86" s="28" t="str">
        <f>IFERROR(__xludf.DUMMYFUNCTION("""COMPUTED_VALUE""")," Dhaka")</f>
        <v> Dhaka</v>
      </c>
    </row>
    <row r="87" ht="15.75" customHeight="1">
      <c r="A87" s="19" t="s">
        <v>936</v>
      </c>
      <c r="B87" s="2" t="str">
        <f>IFERROR(__xludf.DUMMYFUNCTION("SPLIT(A87,""C"")"),"website:")</f>
        <v>website:</v>
      </c>
      <c r="H87" s="14" t="s">
        <v>1829</v>
      </c>
      <c r="I87" s="2">
        <f>IFERROR(__xludf.DUMMYFUNCTION("SPLIT(H87,"" "")"),1.0)</f>
        <v>1</v>
      </c>
      <c r="J87" s="2">
        <f>IFERROR(__xludf.DUMMYFUNCTION("""COMPUTED_VALUE"""),7.0)</f>
        <v>7</v>
      </c>
      <c r="K87" s="2" t="str">
        <f>IFERROR(__xludf.DUMMYFUNCTION("""COMPUTED_VALUE"""),"Total")</f>
        <v>Total</v>
      </c>
      <c r="L87" s="2">
        <f>IFERROR(__xludf.DUMMYFUNCTION("""COMPUTED_VALUE"""),8.0)</f>
        <v>8</v>
      </c>
      <c r="N87" s="14">
        <v>1.0</v>
      </c>
      <c r="O87" s="14">
        <v>7.0</v>
      </c>
      <c r="P87" s="14">
        <f t="shared" si="1"/>
        <v>8</v>
      </c>
      <c r="R87" s="2" t="s">
        <v>2041</v>
      </c>
      <c r="S87" s="2" t="str">
        <f t="shared" si="2"/>
        <v>HS, Mohakhali, Dhaka‐1206</v>
      </c>
      <c r="T87" s="27" t="str">
        <f>IFERROR(__xludf.DUMMYFUNCTION("SPLIT(S87,"","")"),"HS")</f>
        <v>HS</v>
      </c>
      <c r="U87" s="1" t="str">
        <f>IFERROR(__xludf.DUMMYFUNCTION("""COMPUTED_VALUE""")," Mohakhali")</f>
        <v> Mohakhali</v>
      </c>
      <c r="V87" s="28" t="str">
        <f>IFERROR(__xludf.DUMMYFUNCTION("""COMPUTED_VALUE""")," Dhaka‐1206")</f>
        <v> Dhaka‐1206</v>
      </c>
    </row>
    <row r="88" ht="15.75" customHeight="1">
      <c r="A88" s="19" t="s">
        <v>351</v>
      </c>
      <c r="B88" s="2" t="str">
        <f>IFERROR(__xludf.DUMMYFUNCTION("SPLIT(A88,""C"")"),"Website : www.maatrik.net")</f>
        <v>Website : www.maatrik.net</v>
      </c>
      <c r="F88" s="26" t="s">
        <v>2042</v>
      </c>
      <c r="H88" s="14" t="s">
        <v>1831</v>
      </c>
      <c r="I88" s="2">
        <f>IFERROR(__xludf.DUMMYFUNCTION("SPLIT(H88,"" "")"),1.0)</f>
        <v>1</v>
      </c>
      <c r="J88" s="2">
        <f>IFERROR(__xludf.DUMMYFUNCTION("""COMPUTED_VALUE"""),3.0)</f>
        <v>3</v>
      </c>
      <c r="K88" s="2" t="str">
        <f>IFERROR(__xludf.DUMMYFUNCTION("""COMPUTED_VALUE"""),"Total")</f>
        <v>Total</v>
      </c>
      <c r="L88" s="2">
        <f>IFERROR(__xludf.DUMMYFUNCTION("""COMPUTED_VALUE"""),4.0)</f>
        <v>4</v>
      </c>
      <c r="N88" s="14">
        <v>1.0</v>
      </c>
      <c r="O88" s="14">
        <v>3.0</v>
      </c>
      <c r="P88" s="14">
        <f t="shared" si="1"/>
        <v>4</v>
      </c>
      <c r="R88" s="2" t="s">
        <v>2043</v>
      </c>
      <c r="S88" s="2" t="str">
        <f t="shared" si="2"/>
        <v>n, Green Road, Dhaka‐1205</v>
      </c>
      <c r="T88" s="27" t="str">
        <f>IFERROR(__xludf.DUMMYFUNCTION("SPLIT(S88,"","")"),"n")</f>
        <v>n</v>
      </c>
      <c r="U88" s="1" t="str">
        <f>IFERROR(__xludf.DUMMYFUNCTION("""COMPUTED_VALUE""")," Green Road")</f>
        <v> Green Road</v>
      </c>
      <c r="V88" s="28" t="str">
        <f>IFERROR(__xludf.DUMMYFUNCTION("""COMPUTED_VALUE""")," Dhaka‐1205")</f>
        <v> Dhaka‐1205</v>
      </c>
    </row>
    <row r="89" ht="15.75" customHeight="1">
      <c r="A89" s="19" t="s">
        <v>357</v>
      </c>
      <c r="B89" s="2" t="str">
        <f>IFERROR(__xludf.DUMMYFUNCTION("SPLIT(A89,""C"")"),"Website : www.mw3.com.bd")</f>
        <v>Website : www.mw3.com.bd</v>
      </c>
      <c r="F89" s="26" t="s">
        <v>2044</v>
      </c>
      <c r="H89" s="14" t="s">
        <v>2045</v>
      </c>
      <c r="I89" s="2">
        <f>IFERROR(__xludf.DUMMYFUNCTION("SPLIT(H89,"" "")"),10.0)</f>
        <v>10</v>
      </c>
      <c r="J89" s="2">
        <f>IFERROR(__xludf.DUMMYFUNCTION("""COMPUTED_VALUE"""),0.0)</f>
        <v>0</v>
      </c>
      <c r="K89" s="2" t="str">
        <f>IFERROR(__xludf.DUMMYFUNCTION("""COMPUTED_VALUE"""),"Total")</f>
        <v>Total</v>
      </c>
      <c r="L89" s="2">
        <f>IFERROR(__xludf.DUMMYFUNCTION("""COMPUTED_VALUE"""),10.0)</f>
        <v>10</v>
      </c>
      <c r="N89" s="14">
        <v>10.0</v>
      </c>
      <c r="O89" s="14">
        <v>0.0</v>
      </c>
      <c r="P89" s="14">
        <f t="shared" si="1"/>
        <v>10</v>
      </c>
      <c r="R89" s="2" t="s">
        <v>2046</v>
      </c>
      <c r="S89" s="2" t="str">
        <f t="shared" si="2"/>
        <v>on, Gulshan‐1, Dhaka‐1212</v>
      </c>
      <c r="T89" s="27" t="str">
        <f>IFERROR(__xludf.DUMMYFUNCTION("SPLIT(S89,"","")"),"on")</f>
        <v>on</v>
      </c>
      <c r="U89" s="1" t="str">
        <f>IFERROR(__xludf.DUMMYFUNCTION("""COMPUTED_VALUE""")," Gulshan‐1")</f>
        <v> Gulshan‐1</v>
      </c>
      <c r="V89" s="28" t="str">
        <f>IFERROR(__xludf.DUMMYFUNCTION("""COMPUTED_VALUE""")," Dhaka‐1212")</f>
        <v> Dhaka‐1212</v>
      </c>
    </row>
    <row r="90" ht="15.75" customHeight="1">
      <c r="A90" s="19" t="s">
        <v>365</v>
      </c>
      <c r="B90" s="2" t="str">
        <f>IFERROR(__xludf.DUMMYFUNCTION("SPLIT(A90,""C"")"),"Website : www.nayreetarchitects.com ")</f>
        <v>Website : www.nayreetarchitects.com </v>
      </c>
      <c r="C90" s="2" t="str">
        <f>IFERROR(__xludf.DUMMYFUNCTION("""COMPUTED_VALUE"""),"ontact: +88‐02‐7913394, 8957701")</f>
        <v>ontact: +88‐02‐7913394, 8957701</v>
      </c>
      <c r="F90" s="26" t="s">
        <v>2047</v>
      </c>
      <c r="H90" s="14" t="s">
        <v>2048</v>
      </c>
      <c r="I90" s="2">
        <f>IFERROR(__xludf.DUMMYFUNCTION("SPLIT(H90,"" "")"),5.0)</f>
        <v>5</v>
      </c>
      <c r="J90" s="2">
        <f>IFERROR(__xludf.DUMMYFUNCTION("""COMPUTED_VALUE"""),18.0)</f>
        <v>18</v>
      </c>
      <c r="K90" s="2" t="str">
        <f>IFERROR(__xludf.DUMMYFUNCTION("""COMPUTED_VALUE"""),"Total")</f>
        <v>Total</v>
      </c>
      <c r="L90" s="2">
        <f>IFERROR(__xludf.DUMMYFUNCTION("""COMPUTED_VALUE"""),23.0)</f>
        <v>23</v>
      </c>
      <c r="N90" s="14">
        <v>5.0</v>
      </c>
      <c r="O90" s="14">
        <v>18.0</v>
      </c>
      <c r="P90" s="14">
        <f t="shared" si="1"/>
        <v>23</v>
      </c>
      <c r="R90" s="2" t="s">
        <v>2049</v>
      </c>
      <c r="S90" s="2" t="str">
        <f t="shared" si="2"/>
        <v>ock‐E, Banani, Dhaka‐1213</v>
      </c>
      <c r="T90" s="27" t="str">
        <f>IFERROR(__xludf.DUMMYFUNCTION("SPLIT(S90,"","")"),"ock‐E")</f>
        <v>ock‐E</v>
      </c>
      <c r="U90" s="1" t="str">
        <f>IFERROR(__xludf.DUMMYFUNCTION("""COMPUTED_VALUE""")," Banani")</f>
        <v> Banani</v>
      </c>
      <c r="V90" s="28" t="str">
        <f>IFERROR(__xludf.DUMMYFUNCTION("""COMPUTED_VALUE""")," Dhaka‐1213")</f>
        <v> Dhaka‐1213</v>
      </c>
    </row>
    <row r="91" ht="15.75" customHeight="1">
      <c r="A91" s="19" t="s">
        <v>936</v>
      </c>
      <c r="B91" s="2" t="str">
        <f>IFERROR(__xludf.DUMMYFUNCTION("SPLIT(A91,""C"")"),"website:")</f>
        <v>website:</v>
      </c>
      <c r="H91" s="14" t="s">
        <v>2050</v>
      </c>
      <c r="I91" s="2">
        <f>IFERROR(__xludf.DUMMYFUNCTION("SPLIT(H91,"" "")"),5.0)</f>
        <v>5</v>
      </c>
      <c r="J91" s="2" t="str">
        <f>IFERROR(__xludf.DUMMYFUNCTION("""COMPUTED_VALUE"""),"Total")</f>
        <v>Total</v>
      </c>
      <c r="K91" s="2">
        <f>IFERROR(__xludf.DUMMYFUNCTION("""COMPUTED_VALUE"""),5.0)</f>
        <v>5</v>
      </c>
      <c r="N91" s="14">
        <v>5.0</v>
      </c>
      <c r="O91" s="14"/>
      <c r="P91" s="14">
        <f t="shared" si="1"/>
        <v>5</v>
      </c>
      <c r="R91" s="2" t="s">
        <v>2051</v>
      </c>
      <c r="S91" s="2" t="str">
        <f t="shared" si="2"/>
        <v>, Mohammadpur, Dhaka‐1207</v>
      </c>
      <c r="T91" s="27" t="str">
        <f>IFERROR(__xludf.DUMMYFUNCTION("SPLIT(S91,"","")")," Mohammadpur")</f>
        <v> Mohammadpur</v>
      </c>
      <c r="U91" s="1" t="str">
        <f>IFERROR(__xludf.DUMMYFUNCTION("""COMPUTED_VALUE""")," Dhaka‐1207")</f>
        <v> Dhaka‐1207</v>
      </c>
      <c r="V91" s="28"/>
    </row>
    <row r="92" ht="15.75" customHeight="1">
      <c r="A92" s="31" t="s">
        <v>2052</v>
      </c>
      <c r="B92" s="26" t="str">
        <f>IFERROR(__xludf.DUMMYFUNCTION("SPLIT(A92,""C"")")," www.nakshabid.com")</f>
        <v> www.nakshabid.com</v>
      </c>
      <c r="F92" s="26" t="s">
        <v>2052</v>
      </c>
      <c r="H92" s="14" t="s">
        <v>1911</v>
      </c>
      <c r="I92" s="2" t="str">
        <f>IFERROR(__xludf.DUMMYFUNCTION("SPLIT(H92,"" "")"),"Total")</f>
        <v>Total</v>
      </c>
      <c r="N92" s="14"/>
      <c r="O92" s="14"/>
      <c r="P92" s="14">
        <f t="shared" si="1"/>
        <v>0</v>
      </c>
      <c r="R92" s="2" t="s">
        <v>2053</v>
      </c>
      <c r="S92" s="2" t="str">
        <f t="shared" si="2"/>
        <v>, Banani C/A, Dhaka‐1213.</v>
      </c>
      <c r="T92" s="27" t="str">
        <f>IFERROR(__xludf.DUMMYFUNCTION("SPLIT(S92,"","")")," Banani C/A")</f>
        <v> Banani C/A</v>
      </c>
      <c r="U92" s="1" t="str">
        <f>IFERROR(__xludf.DUMMYFUNCTION("""COMPUTED_VALUE""")," Dhaka‐1213.")</f>
        <v> Dhaka‐1213.</v>
      </c>
      <c r="V92" s="28"/>
    </row>
    <row r="93" ht="15.75" customHeight="1">
      <c r="A93" s="19" t="s">
        <v>386</v>
      </c>
      <c r="B93" s="2" t="str">
        <f>IFERROR(__xludf.DUMMYFUNCTION("SPLIT(A93,""C"")"),"Website : www.olimahmud.com ")</f>
        <v>Website : www.olimahmud.com </v>
      </c>
      <c r="C93" s="2" t="str">
        <f>IFERROR(__xludf.DUMMYFUNCTION("""COMPUTED_VALUE"""),"ontact: +88‐02‐9668945")</f>
        <v>ontact: +88‐02‐9668945</v>
      </c>
      <c r="F93" s="26" t="s">
        <v>2054</v>
      </c>
      <c r="H93" s="14" t="s">
        <v>2055</v>
      </c>
      <c r="I93" s="2">
        <f>IFERROR(__xludf.DUMMYFUNCTION("SPLIT(H93,"" "")"),4.0)</f>
        <v>4</v>
      </c>
      <c r="J93" s="2">
        <f>IFERROR(__xludf.DUMMYFUNCTION("""COMPUTED_VALUE"""),3.0)</f>
        <v>3</v>
      </c>
      <c r="K93" s="2" t="str">
        <f>IFERROR(__xludf.DUMMYFUNCTION("""COMPUTED_VALUE"""),"Total")</f>
        <v>Total</v>
      </c>
      <c r="L93" s="2">
        <f>IFERROR(__xludf.DUMMYFUNCTION("""COMPUTED_VALUE"""),7.0)</f>
        <v>7</v>
      </c>
      <c r="N93" s="14">
        <v>4.0</v>
      </c>
      <c r="O93" s="14">
        <v>3.0</v>
      </c>
      <c r="P93" s="14">
        <f t="shared" si="1"/>
        <v>7</v>
      </c>
      <c r="R93" s="2" t="s">
        <v>2056</v>
      </c>
      <c r="S93" s="2" t="str">
        <f t="shared" si="2"/>
        <v>‐1),Hatirpool ,Dhaka 1205</v>
      </c>
      <c r="T93" s="27" t="str">
        <f>IFERROR(__xludf.DUMMYFUNCTION("SPLIT(S93,"","")"),"‐1)")</f>
        <v>‐1)</v>
      </c>
      <c r="U93" s="1" t="str">
        <f>IFERROR(__xludf.DUMMYFUNCTION("""COMPUTED_VALUE"""),"Hatirpool ")</f>
        <v>Hatirpool </v>
      </c>
      <c r="V93" s="28" t="str">
        <f>IFERROR(__xludf.DUMMYFUNCTION("""COMPUTED_VALUE"""),"Dhaka 1205")</f>
        <v>Dhaka 1205</v>
      </c>
    </row>
    <row r="94" ht="15.75" customHeight="1">
      <c r="A94" s="19" t="s">
        <v>393</v>
      </c>
      <c r="B94" s="2" t="str">
        <f>IFERROR(__xludf.DUMMYFUNCTION("SPLIT(A94,""C"")"),"Website : www.pracheesthapati.com ")</f>
        <v>Website : www.pracheesthapati.com </v>
      </c>
      <c r="C94" s="2" t="str">
        <f>IFERROR(__xludf.DUMMYFUNCTION("""COMPUTED_VALUE"""),"ontact: +88‐02‐9112912, +8801713065657")</f>
        <v>ontact: +88‐02‐9112912, +8801713065657</v>
      </c>
      <c r="F94" s="26" t="s">
        <v>2057</v>
      </c>
      <c r="H94" s="14" t="s">
        <v>1858</v>
      </c>
      <c r="I94" s="2">
        <f>IFERROR(__xludf.DUMMYFUNCTION("SPLIT(H94,"" "")"),1.0)</f>
        <v>1</v>
      </c>
      <c r="J94" s="2">
        <f>IFERROR(__xludf.DUMMYFUNCTION("""COMPUTED_VALUE"""),4.0)</f>
        <v>4</v>
      </c>
      <c r="K94" s="2" t="str">
        <f>IFERROR(__xludf.DUMMYFUNCTION("""COMPUTED_VALUE"""),"Total")</f>
        <v>Total</v>
      </c>
      <c r="L94" s="2">
        <f>IFERROR(__xludf.DUMMYFUNCTION("""COMPUTED_VALUE"""),5.0)</f>
        <v>5</v>
      </c>
      <c r="N94" s="14">
        <v>1.0</v>
      </c>
      <c r="O94" s="14">
        <v>4.0</v>
      </c>
      <c r="P94" s="14">
        <f t="shared" si="1"/>
        <v>5</v>
      </c>
      <c r="R94" s="2" t="s">
        <v>2058</v>
      </c>
      <c r="S94" s="2" t="str">
        <f t="shared" si="2"/>
        <v>us, Kalabagan, Dhaka‐1205</v>
      </c>
      <c r="T94" s="27" t="str">
        <f>IFERROR(__xludf.DUMMYFUNCTION("SPLIT(S94,"","")"),"us")</f>
        <v>us</v>
      </c>
      <c r="U94" s="1" t="str">
        <f>IFERROR(__xludf.DUMMYFUNCTION("""COMPUTED_VALUE""")," Kalabagan")</f>
        <v> Kalabagan</v>
      </c>
      <c r="V94" s="28" t="str">
        <f>IFERROR(__xludf.DUMMYFUNCTION("""COMPUTED_VALUE""")," Dhaka‐1205")</f>
        <v> Dhaka‐1205</v>
      </c>
    </row>
    <row r="95" ht="15.75" customHeight="1">
      <c r="A95" s="19" t="s">
        <v>399</v>
      </c>
      <c r="B95" s="2" t="str">
        <f>IFERROR(__xludf.DUMMYFUNCTION("SPLIT(A95,""C"")"),"Website : www.profilelimited.com ")</f>
        <v>Website : www.profilelimited.com </v>
      </c>
      <c r="C95" s="2" t="str">
        <f>IFERROR(__xludf.DUMMYFUNCTION("""COMPUTED_VALUE"""),"ontact: +88‐02‐9854672‐5,8812145,8815034,8816538 Fax: 9855153‐4")</f>
        <v>ontact: +88‐02‐9854672‐5,8812145,8815034,8816538 Fax: 9855153‐4</v>
      </c>
      <c r="F95" s="26" t="s">
        <v>2059</v>
      </c>
      <c r="H95" s="14" t="s">
        <v>2060</v>
      </c>
      <c r="I95" s="2">
        <f>IFERROR(__xludf.DUMMYFUNCTION("SPLIT(H95,"" "")"),21.0)</f>
        <v>21</v>
      </c>
      <c r="J95" s="2">
        <f>IFERROR(__xludf.DUMMYFUNCTION("""COMPUTED_VALUE"""),46.0)</f>
        <v>46</v>
      </c>
      <c r="K95" s="2" t="str">
        <f>IFERROR(__xludf.DUMMYFUNCTION("""COMPUTED_VALUE"""),"Total")</f>
        <v>Total</v>
      </c>
      <c r="L95" s="2">
        <f>IFERROR(__xludf.DUMMYFUNCTION("""COMPUTED_VALUE"""),67.0)</f>
        <v>67</v>
      </c>
      <c r="N95" s="14">
        <v>21.0</v>
      </c>
      <c r="O95" s="14">
        <v>46.0</v>
      </c>
      <c r="P95" s="14">
        <f t="shared" si="1"/>
        <v>67</v>
      </c>
      <c r="R95" s="2" t="s">
        <v>2061</v>
      </c>
      <c r="S95" s="2" t="str">
        <f t="shared" si="2"/>
        <v>6,Gulshan‐1 , Dhaka 1213.</v>
      </c>
      <c r="T95" s="27">
        <f>IFERROR(__xludf.DUMMYFUNCTION("SPLIT(S95,"","")"),6.0)</f>
        <v>6</v>
      </c>
      <c r="U95" s="1" t="str">
        <f>IFERROR(__xludf.DUMMYFUNCTION("""COMPUTED_VALUE"""),"Gulshan‐1 ")</f>
        <v>Gulshan‐1 </v>
      </c>
      <c r="V95" s="28" t="str">
        <f>IFERROR(__xludf.DUMMYFUNCTION("""COMPUTED_VALUE""")," Dhaka 1213.")</f>
        <v> Dhaka 1213.</v>
      </c>
    </row>
    <row r="96" ht="15.75" customHeight="1">
      <c r="A96" s="19" t="s">
        <v>406</v>
      </c>
      <c r="B96" s="2" t="str">
        <f>IFERROR(__xludf.DUMMYFUNCTION("SPLIT(A96,""C"")"),"Website : www.pulbd.com ")</f>
        <v>Website : www.pulbd.com </v>
      </c>
      <c r="C96" s="2" t="str">
        <f>IFERROR(__xludf.DUMMYFUNCTION("""COMPUTED_VALUE"""),"ontact: +88‐02‐9117689, 9126909")</f>
        <v>ontact: +88‐02‐9117689, 9126909</v>
      </c>
      <c r="F96" s="26" t="s">
        <v>2062</v>
      </c>
      <c r="H96" s="14" t="s">
        <v>2063</v>
      </c>
      <c r="I96" s="2">
        <f>IFERROR(__xludf.DUMMYFUNCTION("SPLIT(H96,"" "")"),3.0)</f>
        <v>3</v>
      </c>
      <c r="J96" s="2">
        <f>IFERROR(__xludf.DUMMYFUNCTION("""COMPUTED_VALUE"""),57.0)</f>
        <v>57</v>
      </c>
      <c r="K96" s="2" t="str">
        <f>IFERROR(__xludf.DUMMYFUNCTION("""COMPUTED_VALUE"""),"Total")</f>
        <v>Total</v>
      </c>
      <c r="L96" s="2">
        <f>IFERROR(__xludf.DUMMYFUNCTION("""COMPUTED_VALUE"""),60.0)</f>
        <v>60</v>
      </c>
      <c r="N96" s="14">
        <v>3.0</v>
      </c>
      <c r="O96" s="14">
        <v>57.0</v>
      </c>
      <c r="P96" s="14">
        <f t="shared" si="1"/>
        <v>60</v>
      </c>
      <c r="R96" s="2" t="s">
        <v>2064</v>
      </c>
      <c r="S96" s="2" t="str">
        <f t="shared" si="2"/>
        <v> B, Lalmatia, Dhaka‐1207.</v>
      </c>
      <c r="T96" s="27" t="str">
        <f>IFERROR(__xludf.DUMMYFUNCTION("SPLIT(S96,"","")")," B")</f>
        <v> B</v>
      </c>
      <c r="U96" s="1" t="str">
        <f>IFERROR(__xludf.DUMMYFUNCTION("""COMPUTED_VALUE""")," Lalmatia")</f>
        <v> Lalmatia</v>
      </c>
      <c r="V96" s="28" t="str">
        <f>IFERROR(__xludf.DUMMYFUNCTION("""COMPUTED_VALUE""")," Dhaka‐1207.")</f>
        <v> Dhaka‐1207.</v>
      </c>
    </row>
    <row r="97" ht="15.75" customHeight="1">
      <c r="A97" s="19" t="s">
        <v>2065</v>
      </c>
      <c r="B97" s="26" t="str">
        <f>IFERROR(__xludf.DUMMYFUNCTION("SPLIT(A97,""C"")")," www.pronayon.com ")</f>
        <v> www.pronayon.com </v>
      </c>
      <c r="C97" s="2" t="str">
        <f>IFERROR(__xludf.DUMMYFUNCTION("""COMPUTED_VALUE"""),"ontact: 031‐716066")</f>
        <v>ontact: 031‐716066</v>
      </c>
      <c r="F97" s="26" t="s">
        <v>2066</v>
      </c>
      <c r="H97" s="14" t="s">
        <v>2067</v>
      </c>
      <c r="I97" s="2">
        <f>IFERROR(__xludf.DUMMYFUNCTION("SPLIT(H97,"" "")"),7.0)</f>
        <v>7</v>
      </c>
      <c r="J97" s="2">
        <f>IFERROR(__xludf.DUMMYFUNCTION("""COMPUTED_VALUE"""),23.0)</f>
        <v>23</v>
      </c>
      <c r="K97" s="2" t="str">
        <f>IFERROR(__xludf.DUMMYFUNCTION("""COMPUTED_VALUE"""),"Total")</f>
        <v>Total</v>
      </c>
      <c r="L97" s="2">
        <f>IFERROR(__xludf.DUMMYFUNCTION("""COMPUTED_VALUE"""),30.0)</f>
        <v>30</v>
      </c>
      <c r="N97" s="14">
        <v>7.0</v>
      </c>
      <c r="O97" s="14">
        <v>23.0</v>
      </c>
      <c r="P97" s="14">
        <f t="shared" si="1"/>
        <v>30</v>
      </c>
      <c r="R97" s="2" t="s">
        <v>2068</v>
      </c>
      <c r="S97" s="2" t="str">
        <f t="shared" si="2"/>
        <v>5 Agrabad C/A, Chittagong</v>
      </c>
      <c r="T97" s="27" t="str">
        <f>IFERROR(__xludf.DUMMYFUNCTION("SPLIT(S97,"","")"),"5 Agrabad C/A")</f>
        <v>5 Agrabad C/A</v>
      </c>
      <c r="U97" s="1" t="str">
        <f>IFERROR(__xludf.DUMMYFUNCTION("""COMPUTED_VALUE""")," Chittagong")</f>
        <v> Chittagong</v>
      </c>
      <c r="V97" s="28"/>
    </row>
    <row r="98" ht="15.75" customHeight="1">
      <c r="A98" s="19" t="s">
        <v>936</v>
      </c>
      <c r="B98" s="2" t="str">
        <f>IFERROR(__xludf.DUMMYFUNCTION("SPLIT(A98,""C"")"),"website:")</f>
        <v>website:</v>
      </c>
      <c r="H98" s="14" t="s">
        <v>1906</v>
      </c>
      <c r="I98" s="2">
        <f>IFERROR(__xludf.DUMMYFUNCTION("SPLIT(H98,"" "")"),2.0)</f>
        <v>2</v>
      </c>
      <c r="J98" s="2" t="str">
        <f>IFERROR(__xludf.DUMMYFUNCTION("""COMPUTED_VALUE"""),"Total")</f>
        <v>Total</v>
      </c>
      <c r="K98" s="2">
        <f>IFERROR(__xludf.DUMMYFUNCTION("""COMPUTED_VALUE"""),2.0)</f>
        <v>2</v>
      </c>
      <c r="N98" s="14">
        <v>2.0</v>
      </c>
      <c r="O98" s="14"/>
      <c r="P98" s="14">
        <f t="shared" si="1"/>
        <v>2</v>
      </c>
      <c r="R98" s="2" t="s">
        <v>2069</v>
      </c>
      <c r="S98" s="2" t="str">
        <f t="shared" si="2"/>
        <v>ali, New DOHS, Dhaka‐1206</v>
      </c>
      <c r="T98" s="27" t="str">
        <f>IFERROR(__xludf.DUMMYFUNCTION("SPLIT(S98,"","")"),"ali")</f>
        <v>ali</v>
      </c>
      <c r="U98" s="1" t="str">
        <f>IFERROR(__xludf.DUMMYFUNCTION("""COMPUTED_VALUE""")," New DOHS")</f>
        <v> New DOHS</v>
      </c>
      <c r="V98" s="28" t="str">
        <f>IFERROR(__xludf.DUMMYFUNCTION("""COMPUTED_VALUE""")," Dhaka‐1206")</f>
        <v> Dhaka‐1206</v>
      </c>
    </row>
    <row r="99" ht="15.75" customHeight="1">
      <c r="A99" s="19" t="s">
        <v>50</v>
      </c>
      <c r="B99" s="2" t="str">
        <f>IFERROR(__xludf.DUMMYFUNCTION("SPLIT(A99,""C"")"),"Website :")</f>
        <v>Website :</v>
      </c>
      <c r="H99" s="14" t="s">
        <v>2070</v>
      </c>
      <c r="I99" s="2">
        <f>IFERROR(__xludf.DUMMYFUNCTION("SPLIT(H99,"" "")"),6.0)</f>
        <v>6</v>
      </c>
      <c r="J99" s="2">
        <f>IFERROR(__xludf.DUMMYFUNCTION("""COMPUTED_VALUE"""),4.0)</f>
        <v>4</v>
      </c>
      <c r="K99" s="2" t="str">
        <f>IFERROR(__xludf.DUMMYFUNCTION("""COMPUTED_VALUE"""),"Total")</f>
        <v>Total</v>
      </c>
      <c r="L99" s="2">
        <f>IFERROR(__xludf.DUMMYFUNCTION("""COMPUTED_VALUE"""),10.0)</f>
        <v>10</v>
      </c>
      <c r="N99" s="14">
        <v>6.0</v>
      </c>
      <c r="O99" s="14">
        <v>4.0</v>
      </c>
      <c r="P99" s="14">
        <f t="shared" si="1"/>
        <v>10</v>
      </c>
      <c r="R99" s="2" t="s">
        <v>2071</v>
      </c>
      <c r="S99" s="2" t="str">
        <f t="shared" si="2"/>
        <v>onargaon Road, Dhaka‐1205</v>
      </c>
      <c r="T99" s="27" t="str">
        <f>IFERROR(__xludf.DUMMYFUNCTION("SPLIT(S99,"","")"),"onargaon Road")</f>
        <v>onargaon Road</v>
      </c>
      <c r="U99" s="1" t="str">
        <f>IFERROR(__xludf.DUMMYFUNCTION("""COMPUTED_VALUE""")," Dhaka‐1205")</f>
        <v> Dhaka‐1205</v>
      </c>
      <c r="V99" s="28"/>
    </row>
    <row r="100" ht="15.75" customHeight="1">
      <c r="A100" s="19" t="s">
        <v>936</v>
      </c>
      <c r="B100" s="2" t="str">
        <f>IFERROR(__xludf.DUMMYFUNCTION("SPLIT(A100,""C"")"),"website:")</f>
        <v>website:</v>
      </c>
      <c r="H100" s="14" t="s">
        <v>1968</v>
      </c>
      <c r="I100" s="2">
        <f>IFERROR(__xludf.DUMMYFUNCTION("SPLIT(H100,"" "")"),1.0)</f>
        <v>1</v>
      </c>
      <c r="J100" s="2">
        <f>IFERROR(__xludf.DUMMYFUNCTION("""COMPUTED_VALUE"""),2.0)</f>
        <v>2</v>
      </c>
      <c r="K100" s="2" t="str">
        <f>IFERROR(__xludf.DUMMYFUNCTION("""COMPUTED_VALUE"""),"Total")</f>
        <v>Total</v>
      </c>
      <c r="L100" s="2">
        <f>IFERROR(__xludf.DUMMYFUNCTION("""COMPUTED_VALUE"""),3.0)</f>
        <v>3</v>
      </c>
      <c r="N100" s="14">
        <v>1.0</v>
      </c>
      <c r="O100" s="14">
        <v>2.0</v>
      </c>
      <c r="P100" s="14">
        <f t="shared" si="1"/>
        <v>3</v>
      </c>
      <c r="R100" s="2" t="s">
        <v>2072</v>
      </c>
      <c r="S100" s="2" t="str">
        <f t="shared" si="2"/>
        <v>st Panthapath, Dhaka‐1205</v>
      </c>
      <c r="T100" s="27" t="str">
        <f>IFERROR(__xludf.DUMMYFUNCTION("SPLIT(S100,"","")"),"st Panthapath")</f>
        <v>st Panthapath</v>
      </c>
      <c r="U100" s="1" t="str">
        <f>IFERROR(__xludf.DUMMYFUNCTION("""COMPUTED_VALUE""")," Dhaka‐1205")</f>
        <v> Dhaka‐1205</v>
      </c>
      <c r="V100" s="28"/>
    </row>
    <row r="101" ht="15.75" customHeight="1">
      <c r="A101" s="19" t="s">
        <v>936</v>
      </c>
      <c r="B101" s="2" t="str">
        <f>IFERROR(__xludf.DUMMYFUNCTION("SPLIT(A101,""C"")"),"website:")</f>
        <v>website:</v>
      </c>
      <c r="H101" s="14" t="s">
        <v>1822</v>
      </c>
      <c r="I101" s="2">
        <f>IFERROR(__xludf.DUMMYFUNCTION("SPLIT(H101,"" "")"),3.0)</f>
        <v>3</v>
      </c>
      <c r="J101" s="2">
        <f>IFERROR(__xludf.DUMMYFUNCTION("""COMPUTED_VALUE"""),2.0)</f>
        <v>2</v>
      </c>
      <c r="K101" s="2" t="str">
        <f>IFERROR(__xludf.DUMMYFUNCTION("""COMPUTED_VALUE"""),"Total")</f>
        <v>Total</v>
      </c>
      <c r="L101" s="2">
        <f>IFERROR(__xludf.DUMMYFUNCTION("""COMPUTED_VALUE"""),5.0)</f>
        <v>5</v>
      </c>
      <c r="N101" s="14">
        <v>3.0</v>
      </c>
      <c r="O101" s="14">
        <v>2.0</v>
      </c>
      <c r="P101" s="14">
        <f t="shared" si="1"/>
        <v>5</v>
      </c>
      <c r="R101" s="2" t="s">
        <v>2073</v>
      </c>
      <c r="S101" s="2" t="str">
        <f t="shared" si="2"/>
        <v>ock‐D, Banani, Dhaka‐1213</v>
      </c>
      <c r="T101" s="27" t="str">
        <f>IFERROR(__xludf.DUMMYFUNCTION("SPLIT(S101,"","")"),"ock‐D")</f>
        <v>ock‐D</v>
      </c>
      <c r="U101" s="1" t="str">
        <f>IFERROR(__xludf.DUMMYFUNCTION("""COMPUTED_VALUE""")," Banani")</f>
        <v> Banani</v>
      </c>
      <c r="V101" s="28" t="str">
        <f>IFERROR(__xludf.DUMMYFUNCTION("""COMPUTED_VALUE""")," Dhaka‐1213")</f>
        <v> Dhaka‐1213</v>
      </c>
    </row>
    <row r="102" ht="15.75" customHeight="1">
      <c r="A102" s="19" t="s">
        <v>447</v>
      </c>
      <c r="B102" s="2" t="str">
        <f>IFERROR(__xludf.DUMMYFUNCTION("SPLIT(A102,""C"")"),"Website : www.reincarnation‐bd.com ")</f>
        <v>Website : www.reincarnation‐bd.com </v>
      </c>
      <c r="C102" s="2" t="str">
        <f>IFERROR(__xludf.DUMMYFUNCTION("""COMPUTED_VALUE"""),"ontact: +88‐02‐9854352")</f>
        <v>ontact: +88‐02‐9854352</v>
      </c>
      <c r="F102" s="2" t="s">
        <v>2074</v>
      </c>
      <c r="H102" s="14" t="s">
        <v>2075</v>
      </c>
      <c r="I102" s="2">
        <f>IFERROR(__xludf.DUMMYFUNCTION("SPLIT(H102,"" "")"),6.0)</f>
        <v>6</v>
      </c>
      <c r="J102" s="2">
        <f>IFERROR(__xludf.DUMMYFUNCTION("""COMPUTED_VALUE"""),5.0)</f>
        <v>5</v>
      </c>
      <c r="K102" s="2" t="str">
        <f>IFERROR(__xludf.DUMMYFUNCTION("""COMPUTED_VALUE"""),"Total")</f>
        <v>Total</v>
      </c>
      <c r="L102" s="2">
        <f>IFERROR(__xludf.DUMMYFUNCTION("""COMPUTED_VALUE"""),11.0)</f>
        <v>11</v>
      </c>
      <c r="N102" s="14">
        <v>6.0</v>
      </c>
      <c r="O102" s="14">
        <v>5.0</v>
      </c>
      <c r="P102" s="14">
        <f t="shared" si="1"/>
        <v>11</v>
      </c>
      <c r="R102" s="2" t="s">
        <v>2076</v>
      </c>
      <c r="S102" s="2" t="str">
        <f t="shared" si="2"/>
        <v>on, Gulshan‐1, Dhaka‐1212</v>
      </c>
      <c r="T102" s="27" t="str">
        <f>IFERROR(__xludf.DUMMYFUNCTION("SPLIT(S102,"","")"),"on")</f>
        <v>on</v>
      </c>
      <c r="U102" s="1" t="str">
        <f>IFERROR(__xludf.DUMMYFUNCTION("""COMPUTED_VALUE""")," Gulshan‐1")</f>
        <v> Gulshan‐1</v>
      </c>
      <c r="V102" s="28" t="str">
        <f>IFERROR(__xludf.DUMMYFUNCTION("""COMPUTED_VALUE""")," Dhaka‐1212")</f>
        <v> Dhaka‐1212</v>
      </c>
    </row>
    <row r="103" ht="15.75" customHeight="1">
      <c r="A103" s="19" t="s">
        <v>454</v>
      </c>
      <c r="B103" s="2" t="str">
        <f>IFERROR(__xludf.DUMMYFUNCTION("SPLIT(A103,""C"")"),"Website : www.roofliners.org")</f>
        <v>Website : www.roofliners.org</v>
      </c>
      <c r="F103" s="26" t="s">
        <v>2077</v>
      </c>
      <c r="H103" s="14" t="s">
        <v>2078</v>
      </c>
      <c r="I103" s="2">
        <f>IFERROR(__xludf.DUMMYFUNCTION("SPLIT(H103,"" "")"),5.0)</f>
        <v>5</v>
      </c>
      <c r="J103" s="2">
        <f>IFERROR(__xludf.DUMMYFUNCTION("""COMPUTED_VALUE"""),6.0)</f>
        <v>6</v>
      </c>
      <c r="K103" s="2" t="str">
        <f>IFERROR(__xludf.DUMMYFUNCTION("""COMPUTED_VALUE"""),"Total")</f>
        <v>Total</v>
      </c>
      <c r="L103" s="2">
        <f>IFERROR(__xludf.DUMMYFUNCTION("""COMPUTED_VALUE"""),11.0)</f>
        <v>11</v>
      </c>
      <c r="N103" s="14">
        <v>5.0</v>
      </c>
      <c r="O103" s="14">
        <v>6.0</v>
      </c>
      <c r="P103" s="14">
        <f t="shared" si="1"/>
        <v>11</v>
      </c>
      <c r="R103" s="2" t="s">
        <v>2079</v>
      </c>
      <c r="S103" s="2" t="str">
        <f t="shared" si="2"/>
        <v>, Mohammadpur, Dhaka‐1207</v>
      </c>
      <c r="T103" s="27" t="str">
        <f>IFERROR(__xludf.DUMMYFUNCTION("SPLIT(S103,"","")")," Mohammadpur")</f>
        <v> Mohammadpur</v>
      </c>
      <c r="U103" s="1" t="str">
        <f>IFERROR(__xludf.DUMMYFUNCTION("""COMPUTED_VALUE""")," Dhaka‐1207")</f>
        <v> Dhaka‐1207</v>
      </c>
      <c r="V103" s="28"/>
    </row>
    <row r="104" ht="15.75" customHeight="1">
      <c r="A104" s="19" t="s">
        <v>936</v>
      </c>
      <c r="B104" s="2" t="str">
        <f>IFERROR(__xludf.DUMMYFUNCTION("SPLIT(A104,""C"")"),"website:")</f>
        <v>website:</v>
      </c>
      <c r="H104" s="14" t="s">
        <v>1871</v>
      </c>
      <c r="I104" s="2">
        <f>IFERROR(__xludf.DUMMYFUNCTION("SPLIT(H104,"" "")"),1.0)</f>
        <v>1</v>
      </c>
      <c r="J104" s="2">
        <f>IFERROR(__xludf.DUMMYFUNCTION("""COMPUTED_VALUE"""),0.0)</f>
        <v>0</v>
      </c>
      <c r="K104" s="2" t="str">
        <f>IFERROR(__xludf.DUMMYFUNCTION("""COMPUTED_VALUE"""),"Total")</f>
        <v>Total</v>
      </c>
      <c r="L104" s="2">
        <f>IFERROR(__xludf.DUMMYFUNCTION("""COMPUTED_VALUE"""),1.0)</f>
        <v>1</v>
      </c>
      <c r="N104" s="14">
        <v>1.0</v>
      </c>
      <c r="O104" s="14">
        <v>0.0</v>
      </c>
      <c r="P104" s="14">
        <f t="shared" si="1"/>
        <v>1</v>
      </c>
      <c r="R104" s="2" t="s">
        <v>2080</v>
      </c>
      <c r="S104" s="2" t="str">
        <f t="shared" si="2"/>
        <v>ar, 3rd Floor, Dhaka‐1000</v>
      </c>
      <c r="T104" s="27" t="str">
        <f>IFERROR(__xludf.DUMMYFUNCTION("SPLIT(S104,"","")"),"ar")</f>
        <v>ar</v>
      </c>
      <c r="U104" s="1" t="str">
        <f>IFERROR(__xludf.DUMMYFUNCTION("""COMPUTED_VALUE""")," 3rd Floor")</f>
        <v> 3rd Floor</v>
      </c>
      <c r="V104" s="28" t="str">
        <f>IFERROR(__xludf.DUMMYFUNCTION("""COMPUTED_VALUE""")," Dhaka‐1000")</f>
        <v> Dhaka‐1000</v>
      </c>
    </row>
    <row r="105" ht="15.75" customHeight="1">
      <c r="A105" s="31" t="s">
        <v>2081</v>
      </c>
      <c r="B105" s="26" t="str">
        <f>IFERROR(__xludf.DUMMYFUNCTION("SPLIT(A105,""C"")")," www.riverandrain.net")</f>
        <v> www.riverandrain.net</v>
      </c>
      <c r="F105" s="26" t="s">
        <v>2081</v>
      </c>
      <c r="H105" s="14" t="s">
        <v>1911</v>
      </c>
      <c r="I105" s="2" t="str">
        <f>IFERROR(__xludf.DUMMYFUNCTION("SPLIT(H105,"" "")"),"Total")</f>
        <v>Total</v>
      </c>
      <c r="N105" s="14"/>
      <c r="O105" s="14"/>
      <c r="P105" s="14">
        <f t="shared" si="1"/>
        <v>0</v>
      </c>
      <c r="R105" s="2" t="s">
        <v>2082</v>
      </c>
      <c r="S105" s="2" t="str">
        <f t="shared" si="2"/>
        <v> DOHS, Banani, Dhaka‐1206</v>
      </c>
      <c r="T105" s="27" t="str">
        <f>IFERROR(__xludf.DUMMYFUNCTION("SPLIT(S105,"","")")," DOHS")</f>
        <v> DOHS</v>
      </c>
      <c r="U105" s="1" t="str">
        <f>IFERROR(__xludf.DUMMYFUNCTION("""COMPUTED_VALUE""")," Banani")</f>
        <v> Banani</v>
      </c>
      <c r="V105" s="28" t="str">
        <f>IFERROR(__xludf.DUMMYFUNCTION("""COMPUTED_VALUE""")," Dhaka‐1206")</f>
        <v> Dhaka‐1206</v>
      </c>
    </row>
    <row r="106" ht="15.75" customHeight="1">
      <c r="A106" s="19" t="s">
        <v>936</v>
      </c>
      <c r="B106" s="2" t="str">
        <f>IFERROR(__xludf.DUMMYFUNCTION("SPLIT(A106,""C"")"),"website:")</f>
        <v>website:</v>
      </c>
      <c r="H106" s="14" t="s">
        <v>2083</v>
      </c>
      <c r="I106" s="2">
        <f>IFERROR(__xludf.DUMMYFUNCTION("SPLIT(H106,"" "")"),4.0)</f>
        <v>4</v>
      </c>
      <c r="J106" s="2">
        <f>IFERROR(__xludf.DUMMYFUNCTION("""COMPUTED_VALUE"""),6.0)</f>
        <v>6</v>
      </c>
      <c r="K106" s="2" t="str">
        <f>IFERROR(__xludf.DUMMYFUNCTION("""COMPUTED_VALUE"""),"Total")</f>
        <v>Total</v>
      </c>
      <c r="L106" s="2">
        <f>IFERROR(__xludf.DUMMYFUNCTION("""COMPUTED_VALUE"""),10.0)</f>
        <v>10</v>
      </c>
      <c r="N106" s="14">
        <v>4.0</v>
      </c>
      <c r="O106" s="14">
        <v>6.0</v>
      </c>
      <c r="P106" s="14">
        <f t="shared" si="1"/>
        <v>10</v>
      </c>
      <c r="R106" s="2" t="s">
        <v>2084</v>
      </c>
      <c r="S106" s="2" t="str">
        <f t="shared" si="2"/>
        <v>.‐Mohammedpur, Dhaka‐1207</v>
      </c>
      <c r="T106" s="27" t="str">
        <f>IFERROR(__xludf.DUMMYFUNCTION("SPLIT(S106,"","")"),".‐Mohammedpur")</f>
        <v>.‐Mohammedpur</v>
      </c>
      <c r="U106" s="1" t="str">
        <f>IFERROR(__xludf.DUMMYFUNCTION("""COMPUTED_VALUE""")," Dhaka‐1207")</f>
        <v> Dhaka‐1207</v>
      </c>
      <c r="V106" s="28"/>
    </row>
    <row r="107" ht="15.75" customHeight="1">
      <c r="A107" s="19" t="s">
        <v>936</v>
      </c>
      <c r="B107" s="2" t="str">
        <f>IFERROR(__xludf.DUMMYFUNCTION("SPLIT(A107,""C"")"),"website:")</f>
        <v>website:</v>
      </c>
      <c r="H107" s="14" t="s">
        <v>1895</v>
      </c>
      <c r="I107" s="2">
        <f>IFERROR(__xludf.DUMMYFUNCTION("SPLIT(H107,"" "")"),2.0)</f>
        <v>2</v>
      </c>
      <c r="J107" s="2">
        <f>IFERROR(__xludf.DUMMYFUNCTION("""COMPUTED_VALUE"""),3.0)</f>
        <v>3</v>
      </c>
      <c r="K107" s="2" t="str">
        <f>IFERROR(__xludf.DUMMYFUNCTION("""COMPUTED_VALUE"""),"Total")</f>
        <v>Total</v>
      </c>
      <c r="L107" s="2">
        <f>IFERROR(__xludf.DUMMYFUNCTION("""COMPUTED_VALUE"""),5.0)</f>
        <v>5</v>
      </c>
      <c r="N107" s="14">
        <v>2.0</v>
      </c>
      <c r="O107" s="14">
        <v>3.0</v>
      </c>
      <c r="P107" s="14">
        <f t="shared" si="1"/>
        <v>5</v>
      </c>
      <c r="R107" s="2" t="s">
        <v>2085</v>
      </c>
      <c r="S107" s="2" t="str">
        <f t="shared" si="2"/>
        <v>70 Green road, Dhaka‐1205</v>
      </c>
      <c r="T107" s="27" t="str">
        <f>IFERROR(__xludf.DUMMYFUNCTION("SPLIT(S107,"","")"),"70 Green road")</f>
        <v>70 Green road</v>
      </c>
      <c r="U107" s="1" t="str">
        <f>IFERROR(__xludf.DUMMYFUNCTION("""COMPUTED_VALUE""")," Dhaka‐1205")</f>
        <v> Dhaka‐1205</v>
      </c>
      <c r="V107" s="28"/>
    </row>
    <row r="108" ht="15.75" customHeight="1">
      <c r="A108" s="19" t="s">
        <v>7</v>
      </c>
      <c r="B108" s="2" t="str">
        <f>IFERROR(__xludf.DUMMYFUNCTION("SPLIT(A108,""C"")"),"NAME OF PROPRIETOR/ PARTNER/ DIRE")</f>
        <v>NAME OF PROPRIETOR/ PARTNER/ DIRE</v>
      </c>
      <c r="C108" s="2" t="str">
        <f>IFERROR(__xludf.DUMMYFUNCTION("""COMPUTED_VALUE"""),"TOR(s) &amp; DESIGNATION")</f>
        <v>TOR(s) &amp; DESIGNATION</v>
      </c>
      <c r="H108" s="14" t="s">
        <v>1900</v>
      </c>
      <c r="I108" s="2">
        <f>IFERROR(__xludf.DUMMYFUNCTION("SPLIT(H108,"" "")"),2.0)</f>
        <v>2</v>
      </c>
      <c r="J108" s="2">
        <f>IFERROR(__xludf.DUMMYFUNCTION("""COMPUTED_VALUE"""),1.0)</f>
        <v>1</v>
      </c>
      <c r="K108" s="2" t="str">
        <f>IFERROR(__xludf.DUMMYFUNCTION("""COMPUTED_VALUE"""),"Total")</f>
        <v>Total</v>
      </c>
      <c r="L108" s="2">
        <f>IFERROR(__xludf.DUMMYFUNCTION("""COMPUTED_VALUE"""),3.0)</f>
        <v>3</v>
      </c>
      <c r="N108" s="14">
        <v>2.0</v>
      </c>
      <c r="O108" s="14">
        <v>1.0</v>
      </c>
      <c r="P108" s="14">
        <f t="shared" si="1"/>
        <v>3</v>
      </c>
      <c r="R108" s="2" t="s">
        <v>2086</v>
      </c>
      <c r="S108" s="2" t="str">
        <f t="shared" si="2"/>
        <v>oad‐7/A, Dhanmondi, Dhaka</v>
      </c>
      <c r="T108" s="27" t="str">
        <f>IFERROR(__xludf.DUMMYFUNCTION("SPLIT(S108,"","")"),"oad‐7/A")</f>
        <v>oad‐7/A</v>
      </c>
      <c r="U108" s="1" t="str">
        <f>IFERROR(__xludf.DUMMYFUNCTION("""COMPUTED_VALUE""")," Dhanmondi")</f>
        <v> Dhanmondi</v>
      </c>
      <c r="V108" s="28" t="str">
        <f>IFERROR(__xludf.DUMMYFUNCTION("""COMPUTED_VALUE""")," Dhaka")</f>
        <v> Dhaka</v>
      </c>
    </row>
    <row r="109" ht="15.75" customHeight="1">
      <c r="A109" s="19" t="s">
        <v>936</v>
      </c>
      <c r="B109" s="2" t="str">
        <f>IFERROR(__xludf.DUMMYFUNCTION("SPLIT(A109,""C"")"),"website:")</f>
        <v>website:</v>
      </c>
      <c r="H109" s="14" t="s">
        <v>1959</v>
      </c>
      <c r="I109" s="2">
        <f>IFERROR(__xludf.DUMMYFUNCTION("SPLIT(H109,"" "")"),6.0)</f>
        <v>6</v>
      </c>
      <c r="J109" s="2">
        <f>IFERROR(__xludf.DUMMYFUNCTION("""COMPUTED_VALUE"""),12.0)</f>
        <v>12</v>
      </c>
      <c r="K109" s="2" t="str">
        <f>IFERROR(__xludf.DUMMYFUNCTION("""COMPUTED_VALUE"""),"Total")</f>
        <v>Total</v>
      </c>
      <c r="L109" s="2">
        <f>IFERROR(__xludf.DUMMYFUNCTION("""COMPUTED_VALUE"""),18.0)</f>
        <v>18</v>
      </c>
      <c r="N109" s="14">
        <v>6.0</v>
      </c>
      <c r="O109" s="14">
        <v>12.0</v>
      </c>
      <c r="P109" s="14">
        <f t="shared" si="1"/>
        <v>18</v>
      </c>
      <c r="R109" s="2" t="s">
        <v>2087</v>
      </c>
      <c r="S109" s="2" t="str">
        <f t="shared" si="2"/>
        <v>or), Rajarbag, Dhaka‐1217</v>
      </c>
      <c r="T109" s="27" t="str">
        <f>IFERROR(__xludf.DUMMYFUNCTION("SPLIT(S109,"","")"),"or)")</f>
        <v>or)</v>
      </c>
      <c r="U109" s="1" t="str">
        <f>IFERROR(__xludf.DUMMYFUNCTION("""COMPUTED_VALUE""")," Rajarbag")</f>
        <v> Rajarbag</v>
      </c>
      <c r="V109" s="28" t="str">
        <f>IFERROR(__xludf.DUMMYFUNCTION("""COMPUTED_VALUE""")," Dhaka‐1217")</f>
        <v> Dhaka‐1217</v>
      </c>
    </row>
    <row r="110" ht="15.75" customHeight="1">
      <c r="A110" s="19" t="s">
        <v>496</v>
      </c>
      <c r="B110" s="2" t="str">
        <f>IFERROR(__xludf.DUMMYFUNCTION("SPLIT(A110,""C"")"),"Website : www.silt.com.bd ")</f>
        <v>Website : www.silt.com.bd </v>
      </c>
      <c r="C110" s="2" t="str">
        <f>IFERROR(__xludf.DUMMYFUNCTION("""COMPUTED_VALUE"""),"ontact: +88‐02‐9892062")</f>
        <v>ontact: +88‐02‐9892062</v>
      </c>
      <c r="F110" s="26" t="s">
        <v>2088</v>
      </c>
      <c r="H110" s="14" t="s">
        <v>1968</v>
      </c>
      <c r="I110" s="2">
        <f>IFERROR(__xludf.DUMMYFUNCTION("SPLIT(H110,"" "")"),1.0)</f>
        <v>1</v>
      </c>
      <c r="J110" s="2">
        <f>IFERROR(__xludf.DUMMYFUNCTION("""COMPUTED_VALUE"""),2.0)</f>
        <v>2</v>
      </c>
      <c r="K110" s="2" t="str">
        <f>IFERROR(__xludf.DUMMYFUNCTION("""COMPUTED_VALUE"""),"Total")</f>
        <v>Total</v>
      </c>
      <c r="L110" s="2">
        <f>IFERROR(__xludf.DUMMYFUNCTION("""COMPUTED_VALUE"""),3.0)</f>
        <v>3</v>
      </c>
      <c r="N110" s="14">
        <v>1.0</v>
      </c>
      <c r="O110" s="14">
        <v>2.0</v>
      </c>
      <c r="P110" s="14">
        <f t="shared" si="1"/>
        <v>3</v>
      </c>
      <c r="R110" s="2" t="s">
        <v>2089</v>
      </c>
      <c r="S110" s="2" t="str">
        <f t="shared" si="2"/>
        <v>HS, Mohakhali, Dhaka‐1206</v>
      </c>
      <c r="T110" s="27" t="str">
        <f>IFERROR(__xludf.DUMMYFUNCTION("SPLIT(S110,"","")"),"HS")</f>
        <v>HS</v>
      </c>
      <c r="U110" s="1" t="str">
        <f>IFERROR(__xludf.DUMMYFUNCTION("""COMPUTED_VALUE""")," Mohakhali")</f>
        <v> Mohakhali</v>
      </c>
      <c r="V110" s="28" t="str">
        <f>IFERROR(__xludf.DUMMYFUNCTION("""COMPUTED_VALUE""")," Dhaka‐1206")</f>
        <v> Dhaka‐1206</v>
      </c>
    </row>
    <row r="111" ht="15.75" customHeight="1">
      <c r="A111" s="19" t="s">
        <v>936</v>
      </c>
      <c r="B111" s="2" t="str">
        <f>IFERROR(__xludf.DUMMYFUNCTION("SPLIT(A111,""C"")"),"website:")</f>
        <v>website:</v>
      </c>
      <c r="H111" s="14" t="s">
        <v>1968</v>
      </c>
      <c r="I111" s="2">
        <f>IFERROR(__xludf.DUMMYFUNCTION("SPLIT(H111,"" "")"),1.0)</f>
        <v>1</v>
      </c>
      <c r="J111" s="2">
        <f>IFERROR(__xludf.DUMMYFUNCTION("""COMPUTED_VALUE"""),2.0)</f>
        <v>2</v>
      </c>
      <c r="K111" s="2" t="str">
        <f>IFERROR(__xludf.DUMMYFUNCTION("""COMPUTED_VALUE"""),"Total")</f>
        <v>Total</v>
      </c>
      <c r="L111" s="2">
        <f>IFERROR(__xludf.DUMMYFUNCTION("""COMPUTED_VALUE"""),3.0)</f>
        <v>3</v>
      </c>
      <c r="N111" s="14">
        <v>1.0</v>
      </c>
      <c r="O111" s="14">
        <v>2.0</v>
      </c>
      <c r="P111" s="14">
        <f t="shared" si="1"/>
        <v>3</v>
      </c>
      <c r="R111" s="2" t="s">
        <v>2090</v>
      </c>
      <c r="S111" s="2" t="str">
        <f t="shared" si="2"/>
        <v>tor 13,Uttara ,Dhaka 1230</v>
      </c>
      <c r="T111" s="27" t="str">
        <f>IFERROR(__xludf.DUMMYFUNCTION("SPLIT(S111,"","")"),"tor 13")</f>
        <v>tor 13</v>
      </c>
      <c r="U111" s="1" t="str">
        <f>IFERROR(__xludf.DUMMYFUNCTION("""COMPUTED_VALUE"""),"Uttara ")</f>
        <v>Uttara </v>
      </c>
      <c r="V111" s="28" t="str">
        <f>IFERROR(__xludf.DUMMYFUNCTION("""COMPUTED_VALUE"""),"Dhaka 1230")</f>
        <v>Dhaka 1230</v>
      </c>
    </row>
    <row r="112" ht="15.75" customHeight="1">
      <c r="A112" s="19" t="s">
        <v>936</v>
      </c>
      <c r="B112" s="2" t="str">
        <f>IFERROR(__xludf.DUMMYFUNCTION("SPLIT(A112,""C"")"),"website:")</f>
        <v>website:</v>
      </c>
      <c r="H112" s="14" t="s">
        <v>2091</v>
      </c>
      <c r="I112" s="2">
        <f>IFERROR(__xludf.DUMMYFUNCTION("SPLIT(H112,"" "")"),2.0)</f>
        <v>2</v>
      </c>
      <c r="J112" s="2">
        <f>IFERROR(__xludf.DUMMYFUNCTION("""COMPUTED_VALUE"""),8.0)</f>
        <v>8</v>
      </c>
      <c r="K112" s="2" t="str">
        <f>IFERROR(__xludf.DUMMYFUNCTION("""COMPUTED_VALUE"""),"Total")</f>
        <v>Total</v>
      </c>
      <c r="L112" s="2">
        <f>IFERROR(__xludf.DUMMYFUNCTION("""COMPUTED_VALUE"""),10.0)</f>
        <v>10</v>
      </c>
      <c r="N112" s="14">
        <v>2.0</v>
      </c>
      <c r="O112" s="14">
        <v>8.0</v>
      </c>
      <c r="P112" s="14">
        <f t="shared" si="1"/>
        <v>10</v>
      </c>
      <c r="R112" s="2" t="s">
        <v>2092</v>
      </c>
      <c r="S112" s="2" t="str">
        <f t="shared" si="2"/>
        <v>HS, Mohakhali, Dhaka‐1206</v>
      </c>
      <c r="T112" s="27" t="str">
        <f>IFERROR(__xludf.DUMMYFUNCTION("SPLIT(S112,"","")"),"HS")</f>
        <v>HS</v>
      </c>
      <c r="U112" s="1" t="str">
        <f>IFERROR(__xludf.DUMMYFUNCTION("""COMPUTED_VALUE""")," Mohakhali")</f>
        <v> Mohakhali</v>
      </c>
      <c r="V112" s="28" t="str">
        <f>IFERROR(__xludf.DUMMYFUNCTION("""COMPUTED_VALUE""")," Dhaka‐1206")</f>
        <v> Dhaka‐1206</v>
      </c>
    </row>
    <row r="113" ht="15.75" customHeight="1">
      <c r="A113" s="19" t="s">
        <v>936</v>
      </c>
      <c r="B113" s="2" t="str">
        <f>IFERROR(__xludf.DUMMYFUNCTION("SPLIT(A113,""C"")"),"website:")</f>
        <v>website:</v>
      </c>
      <c r="H113" s="14" t="s">
        <v>1895</v>
      </c>
      <c r="I113" s="2">
        <f>IFERROR(__xludf.DUMMYFUNCTION("SPLIT(H113,"" "")"),2.0)</f>
        <v>2</v>
      </c>
      <c r="J113" s="2">
        <f>IFERROR(__xludf.DUMMYFUNCTION("""COMPUTED_VALUE"""),3.0)</f>
        <v>3</v>
      </c>
      <c r="K113" s="2" t="str">
        <f>IFERROR(__xludf.DUMMYFUNCTION("""COMPUTED_VALUE"""),"Total")</f>
        <v>Total</v>
      </c>
      <c r="L113" s="2">
        <f>IFERROR(__xludf.DUMMYFUNCTION("""COMPUTED_VALUE"""),5.0)</f>
        <v>5</v>
      </c>
      <c r="N113" s="14">
        <v>2.0</v>
      </c>
      <c r="O113" s="14">
        <v>3.0</v>
      </c>
      <c r="P113" s="14">
        <f t="shared" si="1"/>
        <v>5</v>
      </c>
      <c r="R113" s="2" t="s">
        <v>2093</v>
      </c>
      <c r="S113" s="2" t="str">
        <f t="shared" si="2"/>
        <v>th Floor), Dhanmondi‐1205</v>
      </c>
      <c r="T113" s="27" t="str">
        <f>IFERROR(__xludf.DUMMYFUNCTION("SPLIT(S113,"","")"),"th Floor)")</f>
        <v>th Floor)</v>
      </c>
      <c r="U113" s="1" t="str">
        <f>IFERROR(__xludf.DUMMYFUNCTION("""COMPUTED_VALUE""")," Dhanmondi‐1205")</f>
        <v> Dhanmondi‐1205</v>
      </c>
      <c r="V113" s="28"/>
    </row>
    <row r="114" ht="15.75" customHeight="1">
      <c r="A114" s="19" t="s">
        <v>936</v>
      </c>
      <c r="B114" s="2" t="str">
        <f>IFERROR(__xludf.DUMMYFUNCTION("SPLIT(A114,""C"")"),"website:")</f>
        <v>website:</v>
      </c>
      <c r="H114" s="14" t="s">
        <v>1895</v>
      </c>
      <c r="I114" s="2">
        <f>IFERROR(__xludf.DUMMYFUNCTION("SPLIT(H114,"" "")"),2.0)</f>
        <v>2</v>
      </c>
      <c r="J114" s="2">
        <f>IFERROR(__xludf.DUMMYFUNCTION("""COMPUTED_VALUE"""),3.0)</f>
        <v>3</v>
      </c>
      <c r="K114" s="2" t="str">
        <f>IFERROR(__xludf.DUMMYFUNCTION("""COMPUTED_VALUE"""),"Total")</f>
        <v>Total</v>
      </c>
      <c r="L114" s="2">
        <f>IFERROR(__xludf.DUMMYFUNCTION("""COMPUTED_VALUE"""),5.0)</f>
        <v>5</v>
      </c>
      <c r="N114" s="14">
        <v>2.0</v>
      </c>
      <c r="O114" s="14">
        <v>3.0</v>
      </c>
      <c r="P114" s="14">
        <f t="shared" si="1"/>
        <v>5</v>
      </c>
      <c r="R114" s="2" t="s">
        <v>2094</v>
      </c>
      <c r="S114" s="2" t="str">
        <f t="shared" si="2"/>
        <v>Elephant Road, Dhaka‐1205</v>
      </c>
      <c r="T114" s="27" t="str">
        <f>IFERROR(__xludf.DUMMYFUNCTION("SPLIT(S114,"","")"),"Elephant Road")</f>
        <v>Elephant Road</v>
      </c>
      <c r="U114" s="1" t="str">
        <f>IFERROR(__xludf.DUMMYFUNCTION("""COMPUTED_VALUE""")," Dhaka‐1205")</f>
        <v> Dhaka‐1205</v>
      </c>
      <c r="V114" s="28"/>
    </row>
    <row r="115" ht="15.75" customHeight="1">
      <c r="A115" s="19" t="s">
        <v>523</v>
      </c>
      <c r="B115" s="2" t="str">
        <f>IFERROR(__xludf.DUMMYFUNCTION("SPLIT(A115,""C"")"),"Website : www.studioecotecture.com ")</f>
        <v>Website : www.studioecotecture.com </v>
      </c>
      <c r="C115" s="2" t="str">
        <f>IFERROR(__xludf.DUMMYFUNCTION("""COMPUTED_VALUE"""),"ontact: +88‐02‐8191422")</f>
        <v>ontact: +88‐02‐8191422</v>
      </c>
      <c r="F115" s="26" t="s">
        <v>2095</v>
      </c>
      <c r="H115" s="14" t="s">
        <v>2083</v>
      </c>
      <c r="I115" s="2">
        <f>IFERROR(__xludf.DUMMYFUNCTION("SPLIT(H115,"" "")"),4.0)</f>
        <v>4</v>
      </c>
      <c r="J115" s="2">
        <f>IFERROR(__xludf.DUMMYFUNCTION("""COMPUTED_VALUE"""),6.0)</f>
        <v>6</v>
      </c>
      <c r="K115" s="2" t="str">
        <f>IFERROR(__xludf.DUMMYFUNCTION("""COMPUTED_VALUE"""),"Total")</f>
        <v>Total</v>
      </c>
      <c r="L115" s="2">
        <f>IFERROR(__xludf.DUMMYFUNCTION("""COMPUTED_VALUE"""),10.0)</f>
        <v>10</v>
      </c>
      <c r="N115" s="14">
        <v>4.0</v>
      </c>
      <c r="O115" s="14">
        <v>6.0</v>
      </c>
      <c r="P115" s="14">
        <f t="shared" si="1"/>
        <v>10</v>
      </c>
      <c r="R115" s="2" t="s">
        <v>2096</v>
      </c>
      <c r="S115" s="2" t="str">
        <f t="shared" si="2"/>
        <v>di Res. Area, Dhaka‐1205.</v>
      </c>
      <c r="T115" s="27" t="str">
        <f>IFERROR(__xludf.DUMMYFUNCTION("SPLIT(S115,"","")"),"di Res. Area")</f>
        <v>di Res. Area</v>
      </c>
      <c r="U115" s="1" t="str">
        <f>IFERROR(__xludf.DUMMYFUNCTION("""COMPUTED_VALUE""")," Dhaka‐1205.")</f>
        <v> Dhaka‐1205.</v>
      </c>
      <c r="V115" s="28"/>
    </row>
    <row r="116" ht="15.75" customHeight="1">
      <c r="A116" s="19" t="s">
        <v>936</v>
      </c>
      <c r="B116" s="2" t="str">
        <f>IFERROR(__xludf.DUMMYFUNCTION("SPLIT(A116,""C"")"),"website:")</f>
        <v>website:</v>
      </c>
      <c r="H116" s="14" t="s">
        <v>1845</v>
      </c>
      <c r="I116" s="2">
        <f>IFERROR(__xludf.DUMMYFUNCTION("SPLIT(H116,"" "")"),1.0)</f>
        <v>1</v>
      </c>
      <c r="J116" s="2">
        <f>IFERROR(__xludf.DUMMYFUNCTION("""COMPUTED_VALUE"""),5.0)</f>
        <v>5</v>
      </c>
      <c r="K116" s="2" t="str">
        <f>IFERROR(__xludf.DUMMYFUNCTION("""COMPUTED_VALUE"""),"Total")</f>
        <v>Total</v>
      </c>
      <c r="L116" s="2">
        <f>IFERROR(__xludf.DUMMYFUNCTION("""COMPUTED_VALUE"""),6.0)</f>
        <v>6</v>
      </c>
      <c r="N116" s="14">
        <v>1.0</v>
      </c>
      <c r="O116" s="14">
        <v>5.0</v>
      </c>
      <c r="P116" s="14">
        <f t="shared" si="1"/>
        <v>6</v>
      </c>
      <c r="R116" s="2" t="s">
        <v>2097</v>
      </c>
      <c r="S116" s="2" t="str">
        <f t="shared" si="2"/>
        <v>Block‐ L, Banani , Dhaka.</v>
      </c>
      <c r="T116" s="27" t="str">
        <f>IFERROR(__xludf.DUMMYFUNCTION("SPLIT(S116,"","")"),"Block‐ L")</f>
        <v>Block‐ L</v>
      </c>
      <c r="U116" s="1" t="str">
        <f>IFERROR(__xludf.DUMMYFUNCTION("""COMPUTED_VALUE""")," Banani ")</f>
        <v> Banani </v>
      </c>
      <c r="V116" s="28" t="str">
        <f>IFERROR(__xludf.DUMMYFUNCTION("""COMPUTED_VALUE""")," Dhaka.")</f>
        <v> Dhaka.</v>
      </c>
    </row>
    <row r="117" ht="15.75" customHeight="1">
      <c r="A117" s="19" t="s">
        <v>535</v>
      </c>
      <c r="B117" s="2" t="str">
        <f>IFERROR(__xludf.DUMMYFUNCTION("SPLIT(A117,""C"")"),"Website : www.stylelivingbd.com ")</f>
        <v>Website : www.stylelivingbd.com </v>
      </c>
      <c r="C117" s="2" t="str">
        <f>IFERROR(__xludf.DUMMYFUNCTION("""COMPUTED_VALUE"""),"ontact:+8801714050222,+8801713441449")</f>
        <v>ontact:+8801714050222,+8801713441449</v>
      </c>
      <c r="F117" s="26" t="s">
        <v>2098</v>
      </c>
      <c r="H117" s="14" t="s">
        <v>2099</v>
      </c>
      <c r="I117" s="2">
        <f>IFERROR(__xludf.DUMMYFUNCTION("SPLIT(H117,"" "")"),3.0)</f>
        <v>3</v>
      </c>
      <c r="J117" s="2">
        <f>IFERROR(__xludf.DUMMYFUNCTION("""COMPUTED_VALUE"""),9.0)</f>
        <v>9</v>
      </c>
      <c r="K117" s="2" t="str">
        <f>IFERROR(__xludf.DUMMYFUNCTION("""COMPUTED_VALUE"""),"Total")</f>
        <v>Total</v>
      </c>
      <c r="L117" s="2">
        <f>IFERROR(__xludf.DUMMYFUNCTION("""COMPUTED_VALUE"""),12.0)</f>
        <v>12</v>
      </c>
      <c r="N117" s="14">
        <v>3.0</v>
      </c>
      <c r="O117" s="14">
        <v>9.0</v>
      </c>
      <c r="P117" s="14">
        <f t="shared" si="1"/>
        <v>12</v>
      </c>
      <c r="R117" s="2" t="s">
        <v>2100</v>
      </c>
      <c r="S117" s="2" t="str">
        <f t="shared" si="2"/>
        <v>nue, Muradpur, Chittagong</v>
      </c>
      <c r="T117" s="27" t="str">
        <f>IFERROR(__xludf.DUMMYFUNCTION("SPLIT(S117,"","")"),"nue")</f>
        <v>nue</v>
      </c>
      <c r="U117" s="1" t="str">
        <f>IFERROR(__xludf.DUMMYFUNCTION("""COMPUTED_VALUE""")," Muradpur")</f>
        <v> Muradpur</v>
      </c>
      <c r="V117" s="28" t="str">
        <f>IFERROR(__xludf.DUMMYFUNCTION("""COMPUTED_VALUE""")," Chittagong")</f>
        <v> Chittagong</v>
      </c>
    </row>
    <row r="118" ht="15.75" customHeight="1">
      <c r="A118" s="19" t="s">
        <v>936</v>
      </c>
      <c r="B118" s="2" t="str">
        <f>IFERROR(__xludf.DUMMYFUNCTION("SPLIT(A118,""C"")"),"website:")</f>
        <v>website:</v>
      </c>
      <c r="H118" s="14" t="s">
        <v>2083</v>
      </c>
      <c r="I118" s="2">
        <f>IFERROR(__xludf.DUMMYFUNCTION("SPLIT(H118,"" "")"),4.0)</f>
        <v>4</v>
      </c>
      <c r="J118" s="2">
        <f>IFERROR(__xludf.DUMMYFUNCTION("""COMPUTED_VALUE"""),6.0)</f>
        <v>6</v>
      </c>
      <c r="K118" s="2" t="str">
        <f>IFERROR(__xludf.DUMMYFUNCTION("""COMPUTED_VALUE"""),"Total")</f>
        <v>Total</v>
      </c>
      <c r="L118" s="2">
        <f>IFERROR(__xludf.DUMMYFUNCTION("""COMPUTED_VALUE"""),10.0)</f>
        <v>10</v>
      </c>
      <c r="N118" s="14">
        <v>4.0</v>
      </c>
      <c r="O118" s="14">
        <v>6.0</v>
      </c>
      <c r="P118" s="14">
        <f t="shared" si="1"/>
        <v>10</v>
      </c>
      <c r="R118" s="2" t="s">
        <v>2101</v>
      </c>
      <c r="S118" s="2" t="str">
        <f t="shared" si="2"/>
        <v>or‐11, Uttara, Dhaka‐1230</v>
      </c>
      <c r="T118" s="27" t="str">
        <f>IFERROR(__xludf.DUMMYFUNCTION("SPLIT(S118,"","")"),"or‐11")</f>
        <v>or‐11</v>
      </c>
      <c r="U118" s="1" t="str">
        <f>IFERROR(__xludf.DUMMYFUNCTION("""COMPUTED_VALUE""")," Uttara")</f>
        <v> Uttara</v>
      </c>
      <c r="V118" s="28" t="str">
        <f>IFERROR(__xludf.DUMMYFUNCTION("""COMPUTED_VALUE""")," Dhaka‐1230")</f>
        <v> Dhaka‐1230</v>
      </c>
    </row>
    <row r="119" ht="15.75" customHeight="1">
      <c r="A119" s="19" t="s">
        <v>548</v>
      </c>
      <c r="B119" s="2" t="str">
        <f>IFERROR(__xludf.DUMMYFUNCTION("SPLIT(A119,""C"")"),"ontact: +88‐02‐9124105,9124638,8141642")</f>
        <v>ontact: +88‐02‐9124105,9124638,8141642</v>
      </c>
      <c r="H119" s="14" t="s">
        <v>2102</v>
      </c>
      <c r="I119" s="2">
        <f>IFERROR(__xludf.DUMMYFUNCTION("SPLIT(H119,"" "")"),12.0)</f>
        <v>12</v>
      </c>
      <c r="J119" s="2">
        <f>IFERROR(__xludf.DUMMYFUNCTION("""COMPUTED_VALUE"""),14.0)</f>
        <v>14</v>
      </c>
      <c r="K119" s="2" t="str">
        <f>IFERROR(__xludf.DUMMYFUNCTION("""COMPUTED_VALUE"""),"Total")</f>
        <v>Total</v>
      </c>
      <c r="L119" s="2">
        <f>IFERROR(__xludf.DUMMYFUNCTION("""COMPUTED_VALUE"""),26.0)</f>
        <v>26</v>
      </c>
      <c r="N119" s="14">
        <v>12.0</v>
      </c>
      <c r="O119" s="14">
        <v>14.0</v>
      </c>
      <c r="P119" s="14">
        <f t="shared" si="1"/>
        <v>26</v>
      </c>
      <c r="R119" s="2" t="s">
        <v>2103</v>
      </c>
      <c r="S119" s="2" t="str">
        <f t="shared" si="2"/>
        <v> H/S, Shamoly, Dhaka‐1207</v>
      </c>
      <c r="T119" s="27" t="str">
        <f>IFERROR(__xludf.DUMMYFUNCTION("SPLIT(S119,"","")")," H/S")</f>
        <v> H/S</v>
      </c>
      <c r="U119" s="1" t="str">
        <f>IFERROR(__xludf.DUMMYFUNCTION("""COMPUTED_VALUE""")," Shamoly")</f>
        <v> Shamoly</v>
      </c>
      <c r="V119" s="28" t="str">
        <f>IFERROR(__xludf.DUMMYFUNCTION("""COMPUTED_VALUE""")," Dhaka‐1207")</f>
        <v> Dhaka‐1207</v>
      </c>
    </row>
    <row r="120" ht="15.75" customHeight="1">
      <c r="A120" s="19" t="s">
        <v>936</v>
      </c>
      <c r="B120" s="2" t="str">
        <f>IFERROR(__xludf.DUMMYFUNCTION("SPLIT(A120,""C"")"),"website:")</f>
        <v>website:</v>
      </c>
      <c r="H120" s="14" t="s">
        <v>1900</v>
      </c>
      <c r="I120" s="2">
        <f>IFERROR(__xludf.DUMMYFUNCTION("SPLIT(H120,"" "")"),2.0)</f>
        <v>2</v>
      </c>
      <c r="J120" s="2">
        <f>IFERROR(__xludf.DUMMYFUNCTION("""COMPUTED_VALUE"""),1.0)</f>
        <v>1</v>
      </c>
      <c r="K120" s="2" t="str">
        <f>IFERROR(__xludf.DUMMYFUNCTION("""COMPUTED_VALUE"""),"Total")</f>
        <v>Total</v>
      </c>
      <c r="L120" s="2">
        <f>IFERROR(__xludf.DUMMYFUNCTION("""COMPUTED_VALUE"""),3.0)</f>
        <v>3</v>
      </c>
      <c r="N120" s="14">
        <v>2.0</v>
      </c>
      <c r="O120" s="14">
        <v>1.0</v>
      </c>
      <c r="P120" s="14">
        <f t="shared" si="1"/>
        <v>3</v>
      </c>
      <c r="R120" s="2" t="s">
        <v>2104</v>
      </c>
      <c r="S120" s="2" t="str">
        <f t="shared" si="2"/>
        <v>3, West Panthapoth, Dhaka</v>
      </c>
      <c r="T120" s="27">
        <f>IFERROR(__xludf.DUMMYFUNCTION("SPLIT(S120,"","")"),3.0)</f>
        <v>3</v>
      </c>
      <c r="U120" s="1" t="str">
        <f>IFERROR(__xludf.DUMMYFUNCTION("""COMPUTED_VALUE""")," West Panthapoth")</f>
        <v> West Panthapoth</v>
      </c>
      <c r="V120" s="28" t="str">
        <f>IFERROR(__xludf.DUMMYFUNCTION("""COMPUTED_VALUE""")," Dhaka")</f>
        <v> Dhaka</v>
      </c>
    </row>
    <row r="121" ht="15.75" customHeight="1">
      <c r="A121" s="19" t="s">
        <v>560</v>
      </c>
      <c r="B121" s="2" t="str">
        <f>IFERROR(__xludf.DUMMYFUNCTION("SPLIT(A121,""C"")"),"Website : www.shatottogreen.com ")</f>
        <v>Website : www.shatottogreen.com </v>
      </c>
      <c r="C121" s="2" t="str">
        <f>IFERROR(__xludf.DUMMYFUNCTION("""COMPUTED_VALUE"""),"ontact: +88‐02‐8119702, +8801711641175")</f>
        <v>ontact: +88‐02‐8119702, +8801711641175</v>
      </c>
      <c r="F121" s="26" t="s">
        <v>2105</v>
      </c>
      <c r="H121" s="14" t="s">
        <v>2106</v>
      </c>
      <c r="I121" s="2">
        <f>IFERROR(__xludf.DUMMYFUNCTION("SPLIT(H121,"" "")"),9.0)</f>
        <v>9</v>
      </c>
      <c r="J121" s="2">
        <f>IFERROR(__xludf.DUMMYFUNCTION("""COMPUTED_VALUE"""),5.0)</f>
        <v>5</v>
      </c>
      <c r="K121" s="2" t="str">
        <f>IFERROR(__xludf.DUMMYFUNCTION("""COMPUTED_VALUE"""),"Total")</f>
        <v>Total</v>
      </c>
      <c r="L121" s="2">
        <f>IFERROR(__xludf.DUMMYFUNCTION("""COMPUTED_VALUE"""),14.0)</f>
        <v>14</v>
      </c>
      <c r="N121" s="14">
        <v>9.0</v>
      </c>
      <c r="O121" s="14">
        <v>5.0</v>
      </c>
      <c r="P121" s="14">
        <f t="shared" si="1"/>
        <v>14</v>
      </c>
      <c r="R121" s="2" t="s">
        <v>2107</v>
      </c>
      <c r="S121" s="2" t="str">
        <f t="shared" si="2"/>
        <v>, Mohammadpur, Dhaka‐1209</v>
      </c>
      <c r="T121" s="27" t="str">
        <f>IFERROR(__xludf.DUMMYFUNCTION("SPLIT(S121,"","")")," Mohammadpur")</f>
        <v> Mohammadpur</v>
      </c>
      <c r="U121" s="1" t="str">
        <f>IFERROR(__xludf.DUMMYFUNCTION("""COMPUTED_VALUE""")," Dhaka‐1209")</f>
        <v> Dhaka‐1209</v>
      </c>
      <c r="V121" s="28"/>
    </row>
    <row r="122" ht="15.75" customHeight="1">
      <c r="A122" s="19" t="s">
        <v>568</v>
      </c>
      <c r="B122" s="2" t="str">
        <f>IFERROR(__xludf.DUMMYFUNCTION("SPLIT(A122,""C"")"),"Website : www.spacearcht.com")</f>
        <v>Website : www.spacearcht.com</v>
      </c>
      <c r="F122" s="26" t="s">
        <v>2108</v>
      </c>
      <c r="H122" s="14" t="s">
        <v>1895</v>
      </c>
      <c r="I122" s="2">
        <f>IFERROR(__xludf.DUMMYFUNCTION("SPLIT(H122,"" "")"),2.0)</f>
        <v>2</v>
      </c>
      <c r="J122" s="2">
        <f>IFERROR(__xludf.DUMMYFUNCTION("""COMPUTED_VALUE"""),3.0)</f>
        <v>3</v>
      </c>
      <c r="K122" s="2" t="str">
        <f>IFERROR(__xludf.DUMMYFUNCTION("""COMPUTED_VALUE"""),"Total")</f>
        <v>Total</v>
      </c>
      <c r="L122" s="2">
        <f>IFERROR(__xludf.DUMMYFUNCTION("""COMPUTED_VALUE"""),5.0)</f>
        <v>5</v>
      </c>
      <c r="N122" s="14">
        <v>2.0</v>
      </c>
      <c r="O122" s="14">
        <v>3.0</v>
      </c>
      <c r="P122" s="14">
        <f t="shared" si="1"/>
        <v>5</v>
      </c>
      <c r="R122" s="2" t="s">
        <v>2109</v>
      </c>
      <c r="S122" s="2" t="str">
        <f t="shared" si="2"/>
        <v>HS, Mohakhali, Dhaka 1206</v>
      </c>
      <c r="T122" s="27" t="str">
        <f>IFERROR(__xludf.DUMMYFUNCTION("SPLIT(S122,"","")"),"HS")</f>
        <v>HS</v>
      </c>
      <c r="U122" s="1" t="str">
        <f>IFERROR(__xludf.DUMMYFUNCTION("""COMPUTED_VALUE""")," Mohakhali")</f>
        <v> Mohakhali</v>
      </c>
      <c r="V122" s="28" t="str">
        <f>IFERROR(__xludf.DUMMYFUNCTION("""COMPUTED_VALUE""")," Dhaka 1206")</f>
        <v> Dhaka 1206</v>
      </c>
    </row>
    <row r="123" ht="15.75" customHeight="1">
      <c r="A123" s="19" t="s">
        <v>574</v>
      </c>
      <c r="B123" s="2" t="str">
        <f>IFERROR(__xludf.DUMMYFUNCTION("SPLIT(A123,""C"")"),"Website : www.sthapotik.com ")</f>
        <v>Website : www.sthapotik.com </v>
      </c>
      <c r="C123" s="2" t="str">
        <f>IFERROR(__xludf.DUMMYFUNCTION("""COMPUTED_VALUE"""),"ontact: +8801713039777")</f>
        <v>ontact: +8801713039777</v>
      </c>
      <c r="F123" s="26" t="s">
        <v>2110</v>
      </c>
      <c r="H123" s="14" t="s">
        <v>2111</v>
      </c>
      <c r="I123" s="2">
        <f>IFERROR(__xludf.DUMMYFUNCTION("SPLIT(H123,"" "")"),5.0)</f>
        <v>5</v>
      </c>
      <c r="J123" s="2">
        <f>IFERROR(__xludf.DUMMYFUNCTION("""COMPUTED_VALUE"""),2.0)</f>
        <v>2</v>
      </c>
      <c r="K123" s="2" t="str">
        <f>IFERROR(__xludf.DUMMYFUNCTION("""COMPUTED_VALUE"""),"Total")</f>
        <v>Total</v>
      </c>
      <c r="L123" s="2">
        <f>IFERROR(__xludf.DUMMYFUNCTION("""COMPUTED_VALUE"""),7.0)</f>
        <v>7</v>
      </c>
      <c r="N123" s="14">
        <v>5.0</v>
      </c>
      <c r="O123" s="14">
        <v>2.0</v>
      </c>
      <c r="P123" s="14">
        <f t="shared" si="1"/>
        <v>7</v>
      </c>
      <c r="R123" s="2" t="s">
        <v>2112</v>
      </c>
      <c r="S123" s="2" t="str">
        <f t="shared" si="2"/>
        <v> Block‐D, Lalmatia, Dhaka</v>
      </c>
      <c r="T123" s="27" t="str">
        <f>IFERROR(__xludf.DUMMYFUNCTION("SPLIT(S123,"","")")," Block‐D")</f>
        <v> Block‐D</v>
      </c>
      <c r="U123" s="1" t="str">
        <f>IFERROR(__xludf.DUMMYFUNCTION("""COMPUTED_VALUE""")," Lalmatia")</f>
        <v> Lalmatia</v>
      </c>
      <c r="V123" s="28" t="str">
        <f>IFERROR(__xludf.DUMMYFUNCTION("""COMPUTED_VALUE""")," Dhaka")</f>
        <v> Dhaka</v>
      </c>
    </row>
    <row r="124" ht="15.75" customHeight="1">
      <c r="A124" s="19" t="s">
        <v>581</v>
      </c>
      <c r="B124" s="2" t="str">
        <f>IFERROR(__xludf.DUMMYFUNCTION("SPLIT(A124,""C"")"),"Website : www.studiodhakaarchitects.com ")</f>
        <v>Website : www.studiodhakaarchitects.com </v>
      </c>
      <c r="C124" s="2" t="str">
        <f>IFERROR(__xludf.DUMMYFUNCTION("""COMPUTED_VALUE"""),"ontact: +8801534355957")</f>
        <v>ontact: +8801534355957</v>
      </c>
      <c r="F124" s="26" t="s">
        <v>2113</v>
      </c>
      <c r="H124" s="14" t="s">
        <v>1900</v>
      </c>
      <c r="I124" s="2">
        <f>IFERROR(__xludf.DUMMYFUNCTION("SPLIT(H124,"" "")"),2.0)</f>
        <v>2</v>
      </c>
      <c r="J124" s="2">
        <f>IFERROR(__xludf.DUMMYFUNCTION("""COMPUTED_VALUE"""),1.0)</f>
        <v>1</v>
      </c>
      <c r="K124" s="2" t="str">
        <f>IFERROR(__xludf.DUMMYFUNCTION("""COMPUTED_VALUE"""),"Total")</f>
        <v>Total</v>
      </c>
      <c r="L124" s="2">
        <f>IFERROR(__xludf.DUMMYFUNCTION("""COMPUTED_VALUE"""),3.0)</f>
        <v>3</v>
      </c>
      <c r="N124" s="14">
        <v>2.0</v>
      </c>
      <c r="O124" s="14">
        <v>1.0</v>
      </c>
      <c r="P124" s="14">
        <f t="shared" si="1"/>
        <v>3</v>
      </c>
      <c r="R124" s="2" t="s">
        <v>2114</v>
      </c>
      <c r="S124" s="2" t="str">
        <f t="shared" si="2"/>
        <v>ra Model Town, Dhaka‐1230</v>
      </c>
      <c r="T124" s="27" t="str">
        <f>IFERROR(__xludf.DUMMYFUNCTION("SPLIT(S124,"","")"),"ra Model Town")</f>
        <v>ra Model Town</v>
      </c>
      <c r="U124" s="1" t="str">
        <f>IFERROR(__xludf.DUMMYFUNCTION("""COMPUTED_VALUE""")," Dhaka‐1230")</f>
        <v> Dhaka‐1230</v>
      </c>
      <c r="V124" s="28"/>
    </row>
    <row r="125" ht="15.75" customHeight="1">
      <c r="A125" s="19" t="s">
        <v>587</v>
      </c>
      <c r="B125" s="2" t="str">
        <f>IFERROR(__xludf.DUMMYFUNCTION("SPLIT(A125,""C"")"),"Website : www.studiodhaka.com ")</f>
        <v>Website : www.studiodhaka.com </v>
      </c>
      <c r="C125" s="2" t="str">
        <f>IFERROR(__xludf.DUMMYFUNCTION("""COMPUTED_VALUE"""),"ontact: +8801711335635")</f>
        <v>ontact: +8801711335635</v>
      </c>
      <c r="F125" s="26" t="s">
        <v>2115</v>
      </c>
      <c r="H125" s="14" t="s">
        <v>2116</v>
      </c>
      <c r="I125" s="2">
        <f>IFERROR(__xludf.DUMMYFUNCTION("SPLIT(H125,"" "")"),4.0)</f>
        <v>4</v>
      </c>
      <c r="J125" s="2">
        <f>IFERROR(__xludf.DUMMYFUNCTION("""COMPUTED_VALUE"""),7.0)</f>
        <v>7</v>
      </c>
      <c r="K125" s="2" t="str">
        <f>IFERROR(__xludf.DUMMYFUNCTION("""COMPUTED_VALUE"""),"Total")</f>
        <v>Total</v>
      </c>
      <c r="L125" s="2">
        <f>IFERROR(__xludf.DUMMYFUNCTION("""COMPUTED_VALUE"""),11.0)</f>
        <v>11</v>
      </c>
      <c r="N125" s="14">
        <v>4.0</v>
      </c>
      <c r="O125" s="14">
        <v>7.0</v>
      </c>
      <c r="P125" s="14">
        <f t="shared" si="1"/>
        <v>11</v>
      </c>
      <c r="R125" s="2" t="s">
        <v>2117</v>
      </c>
      <c r="S125" s="2" t="str">
        <f t="shared" si="2"/>
        <v>Dhanmondi R/A, Dhaka‐1205</v>
      </c>
      <c r="T125" s="27" t="str">
        <f>IFERROR(__xludf.DUMMYFUNCTION("SPLIT(S125,"","")"),"Dhanmondi R/A")</f>
        <v>Dhanmondi R/A</v>
      </c>
      <c r="U125" s="1" t="str">
        <f>IFERROR(__xludf.DUMMYFUNCTION("""COMPUTED_VALUE""")," Dhaka‐1205")</f>
        <v> Dhaka‐1205</v>
      </c>
      <c r="V125" s="28"/>
    </row>
    <row r="126" ht="15.75" customHeight="1">
      <c r="A126" s="19" t="s">
        <v>594</v>
      </c>
      <c r="B126" s="2" t="str">
        <f>IFERROR(__xludf.DUMMYFUNCTION("SPLIT(A126,""C"")"),"Website : www.systemarchitectsbd.com ")</f>
        <v>Website : www.systemarchitectsbd.com </v>
      </c>
      <c r="C126" s="2" t="str">
        <f>IFERROR(__xludf.DUMMYFUNCTION("""COMPUTED_VALUE"""),"ontact: +88‐02‐9843303, +88‐02‐9842193")</f>
        <v>ontact: +88‐02‐9843303, +88‐02‐9842193</v>
      </c>
      <c r="F126" s="26" t="s">
        <v>2118</v>
      </c>
      <c r="H126" s="14" t="s">
        <v>2119</v>
      </c>
      <c r="I126" s="2">
        <f>IFERROR(__xludf.DUMMYFUNCTION("SPLIT(H126,"" "")"),4.0)</f>
        <v>4</v>
      </c>
      <c r="J126" s="2">
        <f>IFERROR(__xludf.DUMMYFUNCTION("""COMPUTED_VALUE"""),9.0)</f>
        <v>9</v>
      </c>
      <c r="K126" s="2" t="str">
        <f>IFERROR(__xludf.DUMMYFUNCTION("""COMPUTED_VALUE"""),"Total")</f>
        <v>Total</v>
      </c>
      <c r="L126" s="2">
        <f>IFERROR(__xludf.DUMMYFUNCTION("""COMPUTED_VALUE"""),13.0)</f>
        <v>13</v>
      </c>
      <c r="N126" s="14">
        <v>4.0</v>
      </c>
      <c r="O126" s="14">
        <v>9.0</v>
      </c>
      <c r="P126" s="14">
        <f t="shared" si="1"/>
        <v>13</v>
      </c>
      <c r="R126" s="2" t="s">
        <v>2120</v>
      </c>
      <c r="S126" s="2" t="str">
        <f t="shared" si="2"/>
        <v>ock‐K, Banani, Dhaka‐1213</v>
      </c>
      <c r="T126" s="27" t="str">
        <f>IFERROR(__xludf.DUMMYFUNCTION("SPLIT(S126,"","")"),"ock‐K")</f>
        <v>ock‐K</v>
      </c>
      <c r="U126" s="1" t="str">
        <f>IFERROR(__xludf.DUMMYFUNCTION("""COMPUTED_VALUE""")," Banani")</f>
        <v> Banani</v>
      </c>
      <c r="V126" s="28" t="str">
        <f>IFERROR(__xludf.DUMMYFUNCTION("""COMPUTED_VALUE""")," Dhaka‐1213")</f>
        <v> Dhaka‐1213</v>
      </c>
    </row>
    <row r="127" ht="15.75" customHeight="1">
      <c r="A127" s="19" t="s">
        <v>50</v>
      </c>
      <c r="B127" s="2" t="str">
        <f>IFERROR(__xludf.DUMMYFUNCTION("SPLIT(A127,""C"")"),"Website :")</f>
        <v>Website :</v>
      </c>
      <c r="H127" s="14" t="s">
        <v>2121</v>
      </c>
      <c r="I127" s="2">
        <f>IFERROR(__xludf.DUMMYFUNCTION("SPLIT(H127,"" "")"),3.0)</f>
        <v>3</v>
      </c>
      <c r="J127" s="2">
        <f>IFERROR(__xludf.DUMMYFUNCTION("""COMPUTED_VALUE"""),4.0)</f>
        <v>4</v>
      </c>
      <c r="K127" s="2" t="str">
        <f>IFERROR(__xludf.DUMMYFUNCTION("""COMPUTED_VALUE"""),"Total")</f>
        <v>Total</v>
      </c>
      <c r="L127" s="2">
        <f>IFERROR(__xludf.DUMMYFUNCTION("""COMPUTED_VALUE"""),7.0)</f>
        <v>7</v>
      </c>
      <c r="N127" s="14">
        <v>3.0</v>
      </c>
      <c r="O127" s="14">
        <v>4.0</v>
      </c>
      <c r="P127" s="14">
        <f t="shared" si="1"/>
        <v>7</v>
      </c>
      <c r="R127" s="2" t="s">
        <v>2122</v>
      </c>
      <c r="S127" s="2" t="str">
        <f t="shared" si="2"/>
        <v>S Khaled Road, Chattogram</v>
      </c>
      <c r="T127" s="27" t="str">
        <f>IFERROR(__xludf.DUMMYFUNCTION("SPLIT(S127,"","")"),"S Khaled Road")</f>
        <v>S Khaled Road</v>
      </c>
      <c r="U127" s="1" t="str">
        <f>IFERROR(__xludf.DUMMYFUNCTION("""COMPUTED_VALUE""")," Chattogram")</f>
        <v> Chattogram</v>
      </c>
      <c r="V127" s="28"/>
    </row>
    <row r="128" ht="15.75" customHeight="1">
      <c r="A128" s="31" t="s">
        <v>2123</v>
      </c>
      <c r="B128" s="26" t="str">
        <f>IFERROR(__xludf.DUMMYFUNCTION("SPLIT(A128,""C"")")," www.studiomorphogenesis.com")</f>
        <v> www.studiomorphogenesis.com</v>
      </c>
      <c r="F128" s="26" t="s">
        <v>2123</v>
      </c>
      <c r="H128" s="14" t="s">
        <v>1911</v>
      </c>
      <c r="I128" s="2" t="str">
        <f>IFERROR(__xludf.DUMMYFUNCTION("SPLIT(H128,"" "")"),"Total")</f>
        <v>Total</v>
      </c>
      <c r="N128" s="14"/>
      <c r="O128" s="14"/>
      <c r="P128" s="14">
        <f t="shared" si="1"/>
        <v>0</v>
      </c>
      <c r="R128" s="2" t="s">
        <v>2124</v>
      </c>
      <c r="S128" s="2" t="str">
        <f t="shared" si="2"/>
        <v>14, Gulshan‐1, Dhaka‐1212</v>
      </c>
      <c r="T128" s="27">
        <f>IFERROR(__xludf.DUMMYFUNCTION("SPLIT(S128,"","")"),14.0)</f>
        <v>14</v>
      </c>
      <c r="U128" s="1" t="str">
        <f>IFERROR(__xludf.DUMMYFUNCTION("""COMPUTED_VALUE""")," Gulshan‐1")</f>
        <v> Gulshan‐1</v>
      </c>
      <c r="V128" s="28" t="str">
        <f>IFERROR(__xludf.DUMMYFUNCTION("""COMPUTED_VALUE""")," Dhaka‐1212")</f>
        <v> Dhaka‐1212</v>
      </c>
    </row>
    <row r="129" ht="15.75" customHeight="1">
      <c r="A129" s="19" t="s">
        <v>936</v>
      </c>
      <c r="B129" s="2" t="str">
        <f>IFERROR(__xludf.DUMMYFUNCTION("SPLIT(A129,""C"")"),"website:")</f>
        <v>website:</v>
      </c>
      <c r="H129" s="14" t="s">
        <v>1858</v>
      </c>
      <c r="I129" s="2">
        <f>IFERROR(__xludf.DUMMYFUNCTION("SPLIT(H129,"" "")"),1.0)</f>
        <v>1</v>
      </c>
      <c r="J129" s="2">
        <f>IFERROR(__xludf.DUMMYFUNCTION("""COMPUTED_VALUE"""),4.0)</f>
        <v>4</v>
      </c>
      <c r="K129" s="2" t="str">
        <f>IFERROR(__xludf.DUMMYFUNCTION("""COMPUTED_VALUE"""),"Total")</f>
        <v>Total</v>
      </c>
      <c r="L129" s="2">
        <f>IFERROR(__xludf.DUMMYFUNCTION("""COMPUTED_VALUE"""),5.0)</f>
        <v>5</v>
      </c>
      <c r="N129" s="14">
        <v>1.0</v>
      </c>
      <c r="O129" s="14">
        <v>4.0</v>
      </c>
      <c r="P129" s="14">
        <f t="shared" si="1"/>
        <v>5</v>
      </c>
      <c r="R129" s="2" t="s">
        <v>2125</v>
      </c>
      <c r="S129" s="2" t="str">
        <f t="shared" si="2"/>
        <v>HS, Mohakhali, Dhaka‐1206</v>
      </c>
      <c r="T129" s="27" t="str">
        <f>IFERROR(__xludf.DUMMYFUNCTION("SPLIT(S129,"","")"),"HS")</f>
        <v>HS</v>
      </c>
      <c r="U129" s="1" t="str">
        <f>IFERROR(__xludf.DUMMYFUNCTION("""COMPUTED_VALUE""")," Mohakhali")</f>
        <v> Mohakhali</v>
      </c>
      <c r="V129" s="28" t="str">
        <f>IFERROR(__xludf.DUMMYFUNCTION("""COMPUTED_VALUE""")," Dhaka‐1206")</f>
        <v> Dhaka‐1206</v>
      </c>
    </row>
    <row r="130" ht="15.75" customHeight="1">
      <c r="A130" s="19" t="s">
        <v>936</v>
      </c>
      <c r="B130" s="2" t="str">
        <f>IFERROR(__xludf.DUMMYFUNCTION("SPLIT(A130,""C"")"),"website:")</f>
        <v>website:</v>
      </c>
      <c r="H130" s="14" t="s">
        <v>1880</v>
      </c>
      <c r="I130" s="2">
        <f>IFERROR(__xludf.DUMMYFUNCTION("SPLIT(H130,"" "")"),2.0)</f>
        <v>2</v>
      </c>
      <c r="J130" s="2">
        <f>IFERROR(__xludf.DUMMYFUNCTION("""COMPUTED_VALUE"""),5.0)</f>
        <v>5</v>
      </c>
      <c r="K130" s="2" t="str">
        <f>IFERROR(__xludf.DUMMYFUNCTION("""COMPUTED_VALUE"""),"Total")</f>
        <v>Total</v>
      </c>
      <c r="L130" s="2">
        <f>IFERROR(__xludf.DUMMYFUNCTION("""COMPUTED_VALUE"""),7.0)</f>
        <v>7</v>
      </c>
      <c r="N130" s="14">
        <v>2.0</v>
      </c>
      <c r="O130" s="14">
        <v>5.0</v>
      </c>
      <c r="P130" s="14">
        <f t="shared" si="1"/>
        <v>7</v>
      </c>
      <c r="R130" s="2" t="s">
        <v>2126</v>
      </c>
      <c r="S130" s="2" t="str">
        <f t="shared" si="2"/>
        <v>ck#F, Banani , Dhaka‐1213</v>
      </c>
      <c r="T130" s="27" t="str">
        <f>IFERROR(__xludf.DUMMYFUNCTION("SPLIT(S130,"","")"),"ck#F")</f>
        <v>ck#F</v>
      </c>
      <c r="U130" s="1" t="str">
        <f>IFERROR(__xludf.DUMMYFUNCTION("""COMPUTED_VALUE""")," Banani ")</f>
        <v> Banani </v>
      </c>
      <c r="V130" s="28" t="str">
        <f>IFERROR(__xludf.DUMMYFUNCTION("""COMPUTED_VALUE""")," Dhaka‐1213")</f>
        <v> Dhaka‐1213</v>
      </c>
    </row>
    <row r="131" ht="15.75" customHeight="1">
      <c r="A131" s="19" t="s">
        <v>626</v>
      </c>
      <c r="B131" s="2" t="str">
        <f>IFERROR(__xludf.DUMMYFUNCTION("SPLIT(A131,""C"")"),"Website : www.tknrk.com ")</f>
        <v>Website : www.tknrk.com </v>
      </c>
      <c r="C131" s="2" t="str">
        <f>IFERROR(__xludf.DUMMYFUNCTION("""COMPUTED_VALUE"""),"ontact: +88‐02‐58156547, +88‐02‐9142487")</f>
        <v>ontact: +88‐02‐58156547, +88‐02‐9142487</v>
      </c>
      <c r="F131" s="26" t="s">
        <v>2127</v>
      </c>
      <c r="H131" s="14" t="s">
        <v>2128</v>
      </c>
      <c r="I131" s="2">
        <f>IFERROR(__xludf.DUMMYFUNCTION("SPLIT(H131,"" "")"),14.0)</f>
        <v>14</v>
      </c>
      <c r="J131" s="2">
        <f>IFERROR(__xludf.DUMMYFUNCTION("""COMPUTED_VALUE"""),12.0)</f>
        <v>12</v>
      </c>
      <c r="K131" s="2" t="str">
        <f>IFERROR(__xludf.DUMMYFUNCTION("""COMPUTED_VALUE"""),"Total")</f>
        <v>Total</v>
      </c>
      <c r="L131" s="2">
        <f>IFERROR(__xludf.DUMMYFUNCTION("""COMPUTED_VALUE"""),26.0)</f>
        <v>26</v>
      </c>
      <c r="N131" s="14">
        <v>14.0</v>
      </c>
      <c r="O131" s="14">
        <v>12.0</v>
      </c>
      <c r="P131" s="14">
        <f t="shared" si="1"/>
        <v>26</v>
      </c>
      <c r="R131" s="2" t="s">
        <v>2129</v>
      </c>
      <c r="S131" s="2" t="str">
        <f t="shared" si="2"/>
        <v> Dhanmond R/A, Dhaka‐1209</v>
      </c>
      <c r="T131" s="27" t="str">
        <f>IFERROR(__xludf.DUMMYFUNCTION("SPLIT(S131,"","")")," Dhanmond R/A")</f>
        <v> Dhanmond R/A</v>
      </c>
      <c r="U131" s="1" t="str">
        <f>IFERROR(__xludf.DUMMYFUNCTION("""COMPUTED_VALUE""")," Dhaka‐1209")</f>
        <v> Dhaka‐1209</v>
      </c>
      <c r="V131" s="28"/>
    </row>
    <row r="132" ht="15.75" customHeight="1">
      <c r="A132" s="19" t="s">
        <v>634</v>
      </c>
      <c r="B132" s="2" t="str">
        <f>IFERROR(__xludf.DUMMYFUNCTION("SPLIT(A132,""C"")"),"Website : www.thalbd.com ")</f>
        <v>Website : www.thalbd.com </v>
      </c>
      <c r="C132" s="2" t="str">
        <f>IFERROR(__xludf.DUMMYFUNCTION("""COMPUTED_VALUE"""),"ontact: +88‐02‐9896337, +88‐02‐9882504")</f>
        <v>ontact: +88‐02‐9896337, +88‐02‐9882504</v>
      </c>
      <c r="F132" s="26" t="s">
        <v>2130</v>
      </c>
      <c r="H132" s="14" t="s">
        <v>2131</v>
      </c>
      <c r="I132" s="2">
        <f>IFERROR(__xludf.DUMMYFUNCTION("SPLIT(H132,"" "")"),5.0)</f>
        <v>5</v>
      </c>
      <c r="J132" s="2">
        <f>IFERROR(__xludf.DUMMYFUNCTION("""COMPUTED_VALUE"""),0.0)</f>
        <v>0</v>
      </c>
      <c r="K132" s="2" t="str">
        <f>IFERROR(__xludf.DUMMYFUNCTION("""COMPUTED_VALUE"""),"Total")</f>
        <v>Total</v>
      </c>
      <c r="L132" s="2">
        <f>IFERROR(__xludf.DUMMYFUNCTION("""COMPUTED_VALUE"""),5.0)</f>
        <v>5</v>
      </c>
      <c r="N132" s="14">
        <v>5.0</v>
      </c>
      <c r="O132" s="14">
        <v>0.0</v>
      </c>
      <c r="P132" s="14">
        <f t="shared" si="1"/>
        <v>5</v>
      </c>
      <c r="R132" s="2" t="s">
        <v>2132</v>
      </c>
      <c r="S132" s="2" t="str">
        <f t="shared" si="2"/>
        <v>ock‐C, Banani, Dhaka‐1213</v>
      </c>
      <c r="T132" s="27" t="str">
        <f>IFERROR(__xludf.DUMMYFUNCTION("SPLIT(S132,"","")"),"ock‐C")</f>
        <v>ock‐C</v>
      </c>
      <c r="U132" s="1" t="str">
        <f>IFERROR(__xludf.DUMMYFUNCTION("""COMPUTED_VALUE""")," Banani")</f>
        <v> Banani</v>
      </c>
      <c r="V132" s="28" t="str">
        <f>IFERROR(__xludf.DUMMYFUNCTION("""COMPUTED_VALUE""")," Dhaka‐1213")</f>
        <v> Dhaka‐1213</v>
      </c>
    </row>
    <row r="133" ht="15.75" customHeight="1">
      <c r="A133" s="19" t="s">
        <v>641</v>
      </c>
      <c r="B133" s="2" t="str">
        <f>IFERROR(__xludf.DUMMYFUNCTION("SPLIT(A133,""C"")"),"Website : www.triotect.com.bd")</f>
        <v>Website : www.triotect.com.bd</v>
      </c>
      <c r="F133" s="26" t="s">
        <v>2133</v>
      </c>
      <c r="H133" s="14" t="s">
        <v>2111</v>
      </c>
      <c r="I133" s="2">
        <f>IFERROR(__xludf.DUMMYFUNCTION("SPLIT(H133,"" "")"),5.0)</f>
        <v>5</v>
      </c>
      <c r="J133" s="2">
        <f>IFERROR(__xludf.DUMMYFUNCTION("""COMPUTED_VALUE"""),2.0)</f>
        <v>2</v>
      </c>
      <c r="K133" s="2" t="str">
        <f>IFERROR(__xludf.DUMMYFUNCTION("""COMPUTED_VALUE"""),"Total")</f>
        <v>Total</v>
      </c>
      <c r="L133" s="2">
        <f>IFERROR(__xludf.DUMMYFUNCTION("""COMPUTED_VALUE"""),7.0)</f>
        <v>7</v>
      </c>
      <c r="N133" s="14">
        <v>5.0</v>
      </c>
      <c r="O133" s="14">
        <v>2.0</v>
      </c>
      <c r="P133" s="14">
        <f t="shared" si="1"/>
        <v>7</v>
      </c>
      <c r="R133" s="2" t="s">
        <v>2134</v>
      </c>
      <c r="S133" s="2" t="str">
        <f t="shared" si="2"/>
        <v>us, Kalabagan, Dhaka‐1205</v>
      </c>
      <c r="T133" s="27" t="str">
        <f>IFERROR(__xludf.DUMMYFUNCTION("SPLIT(S133,"","")"),"us")</f>
        <v>us</v>
      </c>
      <c r="U133" s="1" t="str">
        <f>IFERROR(__xludf.DUMMYFUNCTION("""COMPUTED_VALUE""")," Kalabagan")</f>
        <v> Kalabagan</v>
      </c>
      <c r="V133" s="28" t="str">
        <f>IFERROR(__xludf.DUMMYFUNCTION("""COMPUTED_VALUE""")," Dhaka‐1205")</f>
        <v> Dhaka‐1205</v>
      </c>
    </row>
    <row r="134" ht="15.75" customHeight="1">
      <c r="A134" s="19" t="s">
        <v>936</v>
      </c>
      <c r="B134" s="2" t="str">
        <f>IFERROR(__xludf.DUMMYFUNCTION("SPLIT(A134,""C"")"),"website:")</f>
        <v>website:</v>
      </c>
      <c r="H134" s="14" t="s">
        <v>2099</v>
      </c>
      <c r="I134" s="2">
        <f>IFERROR(__xludf.DUMMYFUNCTION("SPLIT(H134,"" "")"),3.0)</f>
        <v>3</v>
      </c>
      <c r="J134" s="2">
        <f>IFERROR(__xludf.DUMMYFUNCTION("""COMPUTED_VALUE"""),9.0)</f>
        <v>9</v>
      </c>
      <c r="K134" s="2" t="str">
        <f>IFERROR(__xludf.DUMMYFUNCTION("""COMPUTED_VALUE"""),"Total")</f>
        <v>Total</v>
      </c>
      <c r="L134" s="2">
        <f>IFERROR(__xludf.DUMMYFUNCTION("""COMPUTED_VALUE"""),12.0)</f>
        <v>12</v>
      </c>
      <c r="N134" s="14">
        <v>3.0</v>
      </c>
      <c r="O134" s="14">
        <v>9.0</v>
      </c>
      <c r="P134" s="14">
        <f t="shared" si="1"/>
        <v>12</v>
      </c>
      <c r="R134" s="2" t="s">
        <v>2135</v>
      </c>
      <c r="S134" s="2" t="str">
        <f t="shared" si="2"/>
        <v>HS, Mohakhali, Dhaka‐1206</v>
      </c>
      <c r="T134" s="27" t="str">
        <f>IFERROR(__xludf.DUMMYFUNCTION("SPLIT(S134,"","")"),"HS")</f>
        <v>HS</v>
      </c>
      <c r="U134" s="1" t="str">
        <f>IFERROR(__xludf.DUMMYFUNCTION("""COMPUTED_VALUE""")," Mohakhali")</f>
        <v> Mohakhali</v>
      </c>
      <c r="V134" s="28" t="str">
        <f>IFERROR(__xludf.DUMMYFUNCTION("""COMPUTED_VALUE""")," Dhaka‐1206")</f>
        <v> Dhaka‐1206</v>
      </c>
    </row>
    <row r="135" ht="15.75" customHeight="1">
      <c r="A135" s="19" t="s">
        <v>936</v>
      </c>
      <c r="B135" s="2" t="str">
        <f>IFERROR(__xludf.DUMMYFUNCTION("SPLIT(A135,""C"")"),"website:")</f>
        <v>website:</v>
      </c>
      <c r="H135" s="14" t="s">
        <v>2070</v>
      </c>
      <c r="I135" s="2">
        <f>IFERROR(__xludf.DUMMYFUNCTION("SPLIT(H135,"" "")"),6.0)</f>
        <v>6</v>
      </c>
      <c r="J135" s="2">
        <f>IFERROR(__xludf.DUMMYFUNCTION("""COMPUTED_VALUE"""),4.0)</f>
        <v>4</v>
      </c>
      <c r="K135" s="2" t="str">
        <f>IFERROR(__xludf.DUMMYFUNCTION("""COMPUTED_VALUE"""),"Total")</f>
        <v>Total</v>
      </c>
      <c r="L135" s="2">
        <f>IFERROR(__xludf.DUMMYFUNCTION("""COMPUTED_VALUE"""),10.0)</f>
        <v>10</v>
      </c>
      <c r="N135" s="14">
        <v>6.0</v>
      </c>
      <c r="O135" s="14">
        <v>4.0</v>
      </c>
      <c r="P135" s="14">
        <f t="shared" si="1"/>
        <v>10</v>
      </c>
      <c r="R135" s="2" t="s">
        <v>2136</v>
      </c>
      <c r="S135" s="2" t="str">
        <f t="shared" si="2"/>
        <v>/A, Dhanmondi, Dhaka‐1209</v>
      </c>
      <c r="T135" s="27" t="str">
        <f>IFERROR(__xludf.DUMMYFUNCTION("SPLIT(S135,"","")"),"/A")</f>
        <v>/A</v>
      </c>
      <c r="U135" s="1" t="str">
        <f>IFERROR(__xludf.DUMMYFUNCTION("""COMPUTED_VALUE""")," Dhanmondi")</f>
        <v> Dhanmondi</v>
      </c>
      <c r="V135" s="28" t="str">
        <f>IFERROR(__xludf.DUMMYFUNCTION("""COMPUTED_VALUE""")," Dhaka‐1209")</f>
        <v> Dhaka‐1209</v>
      </c>
    </row>
    <row r="136" ht="15.75" customHeight="1">
      <c r="A136" s="19" t="s">
        <v>50</v>
      </c>
      <c r="B136" s="2" t="str">
        <f>IFERROR(__xludf.DUMMYFUNCTION("SPLIT(A136,""C"")"),"Website :")</f>
        <v>Website :</v>
      </c>
      <c r="H136" s="14" t="s">
        <v>1822</v>
      </c>
      <c r="I136" s="2">
        <f>IFERROR(__xludf.DUMMYFUNCTION("SPLIT(H136,"" "")"),3.0)</f>
        <v>3</v>
      </c>
      <c r="J136" s="2">
        <f>IFERROR(__xludf.DUMMYFUNCTION("""COMPUTED_VALUE"""),2.0)</f>
        <v>2</v>
      </c>
      <c r="K136" s="2" t="str">
        <f>IFERROR(__xludf.DUMMYFUNCTION("""COMPUTED_VALUE"""),"Total")</f>
        <v>Total</v>
      </c>
      <c r="L136" s="2">
        <f>IFERROR(__xludf.DUMMYFUNCTION("""COMPUTED_VALUE"""),5.0)</f>
        <v>5</v>
      </c>
      <c r="N136" s="14">
        <v>3.0</v>
      </c>
      <c r="O136" s="14">
        <v>2.0</v>
      </c>
      <c r="P136" s="14">
        <f t="shared" si="1"/>
        <v>5</v>
      </c>
      <c r="R136" s="2" t="s">
        <v>2137</v>
      </c>
      <c r="S136" s="2" t="str">
        <f t="shared" si="2"/>
        <v>or‐11, Uttara, Dhaka‐1230</v>
      </c>
      <c r="T136" s="27" t="str">
        <f>IFERROR(__xludf.DUMMYFUNCTION("SPLIT(S136,"","")"),"or‐11")</f>
        <v>or‐11</v>
      </c>
      <c r="U136" s="1" t="str">
        <f>IFERROR(__xludf.DUMMYFUNCTION("""COMPUTED_VALUE""")," Uttara")</f>
        <v> Uttara</v>
      </c>
      <c r="V136" s="28" t="str">
        <f>IFERROR(__xludf.DUMMYFUNCTION("""COMPUTED_VALUE""")," Dhaka‐1230")</f>
        <v> Dhaka‐1230</v>
      </c>
    </row>
    <row r="137" ht="15.75" customHeight="1">
      <c r="A137" s="19" t="s">
        <v>936</v>
      </c>
      <c r="B137" s="2" t="str">
        <f>IFERROR(__xludf.DUMMYFUNCTION("SPLIT(A137,""C"")"),"website:")</f>
        <v>website:</v>
      </c>
      <c r="H137" s="14" t="s">
        <v>2138</v>
      </c>
      <c r="I137" s="2">
        <f>IFERROR(__xludf.DUMMYFUNCTION("SPLIT(H137,"" "")"),3.0)</f>
        <v>3</v>
      </c>
      <c r="J137" s="2">
        <f>IFERROR(__xludf.DUMMYFUNCTION("""COMPUTED_VALUE"""),6.0)</f>
        <v>6</v>
      </c>
      <c r="K137" s="2" t="str">
        <f>IFERROR(__xludf.DUMMYFUNCTION("""COMPUTED_VALUE"""),"Total")</f>
        <v>Total</v>
      </c>
      <c r="L137" s="2">
        <f>IFERROR(__xludf.DUMMYFUNCTION("""COMPUTED_VALUE"""),9.0)</f>
        <v>9</v>
      </c>
      <c r="N137" s="14">
        <v>3.0</v>
      </c>
      <c r="O137" s="14">
        <v>6.0</v>
      </c>
      <c r="P137" s="14">
        <f t="shared" si="1"/>
        <v>9</v>
      </c>
      <c r="R137" s="2" t="s">
        <v>2139</v>
      </c>
      <c r="S137" s="2" t="str">
        <f t="shared" si="2"/>
        <v>19‐Green Road, Dhaka‐1205</v>
      </c>
      <c r="T137" s="27" t="str">
        <f>IFERROR(__xludf.DUMMYFUNCTION("SPLIT(S137,"","")"),"19‐Green Road")</f>
        <v>19‐Green Road</v>
      </c>
      <c r="U137" s="1" t="str">
        <f>IFERROR(__xludf.DUMMYFUNCTION("""COMPUTED_VALUE""")," Dhaka‐1205")</f>
        <v> Dhaka‐1205</v>
      </c>
      <c r="V137" s="28"/>
    </row>
    <row r="138" ht="15.75" customHeight="1">
      <c r="A138" s="19" t="s">
        <v>936</v>
      </c>
      <c r="B138" s="2" t="str">
        <f>IFERROR(__xludf.DUMMYFUNCTION("SPLIT(A138,""C"")"),"website:")</f>
        <v>website:</v>
      </c>
      <c r="H138" s="14" t="s">
        <v>2140</v>
      </c>
      <c r="I138" s="2">
        <f>IFERROR(__xludf.DUMMYFUNCTION("SPLIT(H138,"" "")"),15.0)</f>
        <v>15</v>
      </c>
      <c r="J138" s="2">
        <f>IFERROR(__xludf.DUMMYFUNCTION("""COMPUTED_VALUE"""),4.0)</f>
        <v>4</v>
      </c>
      <c r="K138" s="2" t="str">
        <f>IFERROR(__xludf.DUMMYFUNCTION("""COMPUTED_VALUE"""),"Total")</f>
        <v>Total</v>
      </c>
      <c r="L138" s="2">
        <f>IFERROR(__xludf.DUMMYFUNCTION("""COMPUTED_VALUE"""),19.0)</f>
        <v>19</v>
      </c>
      <c r="N138" s="14">
        <v>15.0</v>
      </c>
      <c r="O138" s="14">
        <v>4.0</v>
      </c>
      <c r="P138" s="14">
        <f t="shared" si="1"/>
        <v>19</v>
      </c>
      <c r="R138" s="2" t="s">
        <v>2141</v>
      </c>
      <c r="S138" s="2" t="str">
        <f t="shared" si="2"/>
        <v>own, Gulshan, Dhaka‐1212.</v>
      </c>
      <c r="T138" s="27" t="str">
        <f>IFERROR(__xludf.DUMMYFUNCTION("SPLIT(S138,"","")"),"own")</f>
        <v>own</v>
      </c>
      <c r="U138" s="1" t="str">
        <f>IFERROR(__xludf.DUMMYFUNCTION("""COMPUTED_VALUE""")," Gulshan")</f>
        <v> Gulshan</v>
      </c>
      <c r="V138" s="28" t="str">
        <f>IFERROR(__xludf.DUMMYFUNCTION("""COMPUTED_VALUE""")," Dhaka‐1212.")</f>
        <v> Dhaka‐1212.</v>
      </c>
    </row>
    <row r="139" ht="15.75" customHeight="1">
      <c r="A139" s="19" t="s">
        <v>679</v>
      </c>
      <c r="B139" s="2" t="str">
        <f>IFERROR(__xludf.DUMMYFUNCTION("SPLIT(A139,""C"")"),"Website : www.volumezeroltd.com ")</f>
        <v>Website : www.volumezeroltd.com </v>
      </c>
      <c r="C139" s="2" t="str">
        <f>IFERROR(__xludf.DUMMYFUNCTION("""COMPUTED_VALUE"""),"ontact: +88‐02‐55035669, +88‐02‐55035670, +88‐02‐55035671")</f>
        <v>ontact: +88‐02‐55035669, +88‐02‐55035670, +88‐02‐55035671</v>
      </c>
      <c r="F139" s="26" t="s">
        <v>2142</v>
      </c>
      <c r="H139" s="14" t="s">
        <v>2143</v>
      </c>
      <c r="I139" s="2">
        <f>IFERROR(__xludf.DUMMYFUNCTION("SPLIT(H139,"" "")"),23.0)</f>
        <v>23</v>
      </c>
      <c r="J139" s="2">
        <f>IFERROR(__xludf.DUMMYFUNCTION("""COMPUTED_VALUE"""),4.0)</f>
        <v>4</v>
      </c>
      <c r="K139" s="2" t="str">
        <f>IFERROR(__xludf.DUMMYFUNCTION("""COMPUTED_VALUE"""),"Total")</f>
        <v>Total</v>
      </c>
      <c r="L139" s="2">
        <f>IFERROR(__xludf.DUMMYFUNCTION("""COMPUTED_VALUE"""),27.0)</f>
        <v>27</v>
      </c>
      <c r="N139" s="14">
        <v>23.0</v>
      </c>
      <c r="O139" s="14">
        <v>4.0</v>
      </c>
      <c r="P139" s="14">
        <f t="shared" si="1"/>
        <v>27</v>
      </c>
      <c r="R139" s="2" t="s">
        <v>2144</v>
      </c>
      <c r="S139" s="2" t="str">
        <f t="shared" si="2"/>
        <v>k‐A, Banani , Dhaka 1213.</v>
      </c>
      <c r="T139" s="27" t="str">
        <f>IFERROR(__xludf.DUMMYFUNCTION("SPLIT(S139,"","")"),"k‐A")</f>
        <v>k‐A</v>
      </c>
      <c r="U139" s="1" t="str">
        <f>IFERROR(__xludf.DUMMYFUNCTION("""COMPUTED_VALUE""")," Banani ")</f>
        <v> Banani </v>
      </c>
      <c r="V139" s="28" t="str">
        <f>IFERROR(__xludf.DUMMYFUNCTION("""COMPUTED_VALUE""")," Dhaka 1213.")</f>
        <v> Dhaka 1213.</v>
      </c>
    </row>
    <row r="140" ht="15.75" customHeight="1">
      <c r="A140" s="19" t="s">
        <v>687</v>
      </c>
      <c r="B140" s="2" t="str">
        <f>IFERROR(__xludf.DUMMYFUNCTION("SPLIT(A140,""C"")"),"Website : www.vuumaatra.com")</f>
        <v>Website : www.vuumaatra.com</v>
      </c>
      <c r="F140" s="26" t="s">
        <v>2145</v>
      </c>
      <c r="H140" s="14" t="s">
        <v>1848</v>
      </c>
      <c r="I140" s="2">
        <f>IFERROR(__xludf.DUMMYFUNCTION("SPLIT(H140,"" "")"),3.0)</f>
        <v>3</v>
      </c>
      <c r="J140" s="2">
        <f>IFERROR(__xludf.DUMMYFUNCTION("""COMPUTED_VALUE"""),1.0)</f>
        <v>1</v>
      </c>
      <c r="K140" s="2" t="str">
        <f>IFERROR(__xludf.DUMMYFUNCTION("""COMPUTED_VALUE"""),"Total")</f>
        <v>Total</v>
      </c>
      <c r="L140" s="2">
        <f>IFERROR(__xludf.DUMMYFUNCTION("""COMPUTED_VALUE"""),4.0)</f>
        <v>4</v>
      </c>
      <c r="N140" s="14">
        <v>3.0</v>
      </c>
      <c r="O140" s="14">
        <v>1.0</v>
      </c>
      <c r="P140" s="14">
        <f t="shared" si="1"/>
        <v>4</v>
      </c>
      <c r="R140" s="2" t="s">
        <v>2146</v>
      </c>
      <c r="S140" s="2" t="str">
        <f t="shared" si="2"/>
        <v>y, Gulshan‐1, Dhaka 1206.</v>
      </c>
      <c r="T140" s="27" t="str">
        <f>IFERROR(__xludf.DUMMYFUNCTION("SPLIT(S140,"","")"),"y")</f>
        <v>y</v>
      </c>
      <c r="U140" s="1" t="str">
        <f>IFERROR(__xludf.DUMMYFUNCTION("""COMPUTED_VALUE""")," Gulshan‐1")</f>
        <v> Gulshan‐1</v>
      </c>
      <c r="V140" s="28" t="str">
        <f>IFERROR(__xludf.DUMMYFUNCTION("""COMPUTED_VALUE""")," Dhaka 1206.")</f>
        <v> Dhaka 1206.</v>
      </c>
    </row>
    <row r="141" ht="15.75" customHeight="1">
      <c r="A141" s="19" t="s">
        <v>50</v>
      </c>
      <c r="B141" s="2" t="str">
        <f>IFERROR(__xludf.DUMMYFUNCTION("SPLIT(A141,""C"")"),"Website :")</f>
        <v>Website :</v>
      </c>
      <c r="H141" s="14" t="s">
        <v>2131</v>
      </c>
      <c r="I141" s="2">
        <f>IFERROR(__xludf.DUMMYFUNCTION("SPLIT(H141,"" "")"),5.0)</f>
        <v>5</v>
      </c>
      <c r="J141" s="2">
        <f>IFERROR(__xludf.DUMMYFUNCTION("""COMPUTED_VALUE"""),0.0)</f>
        <v>0</v>
      </c>
      <c r="K141" s="2" t="str">
        <f>IFERROR(__xludf.DUMMYFUNCTION("""COMPUTED_VALUE"""),"Total")</f>
        <v>Total</v>
      </c>
      <c r="L141" s="2">
        <f>IFERROR(__xludf.DUMMYFUNCTION("""COMPUTED_VALUE"""),5.0)</f>
        <v>5</v>
      </c>
      <c r="N141" s="14">
        <v>5.0</v>
      </c>
      <c r="O141" s="14">
        <v>0.0</v>
      </c>
      <c r="P141" s="14">
        <f t="shared" si="1"/>
        <v>5</v>
      </c>
      <c r="R141" s="2" t="s">
        <v>2147</v>
      </c>
      <c r="S141" s="2" t="str">
        <f t="shared" si="2"/>
        <v>E/2, Zigatola, Dhaka‐1209</v>
      </c>
      <c r="T141" s="27" t="str">
        <f>IFERROR(__xludf.DUMMYFUNCTION("SPLIT(S141,"","")"),"E/2")</f>
        <v>E/2</v>
      </c>
      <c r="U141" s="1" t="str">
        <f>IFERROR(__xludf.DUMMYFUNCTION("""COMPUTED_VALUE""")," Zigatola")</f>
        <v> Zigatola</v>
      </c>
      <c r="V141" s="28" t="str">
        <f>IFERROR(__xludf.DUMMYFUNCTION("""COMPUTED_VALUE""")," Dhaka‐1209")</f>
        <v> Dhaka‐1209</v>
      </c>
    </row>
    <row r="142" ht="15.75" customHeight="1">
      <c r="A142" s="31" t="s">
        <v>2148</v>
      </c>
      <c r="B142" s="26" t="str">
        <f>IFERROR(__xludf.DUMMYFUNCTION("SPLIT(A142,""C"")")," www.vitti.com.bd")</f>
        <v> www.vitti.com.bd</v>
      </c>
      <c r="F142" s="26" t="s">
        <v>2148</v>
      </c>
      <c r="H142" s="14" t="s">
        <v>1911</v>
      </c>
      <c r="I142" s="2" t="str">
        <f>IFERROR(__xludf.DUMMYFUNCTION("SPLIT(H142,"" "")"),"Total")</f>
        <v>Total</v>
      </c>
      <c r="R142" s="2" t="s">
        <v>2149</v>
      </c>
      <c r="S142" s="2" t="str">
        <f t="shared" si="2"/>
        <v>ngshad Avenue, Dhaka‐1215</v>
      </c>
      <c r="T142" s="27" t="str">
        <f>IFERROR(__xludf.DUMMYFUNCTION("SPLIT(S142,"","")"),"ngshad Avenue")</f>
        <v>ngshad Avenue</v>
      </c>
      <c r="U142" s="1" t="str">
        <f>IFERROR(__xludf.DUMMYFUNCTION("""COMPUTED_VALUE""")," Dhaka‐1215")</f>
        <v> Dhaka‐1215</v>
      </c>
      <c r="V142" s="28"/>
    </row>
    <row r="143" ht="15.75" customHeight="1">
      <c r="A143" s="31" t="s">
        <v>2150</v>
      </c>
      <c r="B143" s="26" t="str">
        <f>IFERROR(__xludf.DUMMYFUNCTION("SPLIT(A143,""C"")")," www.4wallsbd.com")</f>
        <v> www.4wallsbd.com</v>
      </c>
      <c r="F143" s="26" t="s">
        <v>2150</v>
      </c>
      <c r="H143" s="14" t="s">
        <v>1911</v>
      </c>
      <c r="I143" s="2" t="str">
        <f>IFERROR(__xludf.DUMMYFUNCTION("SPLIT(H143,"" "")"),"Total")</f>
        <v>Total</v>
      </c>
      <c r="R143" s="2" t="s">
        <v>2151</v>
      </c>
      <c r="S143" s="2" t="str">
        <f t="shared" si="2"/>
        <v>HS, Mohakhali, Dhaka‐1206</v>
      </c>
      <c r="T143" s="27" t="str">
        <f>IFERROR(__xludf.DUMMYFUNCTION("SPLIT(S143,"","")"),"HS")</f>
        <v>HS</v>
      </c>
      <c r="U143" s="1" t="str">
        <f>IFERROR(__xludf.DUMMYFUNCTION("""COMPUTED_VALUE""")," Mohakhali")</f>
        <v> Mohakhali</v>
      </c>
      <c r="V143" s="28" t="str">
        <f>IFERROR(__xludf.DUMMYFUNCTION("""COMPUTED_VALUE""")," Dhaka‐1206")</f>
        <v> Dhaka‐1206</v>
      </c>
    </row>
    <row r="144" ht="15.75" customHeight="1">
      <c r="R144" s="2"/>
      <c r="T144" s="27"/>
      <c r="U144" s="1"/>
      <c r="V144" s="28"/>
    </row>
    <row r="145" ht="15.75" customHeight="1">
      <c r="T145" s="27"/>
      <c r="U145" s="1"/>
      <c r="V145" s="28"/>
    </row>
    <row r="146" ht="15.75" customHeight="1">
      <c r="T146" s="27"/>
      <c r="U146" s="1"/>
      <c r="V146" s="28"/>
    </row>
    <row r="147" ht="15.75" customHeight="1">
      <c r="T147" s="27"/>
      <c r="U147" s="1"/>
      <c r="V147" s="28"/>
    </row>
    <row r="148" ht="15.75" customHeight="1">
      <c r="T148" s="27"/>
      <c r="U148" s="1"/>
      <c r="V148" s="28"/>
    </row>
    <row r="149" ht="15.75" customHeight="1">
      <c r="T149" s="27"/>
      <c r="U149" s="1"/>
      <c r="V149" s="28"/>
    </row>
    <row r="150" ht="15.75" customHeight="1">
      <c r="T150" s="27"/>
      <c r="U150" s="1"/>
      <c r="V150" s="28"/>
    </row>
    <row r="151" ht="15.75" customHeight="1">
      <c r="T151" s="27"/>
      <c r="U151" s="1"/>
      <c r="V151" s="28"/>
    </row>
    <row r="152" ht="15.75" customHeight="1">
      <c r="T152" s="27"/>
      <c r="U152" s="1"/>
      <c r="V152" s="28"/>
    </row>
    <row r="153" ht="15.75" customHeight="1">
      <c r="T153" s="27"/>
      <c r="U153" s="1"/>
      <c r="V153" s="28"/>
    </row>
    <row r="154" ht="15.75" customHeight="1">
      <c r="T154" s="27"/>
      <c r="U154" s="1"/>
      <c r="V154" s="28"/>
    </row>
    <row r="155" ht="15.75" customHeight="1">
      <c r="T155" s="27"/>
      <c r="U155" s="1"/>
      <c r="V155" s="28"/>
    </row>
    <row r="156" ht="15.75" customHeight="1">
      <c r="T156" s="27"/>
      <c r="U156" s="1"/>
      <c r="V156" s="28"/>
    </row>
    <row r="157" ht="15.75" customHeight="1">
      <c r="T157" s="27"/>
      <c r="U157" s="1"/>
      <c r="V157" s="28"/>
    </row>
    <row r="158" ht="15.75" customHeight="1">
      <c r="T158" s="27"/>
      <c r="U158" s="1"/>
      <c r="V158" s="28"/>
    </row>
    <row r="159" ht="15.75" customHeight="1">
      <c r="T159" s="27"/>
      <c r="U159" s="1"/>
      <c r="V159" s="28"/>
    </row>
    <row r="160" ht="15.75" customHeight="1">
      <c r="T160" s="27"/>
      <c r="U160" s="1"/>
      <c r="V160" s="28"/>
    </row>
    <row r="161" ht="15.75" customHeight="1">
      <c r="T161" s="27"/>
      <c r="U161" s="1"/>
      <c r="V161" s="28"/>
    </row>
    <row r="162" ht="15.75" customHeight="1">
      <c r="T162" s="27"/>
      <c r="U162" s="1"/>
      <c r="V162" s="28"/>
    </row>
    <row r="163" ht="15.75" customHeight="1">
      <c r="T163" s="27"/>
      <c r="U163" s="1"/>
      <c r="V163" s="28"/>
    </row>
    <row r="164" ht="15.75" customHeight="1">
      <c r="T164" s="27"/>
      <c r="U164" s="1"/>
      <c r="V164" s="28"/>
    </row>
    <row r="165" ht="15.75" customHeight="1">
      <c r="T165" s="27"/>
      <c r="U165" s="1"/>
      <c r="V165" s="28"/>
    </row>
    <row r="166" ht="15.75" customHeight="1">
      <c r="T166" s="27"/>
      <c r="U166" s="1"/>
      <c r="V166" s="28"/>
    </row>
    <row r="167" ht="15.75" customHeight="1">
      <c r="T167" s="27"/>
      <c r="U167" s="1"/>
      <c r="V167" s="28"/>
    </row>
    <row r="168" ht="15.75" customHeight="1">
      <c r="T168" s="27"/>
      <c r="U168" s="1"/>
      <c r="V168" s="28"/>
    </row>
    <row r="169" ht="15.75" customHeight="1">
      <c r="T169" s="27"/>
      <c r="U169" s="1"/>
      <c r="V169" s="28"/>
    </row>
    <row r="170" ht="15.75" customHeight="1">
      <c r="T170" s="27"/>
      <c r="U170" s="1"/>
      <c r="V170" s="28"/>
    </row>
    <row r="171" ht="15.75" customHeight="1">
      <c r="T171" s="27"/>
      <c r="U171" s="1"/>
      <c r="V171" s="28"/>
    </row>
    <row r="172" ht="15.75" customHeight="1">
      <c r="T172" s="27"/>
      <c r="U172" s="1"/>
      <c r="V172" s="28"/>
    </row>
    <row r="173" ht="15.75" customHeight="1">
      <c r="T173" s="27"/>
      <c r="U173" s="1"/>
      <c r="V173" s="28"/>
    </row>
    <row r="174" ht="15.75" customHeight="1">
      <c r="T174" s="27"/>
      <c r="U174" s="1"/>
      <c r="V174" s="28"/>
    </row>
    <row r="175" ht="15.75" customHeight="1">
      <c r="T175" s="27"/>
      <c r="U175" s="1"/>
      <c r="V175" s="28"/>
    </row>
    <row r="176" ht="15.75" customHeight="1">
      <c r="T176" s="27"/>
      <c r="U176" s="1"/>
      <c r="V176" s="28"/>
    </row>
    <row r="177" ht="15.75" customHeight="1">
      <c r="T177" s="27"/>
      <c r="U177" s="1"/>
      <c r="V177" s="28"/>
    </row>
    <row r="178" ht="15.75" customHeight="1">
      <c r="T178" s="27"/>
      <c r="U178" s="1"/>
      <c r="V178" s="28"/>
    </row>
    <row r="179" ht="15.75" customHeight="1">
      <c r="T179" s="27"/>
      <c r="U179" s="1"/>
      <c r="V179" s="28"/>
    </row>
    <row r="180" ht="15.75" customHeight="1">
      <c r="T180" s="27"/>
      <c r="U180" s="1"/>
      <c r="V180" s="28"/>
    </row>
    <row r="181" ht="15.75" customHeight="1">
      <c r="T181" s="27"/>
      <c r="U181" s="1"/>
      <c r="V181" s="28"/>
    </row>
    <row r="182" ht="15.75" customHeight="1">
      <c r="T182" s="27"/>
      <c r="U182" s="1"/>
      <c r="V182" s="28"/>
    </row>
    <row r="183" ht="15.75" customHeight="1">
      <c r="T183" s="27"/>
      <c r="U183" s="1"/>
      <c r="V183" s="28"/>
    </row>
    <row r="184" ht="15.75" customHeight="1">
      <c r="T184" s="27"/>
      <c r="U184" s="1"/>
      <c r="V184" s="28"/>
    </row>
    <row r="185" ht="15.75" customHeight="1">
      <c r="T185" s="27"/>
      <c r="U185" s="1"/>
      <c r="V185" s="28"/>
    </row>
    <row r="186" ht="15.75" customHeight="1">
      <c r="T186" s="27"/>
      <c r="U186" s="1"/>
      <c r="V186" s="28"/>
    </row>
    <row r="187" ht="15.75" customHeight="1">
      <c r="T187" s="27"/>
      <c r="U187" s="1"/>
      <c r="V187" s="28"/>
    </row>
    <row r="188" ht="15.75" customHeight="1">
      <c r="T188" s="27"/>
      <c r="U188" s="1"/>
      <c r="V188" s="28"/>
    </row>
    <row r="189" ht="15.75" customHeight="1">
      <c r="T189" s="27"/>
      <c r="U189" s="1"/>
      <c r="V189" s="28"/>
    </row>
    <row r="190" ht="15.75" customHeight="1">
      <c r="T190" s="27"/>
      <c r="U190" s="1"/>
      <c r="V190" s="28"/>
    </row>
    <row r="191" ht="15.75" customHeight="1">
      <c r="T191" s="27"/>
      <c r="U191" s="1"/>
      <c r="V191" s="28"/>
    </row>
    <row r="192" ht="15.75" customHeight="1">
      <c r="T192" s="27"/>
      <c r="U192" s="1"/>
      <c r="V192" s="28"/>
    </row>
    <row r="193" ht="15.75" customHeight="1">
      <c r="T193" s="27"/>
      <c r="U193" s="1"/>
      <c r="V193" s="28"/>
    </row>
    <row r="194" ht="15.75" customHeight="1">
      <c r="T194" s="27"/>
      <c r="U194" s="1"/>
      <c r="V194" s="28"/>
    </row>
    <row r="195" ht="15.75" customHeight="1">
      <c r="T195" s="27"/>
      <c r="U195" s="1"/>
      <c r="V195" s="28"/>
    </row>
    <row r="196" ht="15.75" customHeight="1">
      <c r="T196" s="27"/>
      <c r="U196" s="1"/>
      <c r="V196" s="28"/>
    </row>
    <row r="197" ht="15.75" customHeight="1">
      <c r="T197" s="27"/>
      <c r="U197" s="1"/>
      <c r="V197" s="28"/>
    </row>
    <row r="198" ht="15.75" customHeight="1">
      <c r="T198" s="27"/>
      <c r="U198" s="1"/>
      <c r="V198" s="28"/>
    </row>
    <row r="199" ht="15.75" customHeight="1">
      <c r="T199" s="27"/>
      <c r="U199" s="1"/>
      <c r="V199" s="28"/>
    </row>
    <row r="200" ht="15.75" customHeight="1">
      <c r="T200" s="27"/>
      <c r="U200" s="1"/>
      <c r="V200" s="28"/>
    </row>
    <row r="201" ht="15.75" customHeight="1">
      <c r="T201" s="27"/>
      <c r="U201" s="1"/>
      <c r="V201" s="28"/>
    </row>
    <row r="202" ht="15.75" customHeight="1">
      <c r="T202" s="27"/>
      <c r="U202" s="1"/>
      <c r="V202" s="28"/>
    </row>
    <row r="203" ht="15.75" customHeight="1">
      <c r="T203" s="27"/>
      <c r="U203" s="1"/>
      <c r="V203" s="28"/>
    </row>
    <row r="204" ht="15.75" customHeight="1">
      <c r="T204" s="27"/>
      <c r="U204" s="1"/>
      <c r="V204" s="28"/>
    </row>
    <row r="205" ht="15.75" customHeight="1">
      <c r="T205" s="27"/>
      <c r="U205" s="1"/>
      <c r="V205" s="28"/>
    </row>
    <row r="206" ht="15.75" customHeight="1">
      <c r="T206" s="27"/>
      <c r="U206" s="1"/>
      <c r="V206" s="28"/>
    </row>
    <row r="207" ht="15.75" customHeight="1">
      <c r="T207" s="27"/>
      <c r="U207" s="1"/>
      <c r="V207" s="28"/>
    </row>
    <row r="208" ht="15.75" customHeight="1">
      <c r="T208" s="27"/>
      <c r="U208" s="1"/>
      <c r="V208" s="28"/>
    </row>
    <row r="209" ht="15.75" customHeight="1">
      <c r="T209" s="27"/>
      <c r="U209" s="1"/>
      <c r="V209" s="28"/>
    </row>
    <row r="210" ht="15.75" customHeight="1">
      <c r="T210" s="27"/>
      <c r="U210" s="1"/>
      <c r="V210" s="28"/>
    </row>
    <row r="211" ht="15.75" customHeight="1">
      <c r="T211" s="27"/>
      <c r="U211" s="1"/>
      <c r="V211" s="28"/>
    </row>
    <row r="212" ht="15.75" customHeight="1">
      <c r="T212" s="27"/>
      <c r="U212" s="1"/>
      <c r="V212" s="28"/>
    </row>
    <row r="213" ht="15.75" customHeight="1">
      <c r="T213" s="27"/>
      <c r="U213" s="1"/>
      <c r="V213" s="28"/>
    </row>
    <row r="214" ht="15.75" customHeight="1">
      <c r="T214" s="27"/>
      <c r="U214" s="1"/>
      <c r="V214" s="28"/>
    </row>
    <row r="215" ht="15.75" customHeight="1">
      <c r="T215" s="27"/>
      <c r="U215" s="1"/>
      <c r="V215" s="28"/>
    </row>
    <row r="216" ht="15.75" customHeight="1">
      <c r="T216" s="27"/>
      <c r="U216" s="1"/>
      <c r="V216" s="28"/>
    </row>
    <row r="217" ht="15.75" customHeight="1">
      <c r="T217" s="27"/>
      <c r="U217" s="1"/>
      <c r="V217" s="28"/>
    </row>
    <row r="218" ht="15.75" customHeight="1">
      <c r="T218" s="27"/>
      <c r="U218" s="1"/>
      <c r="V218" s="28"/>
    </row>
    <row r="219" ht="15.75" customHeight="1">
      <c r="T219" s="27"/>
      <c r="U219" s="1"/>
      <c r="V219" s="28"/>
    </row>
    <row r="220" ht="15.75" customHeight="1">
      <c r="T220" s="27"/>
      <c r="U220" s="1"/>
      <c r="V220" s="28"/>
    </row>
    <row r="221" ht="15.75" customHeight="1">
      <c r="T221" s="27"/>
      <c r="U221" s="1"/>
      <c r="V221" s="28"/>
    </row>
    <row r="222" ht="15.75" customHeight="1">
      <c r="T222" s="27"/>
      <c r="U222" s="1"/>
      <c r="V222" s="28"/>
    </row>
    <row r="223" ht="15.75" customHeight="1">
      <c r="T223" s="27"/>
      <c r="U223" s="1"/>
      <c r="V223" s="28"/>
    </row>
    <row r="224" ht="15.75" customHeight="1">
      <c r="T224" s="27"/>
      <c r="U224" s="1"/>
      <c r="V224" s="28"/>
    </row>
    <row r="225" ht="15.75" customHeight="1">
      <c r="T225" s="27"/>
      <c r="U225" s="1"/>
      <c r="V225" s="28"/>
    </row>
    <row r="226" ht="15.75" customHeight="1">
      <c r="T226" s="27"/>
      <c r="U226" s="1"/>
      <c r="V226" s="28"/>
    </row>
    <row r="227" ht="15.75" customHeight="1">
      <c r="T227" s="27"/>
      <c r="U227" s="1"/>
      <c r="V227" s="28"/>
    </row>
    <row r="228" ht="15.75" customHeight="1">
      <c r="T228" s="27"/>
      <c r="U228" s="1"/>
      <c r="V228" s="28"/>
    </row>
    <row r="229" ht="15.75" customHeight="1">
      <c r="T229" s="27"/>
      <c r="U229" s="1"/>
      <c r="V229" s="28"/>
    </row>
    <row r="230" ht="15.75" customHeight="1">
      <c r="T230" s="27"/>
      <c r="U230" s="1"/>
      <c r="V230" s="28"/>
    </row>
    <row r="231" ht="15.75" customHeight="1">
      <c r="T231" s="27"/>
      <c r="U231" s="1"/>
      <c r="V231" s="28"/>
    </row>
    <row r="232" ht="15.75" customHeight="1">
      <c r="T232" s="27"/>
      <c r="U232" s="1"/>
      <c r="V232" s="28"/>
    </row>
    <row r="233" ht="15.75" customHeight="1">
      <c r="T233" s="27"/>
      <c r="U233" s="1"/>
      <c r="V233" s="28"/>
    </row>
    <row r="234" ht="15.75" customHeight="1">
      <c r="T234" s="27"/>
      <c r="U234" s="1"/>
      <c r="V234" s="28"/>
    </row>
    <row r="235" ht="15.75" customHeight="1">
      <c r="T235" s="27"/>
      <c r="U235" s="1"/>
      <c r="V235" s="28"/>
    </row>
    <row r="236" ht="15.75" customHeight="1">
      <c r="T236" s="27"/>
      <c r="U236" s="1"/>
      <c r="V236" s="28"/>
    </row>
    <row r="237" ht="15.75" customHeight="1">
      <c r="T237" s="27"/>
      <c r="U237" s="1"/>
      <c r="V237" s="28"/>
    </row>
    <row r="238" ht="15.75" customHeight="1">
      <c r="T238" s="27"/>
      <c r="U238" s="1"/>
      <c r="V238" s="28"/>
    </row>
    <row r="239" ht="15.75" customHeight="1">
      <c r="T239" s="27"/>
      <c r="U239" s="1"/>
      <c r="V239" s="28"/>
    </row>
    <row r="240" ht="15.75" customHeight="1">
      <c r="T240" s="27"/>
      <c r="U240" s="1"/>
      <c r="V240" s="28"/>
    </row>
    <row r="241" ht="15.75" customHeight="1">
      <c r="T241" s="27"/>
      <c r="U241" s="1"/>
      <c r="V241" s="28"/>
    </row>
    <row r="242" ht="15.75" customHeight="1">
      <c r="T242" s="27"/>
      <c r="U242" s="1"/>
      <c r="V242" s="28"/>
    </row>
    <row r="243" ht="15.75" customHeight="1">
      <c r="T243" s="27"/>
      <c r="U243" s="1"/>
      <c r="V243" s="28"/>
    </row>
    <row r="244" ht="15.75" customHeight="1">
      <c r="T244" s="27"/>
      <c r="U244" s="1"/>
      <c r="V244" s="28"/>
    </row>
    <row r="245" ht="15.75" customHeight="1">
      <c r="T245" s="27"/>
      <c r="U245" s="1"/>
      <c r="V245" s="28"/>
    </row>
    <row r="246" ht="15.75" customHeight="1">
      <c r="T246" s="27"/>
      <c r="U246" s="1"/>
      <c r="V246" s="28"/>
    </row>
    <row r="247" ht="15.75" customHeight="1">
      <c r="T247" s="27"/>
      <c r="U247" s="1"/>
      <c r="V247" s="28"/>
    </row>
    <row r="248" ht="15.75" customHeight="1">
      <c r="T248" s="27"/>
      <c r="U248" s="1"/>
      <c r="V248" s="28"/>
    </row>
    <row r="249" ht="15.75" customHeight="1">
      <c r="T249" s="27"/>
      <c r="U249" s="1"/>
      <c r="V249" s="28"/>
    </row>
    <row r="250" ht="15.75" customHeight="1">
      <c r="T250" s="27"/>
      <c r="U250" s="1"/>
      <c r="V250" s="28"/>
    </row>
    <row r="251" ht="15.75" customHeight="1">
      <c r="T251" s="27"/>
      <c r="U251" s="1"/>
      <c r="V251" s="28"/>
    </row>
    <row r="252" ht="15.75" customHeight="1">
      <c r="T252" s="27"/>
      <c r="U252" s="1"/>
      <c r="V252" s="28"/>
    </row>
    <row r="253" ht="15.75" customHeight="1">
      <c r="T253" s="27"/>
      <c r="U253" s="1"/>
      <c r="V253" s="28"/>
    </row>
    <row r="254" ht="15.75" customHeight="1">
      <c r="T254" s="27"/>
      <c r="U254" s="1"/>
      <c r="V254" s="28"/>
    </row>
    <row r="255" ht="15.75" customHeight="1">
      <c r="T255" s="27"/>
      <c r="U255" s="1"/>
      <c r="V255" s="28"/>
    </row>
    <row r="256" ht="15.75" customHeight="1">
      <c r="T256" s="27"/>
      <c r="U256" s="1"/>
      <c r="V256" s="28"/>
    </row>
    <row r="257" ht="15.75" customHeight="1">
      <c r="T257" s="27"/>
      <c r="U257" s="1"/>
      <c r="V257" s="28"/>
    </row>
    <row r="258" ht="15.75" customHeight="1">
      <c r="T258" s="27"/>
      <c r="U258" s="1"/>
      <c r="V258" s="28"/>
    </row>
    <row r="259" ht="15.75" customHeight="1">
      <c r="T259" s="27"/>
      <c r="U259" s="1"/>
      <c r="V259" s="28"/>
    </row>
    <row r="260" ht="15.75" customHeight="1">
      <c r="T260" s="27"/>
      <c r="U260" s="1"/>
      <c r="V260" s="28"/>
    </row>
    <row r="261" ht="15.75" customHeight="1">
      <c r="T261" s="27"/>
      <c r="U261" s="1"/>
      <c r="V261" s="28"/>
    </row>
    <row r="262" ht="15.75" customHeight="1">
      <c r="T262" s="27"/>
      <c r="U262" s="1"/>
      <c r="V262" s="28"/>
    </row>
    <row r="263" ht="15.75" customHeight="1">
      <c r="T263" s="27"/>
      <c r="U263" s="1"/>
      <c r="V263" s="28"/>
    </row>
    <row r="264" ht="15.75" customHeight="1">
      <c r="T264" s="27"/>
      <c r="U264" s="1"/>
      <c r="V264" s="28"/>
    </row>
    <row r="265" ht="15.75" customHeight="1">
      <c r="T265" s="27"/>
      <c r="U265" s="1"/>
      <c r="V265" s="28"/>
    </row>
    <row r="266" ht="15.75" customHeight="1">
      <c r="T266" s="27"/>
      <c r="U266" s="1"/>
      <c r="V266" s="28"/>
    </row>
    <row r="267" ht="15.75" customHeight="1">
      <c r="T267" s="27"/>
      <c r="U267" s="1"/>
      <c r="V267" s="28"/>
    </row>
    <row r="268" ht="15.75" customHeight="1">
      <c r="T268" s="27"/>
      <c r="U268" s="1"/>
      <c r="V268" s="28"/>
    </row>
    <row r="269" ht="15.75" customHeight="1">
      <c r="T269" s="27"/>
      <c r="U269" s="1"/>
      <c r="V269" s="28"/>
    </row>
    <row r="270" ht="15.75" customHeight="1">
      <c r="T270" s="27"/>
      <c r="U270" s="1"/>
      <c r="V270" s="28"/>
    </row>
    <row r="271" ht="15.75" customHeight="1">
      <c r="T271" s="27"/>
      <c r="U271" s="1"/>
      <c r="V271" s="28"/>
    </row>
    <row r="272" ht="15.75" customHeight="1">
      <c r="T272" s="27"/>
      <c r="U272" s="1"/>
      <c r="V272" s="28"/>
    </row>
    <row r="273" ht="15.75" customHeight="1">
      <c r="T273" s="27"/>
      <c r="U273" s="1"/>
      <c r="V273" s="28"/>
    </row>
    <row r="274" ht="15.75" customHeight="1">
      <c r="T274" s="27"/>
      <c r="U274" s="1"/>
      <c r="V274" s="28"/>
    </row>
    <row r="275" ht="15.75" customHeight="1">
      <c r="T275" s="27"/>
      <c r="U275" s="1"/>
      <c r="V275" s="28"/>
    </row>
    <row r="276" ht="15.75" customHeight="1">
      <c r="T276" s="27"/>
      <c r="U276" s="1"/>
      <c r="V276" s="28"/>
    </row>
    <row r="277" ht="15.75" customHeight="1">
      <c r="T277" s="27"/>
      <c r="U277" s="1"/>
      <c r="V277" s="28"/>
    </row>
    <row r="278" ht="15.75" customHeight="1">
      <c r="T278" s="27"/>
      <c r="U278" s="1"/>
      <c r="V278" s="28"/>
    </row>
    <row r="279" ht="15.75" customHeight="1">
      <c r="T279" s="27"/>
      <c r="U279" s="1"/>
      <c r="V279" s="28"/>
    </row>
    <row r="280" ht="15.75" customHeight="1">
      <c r="T280" s="27"/>
      <c r="U280" s="1"/>
      <c r="V280" s="28"/>
    </row>
    <row r="281" ht="15.75" customHeight="1">
      <c r="T281" s="27"/>
      <c r="U281" s="1"/>
      <c r="V281" s="28"/>
    </row>
    <row r="282" ht="15.75" customHeight="1">
      <c r="T282" s="27"/>
      <c r="U282" s="1"/>
      <c r="V282" s="28"/>
    </row>
    <row r="283" ht="15.75" customHeight="1">
      <c r="T283" s="27"/>
      <c r="U283" s="1"/>
      <c r="V283" s="28"/>
    </row>
    <row r="284" ht="15.75" customHeight="1">
      <c r="T284" s="27"/>
      <c r="U284" s="1"/>
      <c r="V284" s="28"/>
    </row>
    <row r="285" ht="15.75" customHeight="1">
      <c r="T285" s="27"/>
      <c r="U285" s="1"/>
      <c r="V285" s="28"/>
    </row>
    <row r="286" ht="15.75" customHeight="1">
      <c r="T286" s="27"/>
      <c r="U286" s="1"/>
      <c r="V286" s="28"/>
    </row>
    <row r="287" ht="15.75" customHeight="1">
      <c r="T287" s="27"/>
      <c r="U287" s="1"/>
      <c r="V287" s="28"/>
    </row>
    <row r="288" ht="15.75" customHeight="1">
      <c r="T288" s="27"/>
      <c r="U288" s="1"/>
      <c r="V288" s="28"/>
    </row>
    <row r="289" ht="15.75" customHeight="1">
      <c r="T289" s="27"/>
      <c r="U289" s="1"/>
      <c r="V289" s="28"/>
    </row>
    <row r="290" ht="15.75" customHeight="1">
      <c r="T290" s="27"/>
      <c r="U290" s="1"/>
      <c r="V290" s="28"/>
    </row>
    <row r="291" ht="15.75" customHeight="1">
      <c r="T291" s="27"/>
      <c r="U291" s="1"/>
      <c r="V291" s="28"/>
    </row>
    <row r="292" ht="15.75" customHeight="1">
      <c r="T292" s="27"/>
      <c r="U292" s="1"/>
      <c r="V292" s="28"/>
    </row>
    <row r="293" ht="15.75" customHeight="1">
      <c r="T293" s="27"/>
      <c r="U293" s="1"/>
      <c r="V293" s="28"/>
    </row>
    <row r="294" ht="15.75" customHeight="1">
      <c r="T294" s="27"/>
      <c r="U294" s="1"/>
      <c r="V294" s="28"/>
    </row>
    <row r="295" ht="15.75" customHeight="1">
      <c r="T295" s="27"/>
      <c r="U295" s="1"/>
      <c r="V295" s="28"/>
    </row>
    <row r="296" ht="15.75" customHeight="1">
      <c r="T296" s="27"/>
      <c r="U296" s="1"/>
      <c r="V296" s="28"/>
    </row>
    <row r="297" ht="15.75" customHeight="1">
      <c r="T297" s="27"/>
      <c r="U297" s="1"/>
      <c r="V297" s="28"/>
    </row>
    <row r="298" ht="15.75" customHeight="1">
      <c r="T298" s="27"/>
      <c r="U298" s="1"/>
      <c r="V298" s="28"/>
    </row>
    <row r="299" ht="15.75" customHeight="1">
      <c r="T299" s="27"/>
      <c r="U299" s="1"/>
      <c r="V299" s="28"/>
    </row>
    <row r="300" ht="15.75" customHeight="1">
      <c r="T300" s="27"/>
      <c r="U300" s="1"/>
      <c r="V300" s="28"/>
    </row>
    <row r="301" ht="15.75" customHeight="1">
      <c r="T301" s="27"/>
      <c r="U301" s="1"/>
      <c r="V301" s="28"/>
    </row>
    <row r="302" ht="15.75" customHeight="1">
      <c r="T302" s="27"/>
      <c r="U302" s="1"/>
      <c r="V302" s="28"/>
    </row>
    <row r="303" ht="15.75" customHeight="1">
      <c r="T303" s="27"/>
      <c r="U303" s="1"/>
      <c r="V303" s="28"/>
    </row>
    <row r="304" ht="15.75" customHeight="1">
      <c r="T304" s="27"/>
      <c r="U304" s="1"/>
      <c r="V304" s="28"/>
    </row>
    <row r="305" ht="15.75" customHeight="1">
      <c r="T305" s="27"/>
      <c r="U305" s="1"/>
      <c r="V305" s="28"/>
    </row>
    <row r="306" ht="15.75" customHeight="1">
      <c r="T306" s="27"/>
      <c r="U306" s="1"/>
      <c r="V306" s="28"/>
    </row>
    <row r="307" ht="15.75" customHeight="1">
      <c r="T307" s="27"/>
      <c r="U307" s="1"/>
      <c r="V307" s="28"/>
    </row>
    <row r="308" ht="15.75" customHeight="1">
      <c r="T308" s="27"/>
      <c r="U308" s="1"/>
      <c r="V308" s="28"/>
    </row>
    <row r="309" ht="15.75" customHeight="1">
      <c r="T309" s="27"/>
      <c r="U309" s="1"/>
      <c r="V309" s="28"/>
    </row>
    <row r="310" ht="15.75" customHeight="1">
      <c r="T310" s="27"/>
      <c r="U310" s="1"/>
      <c r="V310" s="28"/>
    </row>
    <row r="311" ht="15.75" customHeight="1">
      <c r="T311" s="27"/>
      <c r="U311" s="1"/>
      <c r="V311" s="28"/>
    </row>
    <row r="312" ht="15.75" customHeight="1">
      <c r="T312" s="27"/>
      <c r="U312" s="1"/>
      <c r="V312" s="28"/>
    </row>
    <row r="313" ht="15.75" customHeight="1">
      <c r="T313" s="27"/>
      <c r="U313" s="1"/>
      <c r="V313" s="28"/>
    </row>
    <row r="314" ht="15.75" customHeight="1">
      <c r="T314" s="27"/>
      <c r="U314" s="1"/>
      <c r="V314" s="28"/>
    </row>
    <row r="315" ht="15.75" customHeight="1">
      <c r="T315" s="27"/>
      <c r="U315" s="1"/>
      <c r="V315" s="28"/>
    </row>
    <row r="316" ht="15.75" customHeight="1">
      <c r="T316" s="27"/>
      <c r="U316" s="1"/>
      <c r="V316" s="28"/>
    </row>
    <row r="317" ht="15.75" customHeight="1">
      <c r="T317" s="27"/>
      <c r="U317" s="1"/>
      <c r="V317" s="28"/>
    </row>
    <row r="318" ht="15.75" customHeight="1">
      <c r="T318" s="27"/>
      <c r="U318" s="1"/>
      <c r="V318" s="28"/>
    </row>
    <row r="319" ht="15.75" customHeight="1">
      <c r="T319" s="27"/>
      <c r="U319" s="1"/>
      <c r="V319" s="28"/>
    </row>
    <row r="320" ht="15.75" customHeight="1">
      <c r="T320" s="27"/>
      <c r="U320" s="1"/>
      <c r="V320" s="28"/>
    </row>
    <row r="321" ht="15.75" customHeight="1">
      <c r="T321" s="27"/>
      <c r="U321" s="1"/>
      <c r="V321" s="28"/>
    </row>
    <row r="322" ht="15.75" customHeight="1">
      <c r="T322" s="27"/>
      <c r="U322" s="1"/>
      <c r="V322" s="28"/>
    </row>
    <row r="323" ht="15.75" customHeight="1">
      <c r="T323" s="27"/>
      <c r="U323" s="1"/>
      <c r="V323" s="28"/>
    </row>
    <row r="324" ht="15.75" customHeight="1">
      <c r="T324" s="27"/>
      <c r="U324" s="1"/>
      <c r="V324" s="28"/>
    </row>
    <row r="325" ht="15.75" customHeight="1">
      <c r="T325" s="27"/>
      <c r="U325" s="1"/>
      <c r="V325" s="28"/>
    </row>
    <row r="326" ht="15.75" customHeight="1">
      <c r="T326" s="27"/>
      <c r="U326" s="1"/>
      <c r="V326" s="28"/>
    </row>
    <row r="327" ht="15.75" customHeight="1">
      <c r="T327" s="27"/>
      <c r="U327" s="1"/>
      <c r="V327" s="28"/>
    </row>
    <row r="328" ht="15.75" customHeight="1">
      <c r="T328" s="27"/>
      <c r="U328" s="1"/>
      <c r="V328" s="28"/>
    </row>
    <row r="329" ht="15.75" customHeight="1">
      <c r="T329" s="27"/>
      <c r="U329" s="1"/>
      <c r="V329" s="28"/>
    </row>
    <row r="330" ht="15.75" customHeight="1">
      <c r="T330" s="27"/>
      <c r="U330" s="1"/>
      <c r="V330" s="28"/>
    </row>
    <row r="331" ht="15.75" customHeight="1">
      <c r="T331" s="27"/>
      <c r="U331" s="1"/>
      <c r="V331" s="28"/>
    </row>
    <row r="332" ht="15.75" customHeight="1">
      <c r="T332" s="27"/>
      <c r="U332" s="1"/>
      <c r="V332" s="28"/>
    </row>
    <row r="333" ht="15.75" customHeight="1">
      <c r="T333" s="27"/>
      <c r="U333" s="1"/>
      <c r="V333" s="28"/>
    </row>
    <row r="334" ht="15.75" customHeight="1">
      <c r="T334" s="27"/>
      <c r="U334" s="1"/>
      <c r="V334" s="28"/>
    </row>
    <row r="335" ht="15.75" customHeight="1">
      <c r="T335" s="27"/>
      <c r="U335" s="1"/>
      <c r="V335" s="28"/>
    </row>
    <row r="336" ht="15.75" customHeight="1">
      <c r="T336" s="27"/>
      <c r="U336" s="1"/>
      <c r="V336" s="28"/>
    </row>
    <row r="337" ht="15.75" customHeight="1">
      <c r="T337" s="27"/>
      <c r="U337" s="1"/>
      <c r="V337" s="28"/>
    </row>
    <row r="338" ht="15.75" customHeight="1">
      <c r="T338" s="27"/>
      <c r="U338" s="1"/>
      <c r="V338" s="28"/>
    </row>
    <row r="339" ht="15.75" customHeight="1">
      <c r="T339" s="27"/>
      <c r="U339" s="1"/>
      <c r="V339" s="28"/>
    </row>
    <row r="340" ht="15.75" customHeight="1">
      <c r="T340" s="27"/>
      <c r="U340" s="1"/>
      <c r="V340" s="28"/>
    </row>
    <row r="341" ht="15.75" customHeight="1">
      <c r="T341" s="27"/>
      <c r="U341" s="1"/>
      <c r="V341" s="28"/>
    </row>
    <row r="342" ht="15.75" customHeight="1">
      <c r="T342" s="27"/>
      <c r="U342" s="1"/>
      <c r="V342" s="28"/>
    </row>
    <row r="343" ht="15.75" customHeight="1">
      <c r="T343" s="27"/>
      <c r="U343" s="1"/>
      <c r="V343" s="28"/>
    </row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F2"/>
    <hyperlink r:id="rId2" ref="F4"/>
    <hyperlink r:id="rId3" ref="F8"/>
    <hyperlink r:id="rId4" ref="F12"/>
    <hyperlink r:id="rId5" ref="F13"/>
    <hyperlink r:id="rId6" ref="F15"/>
    <hyperlink r:id="rId7" ref="F18"/>
    <hyperlink r:id="rId8" ref="F20"/>
    <hyperlink r:id="rId9" ref="F25"/>
    <hyperlink r:id="rId10" ref="F27"/>
    <hyperlink r:id="rId11" ref="F28"/>
    <hyperlink r:id="rId12" ref="F29"/>
    <hyperlink r:id="rId13" ref="F31"/>
    <hyperlink r:id="rId14" ref="A35"/>
    <hyperlink r:id="rId15" ref="F35"/>
    <hyperlink r:id="rId16" ref="F38"/>
    <hyperlink r:id="rId17" ref="F40"/>
    <hyperlink r:id="rId18" ref="F41"/>
    <hyperlink r:id="rId19" ref="F43"/>
    <hyperlink r:id="rId20" ref="F47"/>
    <hyperlink r:id="rId21" ref="F48"/>
    <hyperlink r:id="rId22" ref="F51"/>
    <hyperlink r:id="rId23" ref="F52"/>
    <hyperlink r:id="rId24" ref="F54"/>
    <hyperlink r:id="rId25" ref="A59"/>
    <hyperlink r:id="rId26" ref="F59"/>
    <hyperlink r:id="rId27" ref="A60"/>
    <hyperlink r:id="rId28" ref="F60"/>
    <hyperlink r:id="rId29" ref="F65"/>
    <hyperlink r:id="rId30" ref="A70"/>
    <hyperlink r:id="rId31" ref="F70"/>
    <hyperlink r:id="rId32" ref="F76"/>
    <hyperlink r:id="rId33" ref="F77"/>
    <hyperlink r:id="rId34" ref="A78"/>
    <hyperlink r:id="rId35" ref="F78"/>
    <hyperlink r:id="rId36" ref="F80"/>
    <hyperlink r:id="rId37" ref="F82"/>
    <hyperlink r:id="rId38" ref="F83"/>
    <hyperlink r:id="rId39" ref="F84"/>
    <hyperlink r:id="rId40" ref="F88"/>
    <hyperlink r:id="rId41" ref="F89"/>
    <hyperlink r:id="rId42" ref="F90"/>
    <hyperlink r:id="rId43" ref="A92"/>
    <hyperlink r:id="rId44" ref="F92"/>
    <hyperlink r:id="rId45" ref="F93"/>
    <hyperlink r:id="rId46" ref="F94"/>
    <hyperlink r:id="rId47" ref="F95"/>
    <hyperlink r:id="rId48" ref="F96"/>
    <hyperlink r:id="rId49" ref="F97"/>
    <hyperlink r:id="rId50" ref="F103"/>
    <hyperlink r:id="rId51" ref="A105"/>
    <hyperlink r:id="rId52" ref="F105"/>
    <hyperlink r:id="rId53" ref="F110"/>
    <hyperlink r:id="rId54" ref="F115"/>
    <hyperlink r:id="rId55" ref="F117"/>
    <hyperlink r:id="rId56" ref="F121"/>
    <hyperlink r:id="rId57" ref="F122"/>
    <hyperlink r:id="rId58" ref="F123"/>
    <hyperlink r:id="rId59" ref="F124"/>
    <hyperlink r:id="rId60" ref="F125"/>
    <hyperlink r:id="rId61" ref="F126"/>
    <hyperlink r:id="rId62" ref="A128"/>
    <hyperlink r:id="rId63" ref="F128"/>
    <hyperlink r:id="rId64" ref="F131"/>
    <hyperlink r:id="rId65" ref="F132"/>
    <hyperlink r:id="rId66" ref="F133"/>
    <hyperlink r:id="rId67" ref="F139"/>
    <hyperlink r:id="rId68" ref="F140"/>
    <hyperlink r:id="rId69" ref="A142"/>
    <hyperlink r:id="rId70" ref="F142"/>
    <hyperlink r:id="rId71" ref="A143"/>
    <hyperlink r:id="rId72" ref="F143"/>
  </hyperlinks>
  <printOptions/>
  <pageMargins bottom="0.75" footer="0.0" header="0.0" left="0.7" right="0.7" top="0.75"/>
  <pageSetup orientation="landscape"/>
  <drawing r:id="rId7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7.38"/>
    <col customWidth="1" min="2" max="2" width="20.13"/>
    <col customWidth="1" min="3" max="3" width="12.63"/>
    <col customWidth="1" min="4" max="4" width="20.13"/>
    <col customWidth="1" min="5" max="6" width="12.63"/>
  </cols>
  <sheetData>
    <row r="1" ht="15.75" customHeight="1">
      <c r="A1" s="2" t="s">
        <v>1818</v>
      </c>
      <c r="B1" s="1" t="s">
        <v>1819</v>
      </c>
      <c r="C1" s="32" t="s">
        <v>1820</v>
      </c>
      <c r="D1" s="2" t="s">
        <v>2152</v>
      </c>
      <c r="E1" s="2" t="s">
        <v>2153</v>
      </c>
      <c r="G1" s="2" t="str">
        <f t="shared" ref="G1:G142" si="2">TRIM(E1)</f>
        <v>Post code</v>
      </c>
      <c r="I1" s="2" t="s">
        <v>2152</v>
      </c>
    </row>
    <row r="2" ht="15.75" customHeight="1">
      <c r="A2" s="2" t="s">
        <v>2154</v>
      </c>
      <c r="B2" s="1" t="s">
        <v>2155</v>
      </c>
      <c r="C2" s="32" t="s">
        <v>2156</v>
      </c>
      <c r="D2" s="2" t="str">
        <f t="shared" ref="D2:E2" si="1">TRIM(B2)</f>
        <v>Khilkhet</v>
      </c>
      <c r="E2" s="2" t="str">
        <f t="shared" si="1"/>
        <v>Dhaka-1229</v>
      </c>
      <c r="G2" s="2" t="str">
        <f t="shared" si="2"/>
        <v>Dhaka-1229</v>
      </c>
      <c r="H2" s="2" t="str">
        <f t="shared" ref="H2:H143" si="4">TRIM(F2)</f>
        <v/>
      </c>
      <c r="I2" s="2" t="s">
        <v>2157</v>
      </c>
    </row>
    <row r="3" ht="15.75" customHeight="1">
      <c r="A3" s="2" t="s">
        <v>2158</v>
      </c>
      <c r="B3" s="1" t="s">
        <v>2159</v>
      </c>
      <c r="C3" s="32" t="s">
        <v>2160</v>
      </c>
      <c r="D3" s="2" t="str">
        <f t="shared" ref="D3:E3" si="3">TRIM(B3)</f>
        <v>Uttara</v>
      </c>
      <c r="E3" s="2" t="str">
        <f t="shared" si="3"/>
        <v>Dhaka 1230</v>
      </c>
      <c r="G3" s="2" t="str">
        <f t="shared" si="2"/>
        <v>Dhaka 1230</v>
      </c>
      <c r="H3" s="2" t="str">
        <f t="shared" si="4"/>
        <v/>
      </c>
      <c r="I3" s="2" t="s">
        <v>2161</v>
      </c>
    </row>
    <row r="4" ht="15.75" customHeight="1">
      <c r="A4" s="2" t="s">
        <v>2162</v>
      </c>
      <c r="B4" s="1" t="s">
        <v>2163</v>
      </c>
      <c r="C4" s="32" t="s">
        <v>2164</v>
      </c>
      <c r="D4" s="2" t="str">
        <f t="shared" ref="D4:E4" si="5">TRIM(B4)</f>
        <v>Shyamoli</v>
      </c>
      <c r="E4" s="2" t="str">
        <f t="shared" si="5"/>
        <v>Dhaka</v>
      </c>
      <c r="G4" s="2" t="str">
        <f t="shared" si="2"/>
        <v>Dhaka</v>
      </c>
      <c r="H4" s="2" t="str">
        <f t="shared" si="4"/>
        <v/>
      </c>
      <c r="I4" s="2" t="s">
        <v>2165</v>
      </c>
    </row>
    <row r="5" ht="15.75" customHeight="1">
      <c r="A5" s="2" t="s">
        <v>2166</v>
      </c>
      <c r="B5" s="1" t="s">
        <v>2167</v>
      </c>
      <c r="C5" s="32" t="s">
        <v>2168</v>
      </c>
      <c r="D5" s="2" t="str">
        <f t="shared" ref="D5:E5" si="6">TRIM(B5)</f>
        <v>Mohakhali</v>
      </c>
      <c r="E5" s="2" t="str">
        <f t="shared" si="6"/>
        <v>Dhaka 1206.</v>
      </c>
      <c r="G5" s="2" t="str">
        <f t="shared" si="2"/>
        <v>Dhaka 1206.</v>
      </c>
      <c r="H5" s="2" t="str">
        <f t="shared" si="4"/>
        <v/>
      </c>
      <c r="I5" s="2" t="s">
        <v>2169</v>
      </c>
    </row>
    <row r="6" ht="15.75" customHeight="1">
      <c r="A6" s="2" t="s">
        <v>2170</v>
      </c>
      <c r="B6" s="1" t="s">
        <v>2171</v>
      </c>
      <c r="C6" s="32" t="s">
        <v>2172</v>
      </c>
      <c r="D6" s="2" t="str">
        <f t="shared" ref="D6:E6" si="7">TRIM(B6)</f>
        <v>Dhanmondi</v>
      </c>
      <c r="E6" s="2" t="str">
        <f t="shared" si="7"/>
        <v>Dhaka-1209</v>
      </c>
      <c r="G6" s="2" t="str">
        <f t="shared" si="2"/>
        <v>Dhaka-1209</v>
      </c>
      <c r="H6" s="2" t="str">
        <f t="shared" si="4"/>
        <v/>
      </c>
      <c r="I6" s="2" t="s">
        <v>2173</v>
      </c>
    </row>
    <row r="7" ht="15.75" customHeight="1">
      <c r="A7" s="2" t="s">
        <v>2174</v>
      </c>
      <c r="B7" s="2" t="s">
        <v>2174</v>
      </c>
      <c r="C7" s="1" t="s">
        <v>2175</v>
      </c>
      <c r="D7" s="2" t="str">
        <f t="shared" ref="D7:E7" si="8">TRIM(B7)</f>
        <v>West Dhanmondi</v>
      </c>
      <c r="E7" s="2" t="str">
        <f t="shared" si="8"/>
        <v>Dhaka-1209</v>
      </c>
      <c r="G7" s="2" t="str">
        <f t="shared" si="2"/>
        <v>Dhaka-1209</v>
      </c>
      <c r="H7" s="2" t="str">
        <f t="shared" si="4"/>
        <v/>
      </c>
      <c r="I7" s="2" t="s">
        <v>2174</v>
      </c>
    </row>
    <row r="8" ht="15.75" customHeight="1">
      <c r="A8" s="2" t="s">
        <v>2176</v>
      </c>
      <c r="B8" s="1" t="s">
        <v>2177</v>
      </c>
      <c r="C8" s="32" t="s">
        <v>2178</v>
      </c>
      <c r="D8" s="2" t="str">
        <f t="shared" ref="D8:E8" si="9">TRIM(B8)</f>
        <v>Kalabagan</v>
      </c>
      <c r="E8" s="2" t="str">
        <f t="shared" si="9"/>
        <v>Dhaka-1205</v>
      </c>
      <c r="G8" s="2" t="str">
        <f t="shared" si="2"/>
        <v>Dhaka-1205</v>
      </c>
      <c r="H8" s="2" t="str">
        <f t="shared" si="4"/>
        <v/>
      </c>
      <c r="I8" s="2" t="s">
        <v>2179</v>
      </c>
    </row>
    <row r="9" ht="15.75" customHeight="1">
      <c r="A9" s="2" t="s">
        <v>2180</v>
      </c>
      <c r="B9" s="1" t="s">
        <v>2181</v>
      </c>
      <c r="C9" s="32" t="s">
        <v>2182</v>
      </c>
      <c r="D9" s="2" t="str">
        <f t="shared" ref="D9:E9" si="10">TRIM(B9)</f>
        <v>Road-10</v>
      </c>
      <c r="E9" s="2" t="str">
        <f t="shared" si="10"/>
        <v>Banani</v>
      </c>
      <c r="G9" s="2" t="str">
        <f t="shared" si="2"/>
        <v>Banani</v>
      </c>
      <c r="H9" s="2" t="str">
        <f t="shared" si="4"/>
        <v/>
      </c>
      <c r="I9" s="2" t="s">
        <v>2183</v>
      </c>
    </row>
    <row r="10" ht="15.75" customHeight="1">
      <c r="A10" s="2" t="s">
        <v>2184</v>
      </c>
      <c r="B10" s="1" t="s">
        <v>2185</v>
      </c>
      <c r="C10" s="32" t="s">
        <v>2186</v>
      </c>
      <c r="D10" s="2" t="str">
        <f t="shared" ref="D10:E10" si="11">TRIM(B10)</f>
        <v>Lalmatia</v>
      </c>
      <c r="E10" s="2" t="str">
        <f t="shared" si="11"/>
        <v>Dhaka-1207</v>
      </c>
      <c r="G10" s="2" t="str">
        <f t="shared" si="2"/>
        <v>Dhaka-1207</v>
      </c>
      <c r="H10" s="2" t="str">
        <f t="shared" si="4"/>
        <v/>
      </c>
      <c r="I10" s="2" t="s">
        <v>2187</v>
      </c>
    </row>
    <row r="11" ht="15.75" customHeight="1">
      <c r="A11" s="2" t="s">
        <v>2188</v>
      </c>
      <c r="B11" s="1" t="s">
        <v>2185</v>
      </c>
      <c r="C11" s="32" t="s">
        <v>2164</v>
      </c>
      <c r="D11" s="2" t="str">
        <f t="shared" ref="D11:E11" si="12">TRIM(B11)</f>
        <v>Lalmatia</v>
      </c>
      <c r="E11" s="2" t="str">
        <f t="shared" si="12"/>
        <v>Dhaka</v>
      </c>
      <c r="G11" s="2" t="str">
        <f t="shared" si="2"/>
        <v>Dhaka</v>
      </c>
      <c r="H11" s="2" t="str">
        <f t="shared" si="4"/>
        <v/>
      </c>
      <c r="I11" s="2" t="s">
        <v>2187</v>
      </c>
    </row>
    <row r="12" ht="15.75" customHeight="1">
      <c r="A12" s="2" t="s">
        <v>2189</v>
      </c>
      <c r="B12" s="1" t="s">
        <v>2190</v>
      </c>
      <c r="C12" s="32" t="s">
        <v>2191</v>
      </c>
      <c r="D12" s="2" t="str">
        <f t="shared" ref="D12:E12" si="13">TRIM(B12)</f>
        <v>Gulshan 01</v>
      </c>
      <c r="E12" s="2" t="str">
        <f t="shared" si="13"/>
        <v>Dhaka-1212</v>
      </c>
      <c r="G12" s="2" t="str">
        <f t="shared" si="2"/>
        <v>Dhaka-1212</v>
      </c>
      <c r="H12" s="2" t="str">
        <f t="shared" si="4"/>
        <v/>
      </c>
      <c r="I12" s="2" t="s">
        <v>2192</v>
      </c>
    </row>
    <row r="13" ht="15.75" customHeight="1">
      <c r="A13" s="2" t="s">
        <v>2193</v>
      </c>
      <c r="B13" s="1" t="s">
        <v>2194</v>
      </c>
      <c r="C13" s="1" t="s">
        <v>2186</v>
      </c>
      <c r="D13" s="2" t="str">
        <f t="shared" ref="D13:E13" si="14">TRIM(B13)</f>
        <v>Shamoly</v>
      </c>
      <c r="E13" s="2" t="str">
        <f t="shared" si="14"/>
        <v>Dhaka-1207</v>
      </c>
      <c r="G13" s="2" t="str">
        <f t="shared" si="2"/>
        <v>Dhaka-1207</v>
      </c>
      <c r="H13" s="2" t="str">
        <f t="shared" si="4"/>
        <v/>
      </c>
      <c r="I13" s="2" t="s">
        <v>2195</v>
      </c>
    </row>
    <row r="14" ht="15.75" customHeight="1">
      <c r="A14" s="2">
        <v>4.0</v>
      </c>
      <c r="B14" s="1" t="s">
        <v>2196</v>
      </c>
      <c r="C14" s="32" t="s">
        <v>2178</v>
      </c>
      <c r="D14" s="2" t="str">
        <f t="shared" ref="D14:E14" si="15">TRIM(B14)</f>
        <v>Green Road</v>
      </c>
      <c r="E14" s="2" t="str">
        <f t="shared" si="15"/>
        <v>Dhaka-1205</v>
      </c>
      <c r="G14" s="2" t="str">
        <f t="shared" si="2"/>
        <v>Dhaka-1205</v>
      </c>
      <c r="H14" s="2" t="str">
        <f t="shared" si="4"/>
        <v/>
      </c>
      <c r="I14" s="2" t="s">
        <v>2197</v>
      </c>
    </row>
    <row r="15" ht="15.75" customHeight="1">
      <c r="A15" s="2" t="s">
        <v>2198</v>
      </c>
      <c r="B15" s="1" t="s">
        <v>2182</v>
      </c>
      <c r="C15" s="32" t="s">
        <v>2199</v>
      </c>
      <c r="D15" s="2" t="str">
        <f t="shared" ref="D15:E15" si="16">TRIM(B15)</f>
        <v>Banani</v>
      </c>
      <c r="E15" s="2" t="str">
        <f t="shared" si="16"/>
        <v>Dhaka-1206</v>
      </c>
      <c r="G15" s="2" t="str">
        <f t="shared" si="2"/>
        <v>Dhaka-1206</v>
      </c>
      <c r="H15" s="2" t="str">
        <f t="shared" si="4"/>
        <v/>
      </c>
      <c r="I15" s="2" t="s">
        <v>2200</v>
      </c>
    </row>
    <row r="16" ht="15.75" customHeight="1">
      <c r="A16" s="2" t="s">
        <v>2201</v>
      </c>
      <c r="B16" s="1"/>
      <c r="C16" s="32"/>
      <c r="D16" s="2" t="str">
        <f t="shared" ref="D16:E16" si="17">TRIM(B16)</f>
        <v/>
      </c>
      <c r="E16" s="2" t="str">
        <f t="shared" si="17"/>
        <v/>
      </c>
      <c r="G16" s="2" t="str">
        <f t="shared" si="2"/>
        <v/>
      </c>
      <c r="H16" s="2" t="str">
        <f t="shared" si="4"/>
        <v/>
      </c>
      <c r="I16" s="2" t="s">
        <v>2202</v>
      </c>
    </row>
    <row r="17" ht="15.75" customHeight="1">
      <c r="A17" s="2" t="s">
        <v>2203</v>
      </c>
      <c r="B17" s="1" t="s">
        <v>2204</v>
      </c>
      <c r="C17" s="32" t="s">
        <v>2205</v>
      </c>
      <c r="D17" s="2" t="str">
        <f t="shared" ref="D17:E17" si="18">TRIM(B17)</f>
        <v>Uttara</v>
      </c>
      <c r="E17" s="2" t="str">
        <f t="shared" si="18"/>
        <v>Dhaka 1230.</v>
      </c>
      <c r="G17" s="2" t="str">
        <f t="shared" si="2"/>
        <v>Dhaka 1230.</v>
      </c>
      <c r="H17" s="2" t="str">
        <f t="shared" si="4"/>
        <v/>
      </c>
      <c r="I17" s="2" t="s">
        <v>2161</v>
      </c>
    </row>
    <row r="18" ht="15.75" customHeight="1">
      <c r="A18" s="2" t="s">
        <v>2206</v>
      </c>
      <c r="B18" s="1" t="s">
        <v>2207</v>
      </c>
      <c r="C18" s="32"/>
      <c r="D18" s="2" t="str">
        <f t="shared" ref="D18:E18" si="19">TRIM(B18)</f>
        <v>Sugandha</v>
      </c>
      <c r="E18" s="2" t="str">
        <f t="shared" si="19"/>
        <v/>
      </c>
      <c r="G18" s="2" t="str">
        <f t="shared" si="2"/>
        <v/>
      </c>
      <c r="H18" s="2" t="str">
        <f t="shared" si="4"/>
        <v/>
      </c>
      <c r="I18" s="2" t="s">
        <v>2207</v>
      </c>
    </row>
    <row r="19" ht="15.75" customHeight="1">
      <c r="A19" s="2" t="s">
        <v>2208</v>
      </c>
      <c r="B19" s="1" t="s">
        <v>2209</v>
      </c>
      <c r="C19" s="32" t="s">
        <v>2191</v>
      </c>
      <c r="D19" s="2" t="str">
        <f t="shared" ref="D19:E19" si="20">TRIM(B19)</f>
        <v>Gulshan-1</v>
      </c>
      <c r="E19" s="2" t="str">
        <f t="shared" si="20"/>
        <v>Dhaka-1212</v>
      </c>
      <c r="G19" s="2" t="str">
        <f t="shared" si="2"/>
        <v>Dhaka-1212</v>
      </c>
      <c r="H19" s="2" t="str">
        <f t="shared" si="4"/>
        <v/>
      </c>
      <c r="I19" s="2" t="s">
        <v>2210</v>
      </c>
    </row>
    <row r="20" ht="15.75" customHeight="1">
      <c r="A20" s="2" t="s">
        <v>2211</v>
      </c>
      <c r="B20" s="1" t="s">
        <v>2209</v>
      </c>
      <c r="C20" s="32" t="s">
        <v>2191</v>
      </c>
      <c r="D20" s="2" t="str">
        <f t="shared" ref="D20:E20" si="21">TRIM(B20)</f>
        <v>Gulshan-1</v>
      </c>
      <c r="E20" s="2" t="str">
        <f t="shared" si="21"/>
        <v>Dhaka-1212</v>
      </c>
      <c r="G20" s="2" t="str">
        <f t="shared" si="2"/>
        <v>Dhaka-1212</v>
      </c>
      <c r="H20" s="2" t="str">
        <f t="shared" si="4"/>
        <v/>
      </c>
      <c r="I20" s="2" t="s">
        <v>2210</v>
      </c>
    </row>
    <row r="21" ht="15.75" customHeight="1">
      <c r="A21" s="2" t="s">
        <v>2212</v>
      </c>
      <c r="B21" s="1" t="s">
        <v>2194</v>
      </c>
      <c r="C21" s="32" t="s">
        <v>2164</v>
      </c>
      <c r="D21" s="2" t="str">
        <f t="shared" ref="D21:E21" si="22">TRIM(B21)</f>
        <v>Shamoly</v>
      </c>
      <c r="E21" s="2" t="str">
        <f t="shared" si="22"/>
        <v>Dhaka</v>
      </c>
      <c r="G21" s="2" t="str">
        <f t="shared" si="2"/>
        <v>Dhaka</v>
      </c>
      <c r="H21" s="2" t="str">
        <f t="shared" si="4"/>
        <v/>
      </c>
      <c r="I21" s="2" t="s">
        <v>2195</v>
      </c>
    </row>
    <row r="22" ht="15.75" customHeight="1">
      <c r="A22" s="2">
        <v>4.0</v>
      </c>
      <c r="B22" s="1" t="s">
        <v>2171</v>
      </c>
      <c r="C22" s="32" t="s">
        <v>2178</v>
      </c>
      <c r="D22" s="2" t="str">
        <f t="shared" ref="D22:E22" si="23">TRIM(B22)</f>
        <v>Dhanmondi</v>
      </c>
      <c r="E22" s="2" t="str">
        <f t="shared" si="23"/>
        <v>Dhaka-1205</v>
      </c>
      <c r="G22" s="2" t="str">
        <f t="shared" si="2"/>
        <v>Dhaka-1205</v>
      </c>
      <c r="H22" s="2" t="str">
        <f t="shared" si="4"/>
        <v/>
      </c>
      <c r="I22" s="2" t="s">
        <v>2173</v>
      </c>
    </row>
    <row r="23" ht="15.75" customHeight="1">
      <c r="A23" s="2" t="s">
        <v>2213</v>
      </c>
      <c r="B23" s="1" t="s">
        <v>2182</v>
      </c>
      <c r="C23" s="32" t="s">
        <v>2214</v>
      </c>
      <c r="D23" s="2" t="str">
        <f t="shared" ref="D23:E23" si="24">TRIM(B23)</f>
        <v>Banani</v>
      </c>
      <c r="E23" s="2" t="str">
        <f t="shared" si="24"/>
        <v>Dhaka-1213</v>
      </c>
      <c r="G23" s="2" t="str">
        <f t="shared" si="2"/>
        <v>Dhaka-1213</v>
      </c>
      <c r="H23" s="2" t="str">
        <f t="shared" si="4"/>
        <v/>
      </c>
      <c r="I23" s="2" t="s">
        <v>2200</v>
      </c>
    </row>
    <row r="24" ht="15.75" customHeight="1">
      <c r="A24" s="2" t="s">
        <v>2215</v>
      </c>
      <c r="B24" s="1" t="s">
        <v>2172</v>
      </c>
      <c r="C24" s="32"/>
      <c r="D24" s="2" t="str">
        <f t="shared" ref="D24:E24" si="25">TRIM(B24)</f>
        <v>Dhaka-1209</v>
      </c>
      <c r="E24" s="2" t="str">
        <f t="shared" si="25"/>
        <v/>
      </c>
      <c r="G24" s="2" t="str">
        <f t="shared" si="2"/>
        <v/>
      </c>
      <c r="H24" s="2" t="str">
        <f t="shared" si="4"/>
        <v/>
      </c>
      <c r="I24" s="2" t="s">
        <v>2175</v>
      </c>
    </row>
    <row r="25" ht="15.75" customHeight="1">
      <c r="A25" s="2">
        <v>6.0</v>
      </c>
      <c r="B25" s="1" t="s">
        <v>2216</v>
      </c>
      <c r="C25" s="32" t="s">
        <v>2217</v>
      </c>
      <c r="D25" s="2" t="str">
        <f t="shared" ref="D25:E25" si="26">TRIM(B25)</f>
        <v>Gulshan-2</v>
      </c>
      <c r="E25" s="2" t="str">
        <f t="shared" si="26"/>
        <v>Dhaka 1212.</v>
      </c>
      <c r="G25" s="2" t="str">
        <f t="shared" si="2"/>
        <v>Dhaka 1212.</v>
      </c>
      <c r="H25" s="2" t="str">
        <f t="shared" si="4"/>
        <v/>
      </c>
      <c r="I25" s="2" t="s">
        <v>2218</v>
      </c>
    </row>
    <row r="26" ht="15.75" customHeight="1">
      <c r="A26" s="2">
        <v>27.0</v>
      </c>
      <c r="B26" s="1" t="s">
        <v>2171</v>
      </c>
      <c r="C26" s="32" t="s">
        <v>2219</v>
      </c>
      <c r="D26" s="2" t="str">
        <f t="shared" ref="D26:E26" si="27">TRIM(B26)</f>
        <v>Dhanmondi</v>
      </c>
      <c r="E26" s="2" t="str">
        <f t="shared" si="27"/>
        <v>Dhaka 1209</v>
      </c>
      <c r="G26" s="2" t="str">
        <f t="shared" si="2"/>
        <v>Dhaka 1209</v>
      </c>
      <c r="H26" s="2" t="str">
        <f t="shared" si="4"/>
        <v/>
      </c>
      <c r="I26" s="2" t="s">
        <v>2173</v>
      </c>
    </row>
    <row r="27" ht="15.75" customHeight="1">
      <c r="A27" s="2">
        <v>27.0</v>
      </c>
      <c r="B27" s="1" t="s">
        <v>2171</v>
      </c>
      <c r="C27" s="32" t="s">
        <v>2219</v>
      </c>
      <c r="D27" s="2" t="str">
        <f t="shared" ref="D27:E27" si="28">TRIM(B27)</f>
        <v>Dhanmondi</v>
      </c>
      <c r="E27" s="2" t="str">
        <f t="shared" si="28"/>
        <v>Dhaka 1209</v>
      </c>
      <c r="G27" s="2" t="str">
        <f t="shared" si="2"/>
        <v>Dhaka 1209</v>
      </c>
      <c r="H27" s="2" t="str">
        <f t="shared" si="4"/>
        <v/>
      </c>
      <c r="I27" s="2" t="s">
        <v>2173</v>
      </c>
    </row>
    <row r="28" ht="15.75" customHeight="1">
      <c r="A28" s="2" t="s">
        <v>2220</v>
      </c>
      <c r="B28" s="1" t="s">
        <v>2167</v>
      </c>
      <c r="C28" s="32" t="s">
        <v>2221</v>
      </c>
      <c r="D28" s="2" t="str">
        <f t="shared" ref="D28:E28" si="29">TRIM(B28)</f>
        <v>Mohakhali</v>
      </c>
      <c r="E28" s="2" t="str">
        <f t="shared" si="29"/>
        <v>Dhaka 1206</v>
      </c>
      <c r="G28" s="2" t="str">
        <f t="shared" si="2"/>
        <v>Dhaka 1206</v>
      </c>
      <c r="H28" s="2" t="str">
        <f t="shared" si="4"/>
        <v/>
      </c>
      <c r="I28" s="2" t="s">
        <v>2169</v>
      </c>
    </row>
    <row r="29" ht="15.75" customHeight="1">
      <c r="A29" s="2" t="s">
        <v>2222</v>
      </c>
      <c r="B29" s="32" t="s">
        <v>2223</v>
      </c>
      <c r="C29" s="2" t="s">
        <v>2164</v>
      </c>
      <c r="D29" s="2" t="str">
        <f t="shared" ref="D29:E29" si="30">TRIM(B29)</f>
        <v>DOHS Mirpur</v>
      </c>
      <c r="E29" s="2" t="str">
        <f t="shared" si="30"/>
        <v>Dhaka</v>
      </c>
      <c r="G29" s="2" t="str">
        <f t="shared" si="2"/>
        <v>Dhaka</v>
      </c>
      <c r="H29" s="2" t="str">
        <f t="shared" si="4"/>
        <v/>
      </c>
      <c r="I29" s="2" t="s">
        <v>2223</v>
      </c>
    </row>
    <row r="30" ht="15.75" customHeight="1">
      <c r="A30" s="2" t="s">
        <v>2224</v>
      </c>
      <c r="B30" s="1" t="s">
        <v>2225</v>
      </c>
      <c r="C30" s="32" t="s">
        <v>2178</v>
      </c>
      <c r="D30" s="2" t="str">
        <f t="shared" ref="D30:E30" si="31">TRIM(B30)</f>
        <v>Green road</v>
      </c>
      <c r="E30" s="2" t="str">
        <f t="shared" si="31"/>
        <v>Dhaka-1205</v>
      </c>
      <c r="G30" s="2" t="str">
        <f t="shared" si="2"/>
        <v>Dhaka-1205</v>
      </c>
      <c r="H30" s="2" t="str">
        <f t="shared" si="4"/>
        <v/>
      </c>
      <c r="I30" s="2" t="s">
        <v>2225</v>
      </c>
    </row>
    <row r="31" ht="15.75" customHeight="1">
      <c r="A31" s="2" t="s">
        <v>2226</v>
      </c>
      <c r="B31" s="1" t="s">
        <v>2227</v>
      </c>
      <c r="C31" s="32" t="s">
        <v>2156</v>
      </c>
      <c r="D31" s="2" t="str">
        <f t="shared" ref="D31:E31" si="32">TRIM(B31)</f>
        <v>Khilkhat</v>
      </c>
      <c r="E31" s="2" t="str">
        <f t="shared" si="32"/>
        <v>Dhaka-1229</v>
      </c>
      <c r="G31" s="2" t="str">
        <f t="shared" si="2"/>
        <v>Dhaka-1229</v>
      </c>
      <c r="H31" s="2" t="str">
        <f t="shared" si="4"/>
        <v/>
      </c>
      <c r="I31" s="2" t="s">
        <v>2228</v>
      </c>
    </row>
    <row r="32" ht="15.75" customHeight="1">
      <c r="A32" s="2" t="s">
        <v>2229</v>
      </c>
      <c r="B32" s="1" t="s">
        <v>2230</v>
      </c>
      <c r="C32" s="32" t="s">
        <v>2231</v>
      </c>
      <c r="D32" s="2" t="str">
        <f t="shared" ref="D32:E32" si="33">TRIM(B32)</f>
        <v>Mirpur</v>
      </c>
      <c r="E32" s="2" t="str">
        <f t="shared" si="33"/>
        <v>Dhaka-1216</v>
      </c>
      <c r="G32" s="2" t="str">
        <f t="shared" si="2"/>
        <v>Dhaka-1216</v>
      </c>
      <c r="H32" s="2" t="str">
        <f t="shared" si="4"/>
        <v/>
      </c>
      <c r="I32" s="2" t="s">
        <v>2232</v>
      </c>
    </row>
    <row r="33" ht="15.75" customHeight="1">
      <c r="A33" s="2" t="s">
        <v>2233</v>
      </c>
      <c r="B33" s="2" t="s">
        <v>2233</v>
      </c>
      <c r="C33" s="1" t="s">
        <v>2172</v>
      </c>
      <c r="D33" s="2" t="str">
        <f t="shared" ref="D33:E33" si="34">TRIM(B33)</f>
        <v>Dhanmondi R/A</v>
      </c>
      <c r="E33" s="2" t="str">
        <f t="shared" si="34"/>
        <v>Dhaka-1209</v>
      </c>
      <c r="G33" s="2" t="str">
        <f t="shared" si="2"/>
        <v>Dhaka-1209</v>
      </c>
      <c r="H33" s="2" t="str">
        <f t="shared" si="4"/>
        <v/>
      </c>
      <c r="I33" s="2" t="s">
        <v>2233</v>
      </c>
    </row>
    <row r="34" ht="15.75" customHeight="1">
      <c r="A34" s="2" t="s">
        <v>2234</v>
      </c>
      <c r="B34" s="1" t="s">
        <v>2235</v>
      </c>
      <c r="C34" s="32" t="s">
        <v>2164</v>
      </c>
      <c r="D34" s="2" t="str">
        <f t="shared" ref="D34:E34" si="35">TRIM(B34)</f>
        <v>Khilgaon</v>
      </c>
      <c r="E34" s="2" t="str">
        <f t="shared" si="35"/>
        <v>Dhaka</v>
      </c>
      <c r="G34" s="2" t="str">
        <f t="shared" si="2"/>
        <v>Dhaka</v>
      </c>
      <c r="H34" s="2" t="str">
        <f t="shared" si="4"/>
        <v/>
      </c>
      <c r="I34" s="2" t="s">
        <v>2236</v>
      </c>
    </row>
    <row r="35" ht="15.75" customHeight="1">
      <c r="A35" s="2" t="s">
        <v>2237</v>
      </c>
      <c r="B35" s="1" t="s">
        <v>2209</v>
      </c>
      <c r="C35" s="32" t="s">
        <v>2191</v>
      </c>
      <c r="D35" s="2" t="str">
        <f t="shared" ref="D35:E35" si="36">TRIM(B35)</f>
        <v>Gulshan-1</v>
      </c>
      <c r="E35" s="2" t="str">
        <f t="shared" si="36"/>
        <v>Dhaka-1212</v>
      </c>
      <c r="G35" s="2" t="str">
        <f t="shared" si="2"/>
        <v>Dhaka-1212</v>
      </c>
      <c r="H35" s="2" t="str">
        <f t="shared" si="4"/>
        <v/>
      </c>
      <c r="I35" s="2" t="s">
        <v>2210</v>
      </c>
    </row>
    <row r="36" ht="15.75" customHeight="1">
      <c r="A36" s="2" t="s">
        <v>2237</v>
      </c>
      <c r="B36" s="1" t="s">
        <v>2171</v>
      </c>
      <c r="C36" s="32" t="s">
        <v>2231</v>
      </c>
      <c r="D36" s="2" t="str">
        <f t="shared" ref="D36:E36" si="37">TRIM(B36)</f>
        <v>Dhanmondi</v>
      </c>
      <c r="E36" s="2" t="str">
        <f t="shared" si="37"/>
        <v>Dhaka-1216</v>
      </c>
      <c r="G36" s="2" t="str">
        <f t="shared" si="2"/>
        <v>Dhaka-1216</v>
      </c>
      <c r="H36" s="2" t="str">
        <f t="shared" si="4"/>
        <v/>
      </c>
      <c r="I36" s="2" t="s">
        <v>2173</v>
      </c>
    </row>
    <row r="37" ht="15.75" customHeight="1">
      <c r="A37" s="2" t="s">
        <v>2237</v>
      </c>
      <c r="B37" s="1" t="s">
        <v>2171</v>
      </c>
      <c r="C37" s="32" t="s">
        <v>2231</v>
      </c>
      <c r="D37" s="2" t="str">
        <f t="shared" ref="D37:E37" si="38">TRIM(B37)</f>
        <v>Dhanmondi</v>
      </c>
      <c r="E37" s="2" t="str">
        <f t="shared" si="38"/>
        <v>Dhaka-1216</v>
      </c>
      <c r="G37" s="2" t="str">
        <f t="shared" si="2"/>
        <v>Dhaka-1216</v>
      </c>
      <c r="H37" s="2" t="str">
        <f t="shared" si="4"/>
        <v/>
      </c>
      <c r="I37" s="2" t="s">
        <v>2173</v>
      </c>
    </row>
    <row r="38" ht="15.75" customHeight="1">
      <c r="A38" s="2" t="s">
        <v>2238</v>
      </c>
      <c r="B38" s="1" t="s">
        <v>2239</v>
      </c>
      <c r="C38" s="32" t="s">
        <v>2240</v>
      </c>
      <c r="D38" s="2" t="str">
        <f t="shared" ref="D38:E38" si="39">TRIM(B38)</f>
        <v>Naya paltan</v>
      </c>
      <c r="E38" s="2" t="str">
        <f t="shared" si="39"/>
        <v>Dhaka‐1000</v>
      </c>
      <c r="G38" s="2" t="str">
        <f t="shared" si="2"/>
        <v>Dhaka‐1000</v>
      </c>
      <c r="H38" s="2" t="str">
        <f t="shared" si="4"/>
        <v/>
      </c>
      <c r="I38" s="2" t="s">
        <v>2239</v>
      </c>
    </row>
    <row r="39" ht="15.75" customHeight="1">
      <c r="A39" s="2" t="s">
        <v>2241</v>
      </c>
      <c r="B39" s="1" t="s">
        <v>2242</v>
      </c>
      <c r="C39" s="1" t="s">
        <v>2243</v>
      </c>
      <c r="D39" s="2" t="str">
        <f t="shared" ref="D39:E39" si="40">TRIM(B39)</f>
        <v>Uttara</v>
      </c>
      <c r="E39" s="2" t="str">
        <f t="shared" si="40"/>
        <v>Dhaka‐1230</v>
      </c>
      <c r="G39" s="2" t="str">
        <f t="shared" si="2"/>
        <v>Dhaka‐1230</v>
      </c>
      <c r="H39" s="2" t="str">
        <f t="shared" si="4"/>
        <v/>
      </c>
      <c r="I39" s="2" t="s">
        <v>2161</v>
      </c>
    </row>
    <row r="40" ht="15.75" customHeight="1">
      <c r="A40" s="2" t="s">
        <v>2220</v>
      </c>
      <c r="B40" s="1" t="s">
        <v>2167</v>
      </c>
      <c r="C40" s="32" t="s">
        <v>2244</v>
      </c>
      <c r="D40" s="2" t="str">
        <f t="shared" ref="D40:E40" si="41">TRIM(B40)</f>
        <v>Mohakhali</v>
      </c>
      <c r="E40" s="2" t="str">
        <f t="shared" si="41"/>
        <v>Dhaka‐1206</v>
      </c>
      <c r="G40" s="2" t="str">
        <f t="shared" si="2"/>
        <v>Dhaka‐1206</v>
      </c>
      <c r="H40" s="2" t="str">
        <f t="shared" si="4"/>
        <v/>
      </c>
      <c r="I40" s="2" t="s">
        <v>2169</v>
      </c>
    </row>
    <row r="41" ht="15.75" customHeight="1">
      <c r="A41" s="2" t="s">
        <v>2245</v>
      </c>
      <c r="B41" s="1" t="s">
        <v>2182</v>
      </c>
      <c r="C41" s="32" t="s">
        <v>2246</v>
      </c>
      <c r="D41" s="2" t="str">
        <f t="shared" ref="D41:E41" si="42">TRIM(B41)</f>
        <v>Banani</v>
      </c>
      <c r="E41" s="2" t="str">
        <f t="shared" si="42"/>
        <v>Dkaka‐1213</v>
      </c>
      <c r="G41" s="2" t="str">
        <f t="shared" si="2"/>
        <v>Dkaka‐1213</v>
      </c>
      <c r="H41" s="2" t="str">
        <f t="shared" si="4"/>
        <v/>
      </c>
      <c r="I41" s="2" t="s">
        <v>2200</v>
      </c>
    </row>
    <row r="42" ht="15.75" customHeight="1">
      <c r="A42" s="2" t="s">
        <v>2154</v>
      </c>
      <c r="B42" s="1" t="s">
        <v>2163</v>
      </c>
      <c r="C42" s="32" t="s">
        <v>2247</v>
      </c>
      <c r="D42" s="2" t="str">
        <f t="shared" ref="D42:E42" si="43">TRIM(B42)</f>
        <v>Shyamoli</v>
      </c>
      <c r="E42" s="2" t="str">
        <f t="shared" si="43"/>
        <v>Dhaka‐1207</v>
      </c>
      <c r="G42" s="2" t="str">
        <f t="shared" si="2"/>
        <v>Dhaka‐1207</v>
      </c>
      <c r="H42" s="2" t="str">
        <f t="shared" si="4"/>
        <v/>
      </c>
      <c r="I42" s="2" t="s">
        <v>2165</v>
      </c>
    </row>
    <row r="43" ht="15.75" customHeight="1">
      <c r="A43" s="2" t="s">
        <v>2248</v>
      </c>
      <c r="B43" s="1" t="s">
        <v>2230</v>
      </c>
      <c r="C43" s="32" t="s">
        <v>2164</v>
      </c>
      <c r="D43" s="2" t="str">
        <f t="shared" ref="D43:E43" si="44">TRIM(B43)</f>
        <v>Mirpur</v>
      </c>
      <c r="E43" s="2" t="str">
        <f t="shared" si="44"/>
        <v>Dhaka</v>
      </c>
      <c r="G43" s="2" t="str">
        <f t="shared" si="2"/>
        <v>Dhaka</v>
      </c>
      <c r="H43" s="2" t="str">
        <f t="shared" si="4"/>
        <v/>
      </c>
      <c r="I43" s="2" t="s">
        <v>2232</v>
      </c>
    </row>
    <row r="44" ht="15.75" customHeight="1">
      <c r="A44" s="2" t="s">
        <v>2249</v>
      </c>
      <c r="B44" s="2" t="s">
        <v>2249</v>
      </c>
      <c r="C44" s="1" t="s">
        <v>2250</v>
      </c>
      <c r="D44" s="2" t="str">
        <f t="shared" ref="D44:E44" si="45">TRIM(B44)</f>
        <v>Elephant Road</v>
      </c>
      <c r="E44" s="2" t="str">
        <f t="shared" si="45"/>
        <v>Dhaka‐1205</v>
      </c>
      <c r="G44" s="2" t="str">
        <f t="shared" si="2"/>
        <v>Dhaka‐1205</v>
      </c>
      <c r="H44" s="2" t="str">
        <f t="shared" si="4"/>
        <v/>
      </c>
      <c r="I44" s="2" t="s">
        <v>2249</v>
      </c>
    </row>
    <row r="45" ht="15.75" customHeight="1">
      <c r="A45" s="2">
        <v>44.0</v>
      </c>
      <c r="B45" s="1" t="s">
        <v>2251</v>
      </c>
      <c r="C45" s="32" t="s">
        <v>2252</v>
      </c>
      <c r="D45" s="2" t="str">
        <f t="shared" ref="D45:E45" si="46">TRIM(B45)</f>
        <v>Gulshan‐2</v>
      </c>
      <c r="E45" s="2" t="str">
        <f t="shared" si="46"/>
        <v>Dhaka‐1212</v>
      </c>
      <c r="G45" s="2" t="str">
        <f t="shared" si="2"/>
        <v>Dhaka‐1212</v>
      </c>
      <c r="H45" s="2" t="str">
        <f t="shared" si="4"/>
        <v/>
      </c>
      <c r="I45" s="2" t="s">
        <v>2253</v>
      </c>
    </row>
    <row r="46" ht="15.75" customHeight="1">
      <c r="A46" s="2" t="s">
        <v>2254</v>
      </c>
      <c r="B46" s="1" t="s">
        <v>2255</v>
      </c>
      <c r="C46" s="32" t="s">
        <v>2252</v>
      </c>
      <c r="D46" s="2" t="str">
        <f t="shared" ref="D46:E46" si="47">TRIM(B46)</f>
        <v>Gulshan‐1</v>
      </c>
      <c r="E46" s="2" t="str">
        <f t="shared" si="47"/>
        <v>Dhaka‐1212</v>
      </c>
      <c r="G46" s="2" t="str">
        <f t="shared" si="2"/>
        <v>Dhaka‐1212</v>
      </c>
      <c r="H46" s="2" t="str">
        <f t="shared" si="4"/>
        <v/>
      </c>
      <c r="I46" s="2" t="s">
        <v>2256</v>
      </c>
    </row>
    <row r="47" ht="15.75" customHeight="1">
      <c r="A47" s="2" t="s">
        <v>2245</v>
      </c>
      <c r="B47" s="1" t="s">
        <v>2182</v>
      </c>
      <c r="C47" s="32" t="s">
        <v>2257</v>
      </c>
      <c r="D47" s="2" t="str">
        <f t="shared" ref="D47:E47" si="48">TRIM(B47)</f>
        <v>Banani</v>
      </c>
      <c r="E47" s="2" t="str">
        <f t="shared" si="48"/>
        <v>Dhaka‐1213</v>
      </c>
      <c r="G47" s="2" t="str">
        <f t="shared" si="2"/>
        <v>Dhaka‐1213</v>
      </c>
      <c r="H47" s="2" t="str">
        <f t="shared" si="4"/>
        <v/>
      </c>
      <c r="I47" s="2" t="s">
        <v>2200</v>
      </c>
    </row>
    <row r="48" ht="15.75" customHeight="1">
      <c r="A48" s="2" t="s">
        <v>2258</v>
      </c>
      <c r="B48" s="2" t="s">
        <v>2258</v>
      </c>
      <c r="C48" s="1" t="s">
        <v>2247</v>
      </c>
      <c r="D48" s="2" t="str">
        <f t="shared" ref="D48:E48" si="49">TRIM(B48)</f>
        <v>Mohammadpur</v>
      </c>
      <c r="E48" s="2" t="str">
        <f t="shared" si="49"/>
        <v>Dhaka‐1207</v>
      </c>
      <c r="G48" s="2" t="str">
        <f t="shared" si="2"/>
        <v>Dhaka‐1207</v>
      </c>
      <c r="H48" s="2" t="str">
        <f t="shared" si="4"/>
        <v/>
      </c>
      <c r="I48" s="2" t="s">
        <v>2259</v>
      </c>
    </row>
    <row r="49" ht="15.75" customHeight="1">
      <c r="A49" s="2" t="s">
        <v>2260</v>
      </c>
      <c r="B49" s="1"/>
      <c r="C49" s="32" t="s">
        <v>2261</v>
      </c>
      <c r="D49" s="2" t="str">
        <f t="shared" ref="D49:E49" si="50">TRIM(B49)</f>
        <v/>
      </c>
      <c r="E49" s="2" t="str">
        <f t="shared" si="50"/>
        <v>Dhaka‐1215</v>
      </c>
      <c r="G49" s="2" t="str">
        <f t="shared" si="2"/>
        <v>Dhaka‐1215</v>
      </c>
      <c r="H49" s="2" t="str">
        <f t="shared" si="4"/>
        <v/>
      </c>
      <c r="I49" s="2" t="s">
        <v>2202</v>
      </c>
    </row>
    <row r="50" ht="15.75" customHeight="1">
      <c r="A50" s="2" t="s">
        <v>2262</v>
      </c>
      <c r="B50" s="32" t="s">
        <v>2204</v>
      </c>
      <c r="C50" s="32"/>
      <c r="D50" s="2" t="str">
        <f t="shared" ref="D50:E50" si="51">TRIM(B50)</f>
        <v>Uttara</v>
      </c>
      <c r="E50" s="2" t="str">
        <f t="shared" si="51"/>
        <v/>
      </c>
      <c r="G50" s="2" t="str">
        <f t="shared" si="2"/>
        <v/>
      </c>
      <c r="H50" s="2" t="str">
        <f t="shared" si="4"/>
        <v/>
      </c>
      <c r="I50" s="2" t="s">
        <v>2161</v>
      </c>
    </row>
    <row r="51" ht="15.75" customHeight="1">
      <c r="A51" s="2" t="s">
        <v>2263</v>
      </c>
      <c r="B51" s="2" t="s">
        <v>2264</v>
      </c>
      <c r="C51" s="1" t="s">
        <v>2252</v>
      </c>
      <c r="D51" s="2" t="str">
        <f t="shared" ref="D51:E51" si="52">TRIM(B51)</f>
        <v>Baridhara Pragati Sharani</v>
      </c>
      <c r="E51" s="2" t="str">
        <f t="shared" si="52"/>
        <v>Dhaka‐1212</v>
      </c>
      <c r="G51" s="2" t="str">
        <f t="shared" si="2"/>
        <v>Dhaka‐1212</v>
      </c>
      <c r="H51" s="2" t="str">
        <f t="shared" si="4"/>
        <v/>
      </c>
      <c r="I51" s="2" t="s">
        <v>2264</v>
      </c>
    </row>
    <row r="52" ht="15.75" customHeight="1">
      <c r="A52" s="2" t="s">
        <v>2265</v>
      </c>
      <c r="B52" s="1" t="s">
        <v>2266</v>
      </c>
      <c r="C52" s="32" t="s">
        <v>2267</v>
      </c>
      <c r="D52" s="2" t="str">
        <f t="shared" ref="D52:E52" si="53">TRIM(B52)</f>
        <v>Banani</v>
      </c>
      <c r="E52" s="2" t="str">
        <f t="shared" si="53"/>
        <v>Dhaka 1213</v>
      </c>
      <c r="G52" s="2" t="str">
        <f t="shared" si="2"/>
        <v>Dhaka 1213</v>
      </c>
      <c r="H52" s="2" t="str">
        <f t="shared" si="4"/>
        <v/>
      </c>
      <c r="I52" s="2" t="s">
        <v>2200</v>
      </c>
    </row>
    <row r="53" ht="15.75" customHeight="1">
      <c r="A53" s="2" t="s">
        <v>2185</v>
      </c>
      <c r="B53" s="2" t="s">
        <v>2185</v>
      </c>
      <c r="C53" s="32" t="s">
        <v>2164</v>
      </c>
      <c r="D53" s="2" t="str">
        <f t="shared" ref="D53:E53" si="54">TRIM(B53)</f>
        <v>Lalmatia</v>
      </c>
      <c r="E53" s="2" t="str">
        <f t="shared" si="54"/>
        <v>Dhaka</v>
      </c>
      <c r="G53" s="2" t="str">
        <f t="shared" si="2"/>
        <v>Dhaka</v>
      </c>
      <c r="H53" s="2" t="str">
        <f t="shared" si="4"/>
        <v/>
      </c>
      <c r="I53" s="2" t="s">
        <v>2187</v>
      </c>
    </row>
    <row r="54" ht="15.75" customHeight="1">
      <c r="A54" s="2" t="s">
        <v>2233</v>
      </c>
      <c r="B54" s="2" t="s">
        <v>2233</v>
      </c>
      <c r="C54" s="1" t="s">
        <v>2268</v>
      </c>
      <c r="D54" s="2" t="str">
        <f t="shared" ref="D54:E54" si="55">TRIM(B54)</f>
        <v>Dhanmondi R/A</v>
      </c>
      <c r="E54" s="2" t="str">
        <f t="shared" si="55"/>
        <v>Dhaka‐1209</v>
      </c>
      <c r="G54" s="2" t="str">
        <f t="shared" si="2"/>
        <v>Dhaka‐1209</v>
      </c>
      <c r="H54" s="2" t="str">
        <f t="shared" si="4"/>
        <v/>
      </c>
      <c r="I54" s="2" t="s">
        <v>2233</v>
      </c>
    </row>
    <row r="55" ht="15.75" customHeight="1">
      <c r="A55" s="2" t="s">
        <v>2224</v>
      </c>
      <c r="B55" s="1" t="s">
        <v>2163</v>
      </c>
      <c r="C55" s="32" t="s">
        <v>2269</v>
      </c>
      <c r="D55" s="2" t="str">
        <f t="shared" ref="D55:E55" si="56">TRIM(B55)</f>
        <v>Shyamoli</v>
      </c>
      <c r="E55" s="2" t="str">
        <f t="shared" si="56"/>
        <v>Dhaka‐1207.</v>
      </c>
      <c r="G55" s="2" t="str">
        <f t="shared" si="2"/>
        <v>Dhaka‐1207.</v>
      </c>
      <c r="H55" s="2" t="str">
        <f t="shared" si="4"/>
        <v/>
      </c>
      <c r="I55" s="2" t="s">
        <v>2165</v>
      </c>
    </row>
    <row r="56" ht="15.75" customHeight="1">
      <c r="A56" s="2" t="s">
        <v>2258</v>
      </c>
      <c r="B56" s="2" t="s">
        <v>2258</v>
      </c>
      <c r="C56" s="1" t="s">
        <v>2247</v>
      </c>
      <c r="D56" s="2" t="str">
        <f t="shared" ref="D56:E56" si="57">TRIM(B56)</f>
        <v>Mohammadpur</v>
      </c>
      <c r="E56" s="2" t="str">
        <f t="shared" si="57"/>
        <v>Dhaka‐1207</v>
      </c>
      <c r="G56" s="2" t="str">
        <f t="shared" si="2"/>
        <v>Dhaka‐1207</v>
      </c>
      <c r="H56" s="2" t="str">
        <f t="shared" si="4"/>
        <v/>
      </c>
      <c r="I56" s="2" t="s">
        <v>2259</v>
      </c>
    </row>
    <row r="57" ht="15.75" customHeight="1">
      <c r="A57" s="2" t="s">
        <v>2270</v>
      </c>
      <c r="B57" s="2" t="s">
        <v>2270</v>
      </c>
      <c r="C57" s="1" t="s">
        <v>2268</v>
      </c>
      <c r="D57" s="2" t="str">
        <f t="shared" ref="D57:E57" si="58">TRIM(B57)</f>
        <v>Dhanmond R/A</v>
      </c>
      <c r="E57" s="2" t="str">
        <f t="shared" si="58"/>
        <v>Dhaka‐1209</v>
      </c>
      <c r="G57" s="2" t="str">
        <f t="shared" si="2"/>
        <v>Dhaka‐1209</v>
      </c>
      <c r="H57" s="2" t="str">
        <f t="shared" si="4"/>
        <v/>
      </c>
      <c r="I57" s="2" t="s">
        <v>2271</v>
      </c>
    </row>
    <row r="58" ht="15.75" customHeight="1">
      <c r="A58" s="2" t="s">
        <v>2272</v>
      </c>
      <c r="B58" s="1" t="s">
        <v>2171</v>
      </c>
      <c r="C58" s="32" t="s">
        <v>2273</v>
      </c>
      <c r="D58" s="2" t="str">
        <f t="shared" ref="D58:E58" si="59">TRIM(B58)</f>
        <v>Dhanmondi</v>
      </c>
      <c r="E58" s="2" t="str">
        <f t="shared" si="59"/>
        <v>Dhaka‐1209.</v>
      </c>
      <c r="G58" s="2" t="str">
        <f t="shared" si="2"/>
        <v>Dhaka‐1209.</v>
      </c>
      <c r="H58" s="2" t="str">
        <f t="shared" si="4"/>
        <v/>
      </c>
      <c r="I58" s="2" t="s">
        <v>2173</v>
      </c>
    </row>
    <row r="59" ht="15.75" customHeight="1">
      <c r="A59" s="2" t="s">
        <v>1194</v>
      </c>
      <c r="B59" s="1" t="s">
        <v>2274</v>
      </c>
      <c r="C59" s="32" t="s">
        <v>2275</v>
      </c>
      <c r="D59" s="2" t="str">
        <f t="shared" ref="D59:E59" si="60">TRIM(B59)</f>
        <v>Mohkhali</v>
      </c>
      <c r="E59" s="2" t="str">
        <f t="shared" si="60"/>
        <v>Dhaka ‐1206</v>
      </c>
      <c r="G59" s="2" t="str">
        <f t="shared" si="2"/>
        <v>Dhaka ‐1206</v>
      </c>
      <c r="H59" s="2" t="str">
        <f t="shared" si="4"/>
        <v/>
      </c>
      <c r="I59" s="2" t="s">
        <v>2276</v>
      </c>
    </row>
    <row r="60" ht="15.75" customHeight="1">
      <c r="A60" s="2" t="s">
        <v>2220</v>
      </c>
      <c r="B60" s="1" t="s">
        <v>2167</v>
      </c>
      <c r="C60" s="32" t="s">
        <v>2244</v>
      </c>
      <c r="D60" s="2" t="str">
        <f t="shared" ref="D60:E60" si="61">TRIM(B60)</f>
        <v>Mohakhali</v>
      </c>
      <c r="E60" s="2" t="str">
        <f t="shared" si="61"/>
        <v>Dhaka‐1206</v>
      </c>
      <c r="G60" s="2" t="str">
        <f t="shared" si="2"/>
        <v>Dhaka‐1206</v>
      </c>
      <c r="H60" s="2" t="str">
        <f t="shared" si="4"/>
        <v/>
      </c>
      <c r="I60" s="2" t="s">
        <v>2169</v>
      </c>
    </row>
    <row r="61" ht="15.75" customHeight="1">
      <c r="A61" s="2" t="s">
        <v>2233</v>
      </c>
      <c r="B61" s="2" t="s">
        <v>2233</v>
      </c>
      <c r="C61" s="1" t="s">
        <v>2250</v>
      </c>
      <c r="D61" s="2" t="str">
        <f t="shared" ref="D61:E61" si="62">TRIM(B61)</f>
        <v>Dhanmondi R/A</v>
      </c>
      <c r="E61" s="2" t="str">
        <f t="shared" si="62"/>
        <v>Dhaka‐1205</v>
      </c>
      <c r="G61" s="2" t="str">
        <f t="shared" si="2"/>
        <v>Dhaka‐1205</v>
      </c>
      <c r="H61" s="2" t="str">
        <f t="shared" si="4"/>
        <v/>
      </c>
      <c r="I61" s="2" t="s">
        <v>2233</v>
      </c>
    </row>
    <row r="62" ht="15.75" customHeight="1">
      <c r="A62" s="2" t="s">
        <v>2277</v>
      </c>
      <c r="B62" s="1" t="s">
        <v>2278</v>
      </c>
      <c r="C62" s="32" t="s">
        <v>2261</v>
      </c>
      <c r="D62" s="2" t="str">
        <f t="shared" ref="D62:E62" si="63">TRIM(B62)</f>
        <v>Tejgaon</v>
      </c>
      <c r="E62" s="2" t="str">
        <f t="shared" si="63"/>
        <v>Dhaka‐1215</v>
      </c>
      <c r="G62" s="2" t="str">
        <f t="shared" si="2"/>
        <v>Dhaka‐1215</v>
      </c>
      <c r="H62" s="2" t="str">
        <f t="shared" si="4"/>
        <v/>
      </c>
      <c r="I62" s="2" t="s">
        <v>2279</v>
      </c>
    </row>
    <row r="63" ht="15.75" customHeight="1">
      <c r="A63" s="2" t="s">
        <v>2208</v>
      </c>
      <c r="B63" s="1" t="s">
        <v>2255</v>
      </c>
      <c r="C63" s="32" t="s">
        <v>2252</v>
      </c>
      <c r="D63" s="2" t="str">
        <f t="shared" ref="D63:E63" si="64">TRIM(B63)</f>
        <v>Gulshan‐1</v>
      </c>
      <c r="E63" s="2" t="str">
        <f t="shared" si="64"/>
        <v>Dhaka‐1212</v>
      </c>
      <c r="G63" s="2" t="str">
        <f t="shared" si="2"/>
        <v>Dhaka‐1212</v>
      </c>
      <c r="H63" s="2" t="str">
        <f t="shared" si="4"/>
        <v/>
      </c>
      <c r="I63" s="2" t="s">
        <v>2256</v>
      </c>
    </row>
    <row r="64" ht="15.75" customHeight="1">
      <c r="A64" s="2" t="s">
        <v>2280</v>
      </c>
      <c r="B64" s="1" t="s">
        <v>2185</v>
      </c>
      <c r="C64" s="32" t="s">
        <v>2247</v>
      </c>
      <c r="D64" s="2" t="str">
        <f t="shared" ref="D64:E64" si="65">TRIM(B64)</f>
        <v>Lalmatia</v>
      </c>
      <c r="E64" s="2" t="str">
        <f t="shared" si="65"/>
        <v>Dhaka‐1207</v>
      </c>
      <c r="G64" s="2" t="str">
        <f t="shared" si="2"/>
        <v>Dhaka‐1207</v>
      </c>
      <c r="H64" s="2" t="str">
        <f t="shared" si="4"/>
        <v/>
      </c>
      <c r="I64" s="2" t="s">
        <v>2187</v>
      </c>
    </row>
    <row r="65" ht="15.75" customHeight="1">
      <c r="A65" s="2" t="s">
        <v>2241</v>
      </c>
      <c r="B65" s="1" t="s">
        <v>2242</v>
      </c>
      <c r="C65" s="1" t="s">
        <v>2243</v>
      </c>
      <c r="D65" s="2" t="str">
        <f t="shared" ref="D65:E65" si="66">TRIM(B65)</f>
        <v>Uttara</v>
      </c>
      <c r="E65" s="2" t="str">
        <f t="shared" si="66"/>
        <v>Dhaka‐1230</v>
      </c>
      <c r="G65" s="2" t="str">
        <f t="shared" si="2"/>
        <v>Dhaka‐1230</v>
      </c>
      <c r="H65" s="2" t="str">
        <f t="shared" si="4"/>
        <v/>
      </c>
      <c r="I65" s="2" t="s">
        <v>2161</v>
      </c>
    </row>
    <row r="66" ht="15.75" customHeight="1">
      <c r="A66" s="2" t="s">
        <v>2281</v>
      </c>
      <c r="B66" s="1" t="s">
        <v>2204</v>
      </c>
      <c r="C66" s="32" t="s">
        <v>2243</v>
      </c>
      <c r="D66" s="2" t="str">
        <f t="shared" ref="D66:E66" si="67">TRIM(B66)</f>
        <v>Uttara</v>
      </c>
      <c r="E66" s="2" t="str">
        <f t="shared" si="67"/>
        <v>Dhaka‐1230</v>
      </c>
      <c r="G66" s="2" t="str">
        <f t="shared" si="2"/>
        <v>Dhaka‐1230</v>
      </c>
      <c r="H66" s="2" t="str">
        <f t="shared" si="4"/>
        <v/>
      </c>
      <c r="I66" s="2" t="s">
        <v>2161</v>
      </c>
    </row>
    <row r="67" ht="15.75" customHeight="1">
      <c r="A67" s="2" t="s">
        <v>2282</v>
      </c>
      <c r="B67" s="1"/>
      <c r="C67" s="32"/>
      <c r="D67" s="2" t="str">
        <f t="shared" ref="D67:E67" si="68">TRIM(B67)</f>
        <v/>
      </c>
      <c r="E67" s="2" t="str">
        <f t="shared" si="68"/>
        <v/>
      </c>
      <c r="G67" s="2" t="str">
        <f t="shared" si="2"/>
        <v/>
      </c>
      <c r="H67" s="2" t="str">
        <f t="shared" si="4"/>
        <v/>
      </c>
      <c r="I67" s="2" t="s">
        <v>2202</v>
      </c>
    </row>
    <row r="68" ht="15.75" customHeight="1">
      <c r="A68" s="2" t="s">
        <v>2233</v>
      </c>
      <c r="B68" s="2" t="s">
        <v>2233</v>
      </c>
      <c r="C68" s="1" t="s">
        <v>2268</v>
      </c>
      <c r="D68" s="2" t="str">
        <f t="shared" ref="D68:E68" si="69">TRIM(B68)</f>
        <v>Dhanmondi R/A</v>
      </c>
      <c r="E68" s="2" t="str">
        <f t="shared" si="69"/>
        <v>Dhaka‐1209</v>
      </c>
      <c r="G68" s="2" t="str">
        <f t="shared" si="2"/>
        <v>Dhaka‐1209</v>
      </c>
      <c r="H68" s="2" t="str">
        <f t="shared" si="4"/>
        <v/>
      </c>
      <c r="I68" s="2" t="s">
        <v>2233</v>
      </c>
    </row>
    <row r="69" ht="15.75" customHeight="1">
      <c r="A69" s="2" t="s">
        <v>2283</v>
      </c>
      <c r="B69" s="2" t="s">
        <v>2284</v>
      </c>
      <c r="C69" s="1" t="s">
        <v>2285</v>
      </c>
      <c r="D69" s="2" t="str">
        <f t="shared" ref="D69:E69" si="70">TRIM(B69)</f>
        <v>Gazipur Sadar</v>
      </c>
      <c r="E69" s="2" t="str">
        <f t="shared" si="70"/>
        <v>Gazipur‐1700</v>
      </c>
      <c r="G69" s="2" t="str">
        <f t="shared" si="2"/>
        <v>Gazipur‐1700</v>
      </c>
      <c r="H69" s="2" t="str">
        <f t="shared" si="4"/>
        <v/>
      </c>
      <c r="I69" s="2" t="s">
        <v>2284</v>
      </c>
    </row>
    <row r="70" ht="15.75" customHeight="1">
      <c r="A70" s="2" t="s">
        <v>2286</v>
      </c>
      <c r="B70" s="2" t="s">
        <v>2287</v>
      </c>
      <c r="C70" s="1" t="s">
        <v>2221</v>
      </c>
      <c r="D70" s="2" t="str">
        <f t="shared" ref="D70:E70" si="71">TRIM(B70)</f>
        <v>DOHS Mohakhali</v>
      </c>
      <c r="E70" s="2" t="str">
        <f t="shared" si="71"/>
        <v>Dhaka 1206</v>
      </c>
      <c r="G70" s="2" t="str">
        <f t="shared" si="2"/>
        <v>Dhaka 1206</v>
      </c>
      <c r="H70" s="2" t="str">
        <f t="shared" si="4"/>
        <v/>
      </c>
      <c r="I70" s="2" t="s">
        <v>2287</v>
      </c>
    </row>
    <row r="71" ht="15.75" customHeight="1">
      <c r="A71" s="2" t="s">
        <v>2288</v>
      </c>
      <c r="B71" s="1" t="s">
        <v>2289</v>
      </c>
      <c r="C71" s="32" t="s">
        <v>2290</v>
      </c>
      <c r="D71" s="2" t="str">
        <f t="shared" ref="D71:E71" si="72">TRIM(B71)</f>
        <v>Gulshan</v>
      </c>
      <c r="E71" s="2" t="str">
        <f t="shared" si="72"/>
        <v>Dhaka‐121</v>
      </c>
      <c r="G71" s="2" t="str">
        <f t="shared" si="2"/>
        <v>Dhaka‐121</v>
      </c>
      <c r="H71" s="2" t="str">
        <f t="shared" si="4"/>
        <v/>
      </c>
      <c r="I71" s="2" t="s">
        <v>2291</v>
      </c>
    </row>
    <row r="72" ht="15.75" customHeight="1">
      <c r="A72" s="2" t="s">
        <v>2292</v>
      </c>
      <c r="B72" s="1" t="s">
        <v>2171</v>
      </c>
      <c r="C72" s="32" t="s">
        <v>2268</v>
      </c>
      <c r="D72" s="2" t="str">
        <f t="shared" ref="D72:E72" si="73">TRIM(B72)</f>
        <v>Dhanmondi</v>
      </c>
      <c r="E72" s="2" t="str">
        <f t="shared" si="73"/>
        <v>Dhaka‐1209</v>
      </c>
      <c r="G72" s="2" t="str">
        <f t="shared" si="2"/>
        <v>Dhaka‐1209</v>
      </c>
      <c r="H72" s="2" t="str">
        <f t="shared" si="4"/>
        <v/>
      </c>
      <c r="I72" s="2" t="s">
        <v>2173</v>
      </c>
    </row>
    <row r="73" ht="15.75" customHeight="1">
      <c r="A73" s="2" t="s">
        <v>2293</v>
      </c>
      <c r="B73" s="1" t="s">
        <v>2163</v>
      </c>
      <c r="C73" s="32" t="s">
        <v>2247</v>
      </c>
      <c r="D73" s="2" t="str">
        <f t="shared" ref="D73:E73" si="74">TRIM(B73)</f>
        <v>Shyamoli</v>
      </c>
      <c r="E73" s="2" t="str">
        <f t="shared" si="74"/>
        <v>Dhaka‐1207</v>
      </c>
      <c r="G73" s="2" t="str">
        <f t="shared" si="2"/>
        <v>Dhaka‐1207</v>
      </c>
      <c r="H73" s="2" t="str">
        <f t="shared" si="4"/>
        <v/>
      </c>
      <c r="I73" s="2" t="s">
        <v>2165</v>
      </c>
    </row>
    <row r="74" ht="15.75" customHeight="1">
      <c r="A74" s="2" t="s">
        <v>2294</v>
      </c>
      <c r="B74" s="1" t="s">
        <v>2287</v>
      </c>
      <c r="C74" s="1" t="s">
        <v>2221</v>
      </c>
      <c r="D74" s="2" t="str">
        <f t="shared" ref="D74:E74" si="75">TRIM(B74)</f>
        <v>DOHS Mohakhali</v>
      </c>
      <c r="E74" s="2" t="str">
        <f t="shared" si="75"/>
        <v>Dhaka 1206</v>
      </c>
      <c r="G74" s="2" t="str">
        <f t="shared" si="2"/>
        <v>Dhaka 1206</v>
      </c>
      <c r="H74" s="2" t="str">
        <f t="shared" si="4"/>
        <v/>
      </c>
      <c r="I74" s="2" t="s">
        <v>2287</v>
      </c>
    </row>
    <row r="75" ht="15.75" customHeight="1">
      <c r="A75" s="2" t="s">
        <v>2295</v>
      </c>
      <c r="B75" s="1" t="s">
        <v>2171</v>
      </c>
      <c r="C75" s="32" t="s">
        <v>2250</v>
      </c>
      <c r="D75" s="2" t="str">
        <f t="shared" ref="D75:E75" si="76">TRIM(B75)</f>
        <v>Dhanmondi</v>
      </c>
      <c r="E75" s="2" t="str">
        <f t="shared" si="76"/>
        <v>Dhaka‐1205</v>
      </c>
      <c r="G75" s="2" t="str">
        <f t="shared" si="2"/>
        <v>Dhaka‐1205</v>
      </c>
      <c r="H75" s="2" t="str">
        <f t="shared" si="4"/>
        <v/>
      </c>
      <c r="I75" s="2" t="s">
        <v>2173</v>
      </c>
    </row>
    <row r="76" ht="15.75" customHeight="1">
      <c r="A76" s="2" t="s">
        <v>2220</v>
      </c>
      <c r="B76" s="1" t="s">
        <v>2167</v>
      </c>
      <c r="C76" s="32" t="s">
        <v>2244</v>
      </c>
      <c r="D76" s="2" t="str">
        <f t="shared" ref="D76:E76" si="77">TRIM(B76)</f>
        <v>Mohakhali</v>
      </c>
      <c r="E76" s="2" t="str">
        <f t="shared" si="77"/>
        <v>Dhaka‐1206</v>
      </c>
      <c r="G76" s="2" t="str">
        <f t="shared" si="2"/>
        <v>Dhaka‐1206</v>
      </c>
      <c r="H76" s="2" t="str">
        <f t="shared" si="4"/>
        <v/>
      </c>
      <c r="I76" s="2" t="s">
        <v>2169</v>
      </c>
    </row>
    <row r="77" ht="15.75" customHeight="1">
      <c r="A77" s="2" t="s">
        <v>2258</v>
      </c>
      <c r="B77" s="2" t="s">
        <v>2258</v>
      </c>
      <c r="C77" s="1" t="s">
        <v>2247</v>
      </c>
      <c r="D77" s="2" t="str">
        <f t="shared" ref="D77:E77" si="78">TRIM(B77)</f>
        <v>Mohammadpur</v>
      </c>
      <c r="E77" s="2" t="str">
        <f t="shared" si="78"/>
        <v>Dhaka‐1207</v>
      </c>
      <c r="G77" s="2" t="str">
        <f t="shared" si="2"/>
        <v>Dhaka‐1207</v>
      </c>
      <c r="H77" s="2" t="str">
        <f t="shared" si="4"/>
        <v/>
      </c>
      <c r="I77" s="2" t="s">
        <v>2259</v>
      </c>
    </row>
    <row r="78" ht="15.75" customHeight="1">
      <c r="A78" s="2" t="s">
        <v>2296</v>
      </c>
      <c r="B78" s="1" t="s">
        <v>2185</v>
      </c>
      <c r="C78" s="32" t="s">
        <v>2268</v>
      </c>
      <c r="D78" s="2" t="str">
        <f t="shared" ref="D78:E78" si="79">TRIM(B78)</f>
        <v>Lalmatia</v>
      </c>
      <c r="E78" s="2" t="str">
        <f t="shared" si="79"/>
        <v>Dhaka‐1209</v>
      </c>
      <c r="G78" s="2" t="str">
        <f t="shared" si="2"/>
        <v>Dhaka‐1209</v>
      </c>
      <c r="H78" s="2" t="str">
        <f t="shared" si="4"/>
        <v/>
      </c>
      <c r="I78" s="2" t="s">
        <v>2187</v>
      </c>
    </row>
    <row r="79" ht="15.75" customHeight="1">
      <c r="A79" s="2" t="s">
        <v>2297</v>
      </c>
      <c r="B79" s="2" t="s">
        <v>2298</v>
      </c>
      <c r="C79" s="1" t="s">
        <v>2299</v>
      </c>
      <c r="D79" s="2" t="str">
        <f t="shared" ref="D79:E79" si="80">TRIM(B79)</f>
        <v>Darussalam</v>
      </c>
      <c r="E79" s="2" t="str">
        <f t="shared" si="80"/>
        <v>Dhaka‐1216</v>
      </c>
      <c r="G79" s="2" t="str">
        <f t="shared" si="2"/>
        <v>Dhaka‐1216</v>
      </c>
      <c r="H79" s="2" t="str">
        <f t="shared" si="4"/>
        <v/>
      </c>
      <c r="I79" s="2" t="s">
        <v>2298</v>
      </c>
    </row>
    <row r="80" ht="15.75" customHeight="1">
      <c r="A80" s="2">
        <v>99.0</v>
      </c>
      <c r="B80" s="1" t="s">
        <v>2300</v>
      </c>
      <c r="C80" s="32" t="s">
        <v>2252</v>
      </c>
      <c r="D80" s="2" t="str">
        <f t="shared" ref="D80:E80" si="81">TRIM(B80)</f>
        <v>Gulshan 2</v>
      </c>
      <c r="E80" s="2" t="str">
        <f t="shared" si="81"/>
        <v>Dhaka‐1212</v>
      </c>
      <c r="G80" s="2" t="str">
        <f t="shared" si="2"/>
        <v>Dhaka‐1212</v>
      </c>
      <c r="H80" s="2" t="str">
        <f t="shared" si="4"/>
        <v/>
      </c>
      <c r="I80" s="2" t="s">
        <v>2300</v>
      </c>
    </row>
    <row r="81" ht="15.75" customHeight="1">
      <c r="A81" s="2" t="s">
        <v>2301</v>
      </c>
      <c r="B81" s="1" t="s">
        <v>2302</v>
      </c>
      <c r="C81" s="32"/>
      <c r="D81" s="2" t="str">
        <f t="shared" ref="D81:E81" si="82">TRIM(B81)</f>
        <v>Cantonment</v>
      </c>
      <c r="E81" s="2" t="str">
        <f t="shared" si="82"/>
        <v/>
      </c>
      <c r="G81" s="2" t="str">
        <f t="shared" si="2"/>
        <v/>
      </c>
      <c r="H81" s="2" t="str">
        <f t="shared" si="4"/>
        <v/>
      </c>
      <c r="I81" s="2" t="s">
        <v>2303</v>
      </c>
    </row>
    <row r="82" ht="15.75" customHeight="1">
      <c r="A82" s="2" t="s">
        <v>2304</v>
      </c>
      <c r="B82" s="1" t="s">
        <v>2169</v>
      </c>
      <c r="C82" s="32" t="s">
        <v>2244</v>
      </c>
      <c r="D82" s="2" t="str">
        <f t="shared" ref="D82:E82" si="83">TRIM(B82)</f>
        <v>Mohakhali</v>
      </c>
      <c r="E82" s="2" t="str">
        <f t="shared" si="83"/>
        <v>Dhaka‐1206</v>
      </c>
      <c r="G82" s="2" t="str">
        <f t="shared" si="2"/>
        <v>Dhaka‐1206</v>
      </c>
      <c r="H82" s="2" t="str">
        <f t="shared" si="4"/>
        <v/>
      </c>
      <c r="I82" s="2" t="s">
        <v>2169</v>
      </c>
    </row>
    <row r="83" ht="15.75" customHeight="1">
      <c r="A83" s="2" t="s">
        <v>2305</v>
      </c>
      <c r="B83" s="1" t="s">
        <v>2171</v>
      </c>
      <c r="C83" s="32" t="s">
        <v>2306</v>
      </c>
      <c r="D83" s="2" t="str">
        <f t="shared" ref="D83:E83" si="84">TRIM(B83)</f>
        <v>Dhanmondi</v>
      </c>
      <c r="E83" s="2" t="str">
        <f t="shared" si="84"/>
        <v>Dhaka‐1209</v>
      </c>
      <c r="G83" s="2" t="str">
        <f t="shared" si="2"/>
        <v>Dhaka‐1209</v>
      </c>
      <c r="H83" s="2" t="str">
        <f t="shared" si="4"/>
        <v/>
      </c>
      <c r="I83" s="2" t="s">
        <v>2173</v>
      </c>
    </row>
    <row r="84" ht="15.75" customHeight="1">
      <c r="A84" s="2" t="s">
        <v>2237</v>
      </c>
      <c r="B84" s="1" t="s">
        <v>2171</v>
      </c>
      <c r="C84" s="32" t="s">
        <v>2268</v>
      </c>
      <c r="D84" s="2" t="str">
        <f t="shared" ref="D84:E84" si="85">TRIM(B84)</f>
        <v>Dhanmondi</v>
      </c>
      <c r="E84" s="2" t="str">
        <f t="shared" si="85"/>
        <v>Dhaka‐1209</v>
      </c>
      <c r="G84" s="2" t="str">
        <f t="shared" si="2"/>
        <v>Dhaka‐1209</v>
      </c>
      <c r="H84" s="2" t="str">
        <f t="shared" si="4"/>
        <v/>
      </c>
      <c r="I84" s="2" t="s">
        <v>2173</v>
      </c>
    </row>
    <row r="85" ht="15.75" customHeight="1">
      <c r="A85" s="2" t="s">
        <v>2220</v>
      </c>
      <c r="B85" s="1" t="s">
        <v>2167</v>
      </c>
      <c r="C85" s="32" t="s">
        <v>2244</v>
      </c>
      <c r="D85" s="2" t="str">
        <f t="shared" ref="D85:E85" si="86">TRIM(B85)</f>
        <v>Mohakhali</v>
      </c>
      <c r="E85" s="2" t="str">
        <f t="shared" si="86"/>
        <v>Dhaka‐1206</v>
      </c>
      <c r="G85" s="2" t="str">
        <f t="shared" si="2"/>
        <v>Dhaka‐1206</v>
      </c>
      <c r="H85" s="2" t="str">
        <f t="shared" si="4"/>
        <v/>
      </c>
      <c r="I85" s="2" t="s">
        <v>2169</v>
      </c>
    </row>
    <row r="86" ht="15.75" customHeight="1">
      <c r="A86" s="2" t="s">
        <v>2307</v>
      </c>
      <c r="B86" s="1" t="s">
        <v>2182</v>
      </c>
      <c r="C86" s="32"/>
      <c r="D86" s="2" t="str">
        <f t="shared" ref="D86:E86" si="87">TRIM(B86)</f>
        <v>Banani</v>
      </c>
      <c r="E86" s="2" t="str">
        <f t="shared" si="87"/>
        <v/>
      </c>
      <c r="G86" s="2" t="str">
        <f t="shared" si="2"/>
        <v/>
      </c>
      <c r="H86" s="2" t="str">
        <f t="shared" si="4"/>
        <v/>
      </c>
      <c r="I86" s="2" t="s">
        <v>2200</v>
      </c>
    </row>
    <row r="87" ht="15.75" customHeight="1">
      <c r="A87" s="2" t="s">
        <v>2220</v>
      </c>
      <c r="B87" s="1" t="s">
        <v>2167</v>
      </c>
      <c r="C87" s="32" t="s">
        <v>2244</v>
      </c>
      <c r="D87" s="2" t="str">
        <f t="shared" ref="D87:E87" si="88">TRIM(B87)</f>
        <v>Mohakhali</v>
      </c>
      <c r="E87" s="2" t="str">
        <f t="shared" si="88"/>
        <v>Dhaka‐1206</v>
      </c>
      <c r="G87" s="2" t="str">
        <f t="shared" si="2"/>
        <v>Dhaka‐1206</v>
      </c>
      <c r="H87" s="2" t="str">
        <f t="shared" si="4"/>
        <v/>
      </c>
      <c r="I87" s="2" t="s">
        <v>2169</v>
      </c>
    </row>
    <row r="88" ht="15.75" customHeight="1">
      <c r="A88" s="2" t="s">
        <v>2189</v>
      </c>
      <c r="B88" s="1" t="s">
        <v>2196</v>
      </c>
      <c r="C88" s="32" t="s">
        <v>2250</v>
      </c>
      <c r="D88" s="2" t="str">
        <f t="shared" ref="D88:E88" si="89">TRIM(B88)</f>
        <v>Green Road</v>
      </c>
      <c r="E88" s="2" t="str">
        <f t="shared" si="89"/>
        <v>Dhaka‐1205</v>
      </c>
      <c r="G88" s="2" t="str">
        <f t="shared" si="2"/>
        <v>Dhaka‐1205</v>
      </c>
      <c r="H88" s="2" t="str">
        <f t="shared" si="4"/>
        <v/>
      </c>
      <c r="I88" s="2" t="s">
        <v>2197</v>
      </c>
    </row>
    <row r="89" ht="15.75" customHeight="1">
      <c r="A89" s="2" t="s">
        <v>2308</v>
      </c>
      <c r="B89" s="1" t="s">
        <v>2255</v>
      </c>
      <c r="C89" s="32" t="s">
        <v>2252</v>
      </c>
      <c r="D89" s="2" t="str">
        <f t="shared" ref="D89:E89" si="90">TRIM(B89)</f>
        <v>Gulshan‐1</v>
      </c>
      <c r="E89" s="2" t="str">
        <f t="shared" si="90"/>
        <v>Dhaka‐1212</v>
      </c>
      <c r="G89" s="2" t="str">
        <f t="shared" si="2"/>
        <v>Dhaka‐1212</v>
      </c>
      <c r="H89" s="2" t="str">
        <f t="shared" si="4"/>
        <v/>
      </c>
      <c r="I89" s="2" t="s">
        <v>2256</v>
      </c>
    </row>
    <row r="90" ht="15.75" customHeight="1">
      <c r="A90" s="2" t="s">
        <v>2309</v>
      </c>
      <c r="B90" s="1" t="s">
        <v>2182</v>
      </c>
      <c r="C90" s="32" t="s">
        <v>2257</v>
      </c>
      <c r="D90" s="2" t="str">
        <f t="shared" ref="D90:E90" si="91">TRIM(B90)</f>
        <v>Banani</v>
      </c>
      <c r="E90" s="2" t="str">
        <f t="shared" si="91"/>
        <v>Dhaka‐1213</v>
      </c>
      <c r="G90" s="2" t="str">
        <f t="shared" si="2"/>
        <v>Dhaka‐1213</v>
      </c>
      <c r="H90" s="2" t="str">
        <f t="shared" si="4"/>
        <v/>
      </c>
      <c r="I90" s="2" t="s">
        <v>2200</v>
      </c>
    </row>
    <row r="91" ht="15.75" customHeight="1">
      <c r="A91" s="2" t="s">
        <v>2258</v>
      </c>
      <c r="B91" s="2" t="s">
        <v>2258</v>
      </c>
      <c r="C91" s="1" t="s">
        <v>2247</v>
      </c>
      <c r="D91" s="2" t="str">
        <f t="shared" ref="D91:E91" si="92">TRIM(B91)</f>
        <v>Mohammadpur</v>
      </c>
      <c r="E91" s="2" t="str">
        <f t="shared" si="92"/>
        <v>Dhaka‐1207</v>
      </c>
      <c r="G91" s="2" t="str">
        <f t="shared" si="2"/>
        <v>Dhaka‐1207</v>
      </c>
      <c r="H91" s="2" t="str">
        <f t="shared" si="4"/>
        <v/>
      </c>
      <c r="I91" s="2" t="s">
        <v>2259</v>
      </c>
    </row>
    <row r="92" ht="15.75" customHeight="1">
      <c r="A92" s="2" t="s">
        <v>2310</v>
      </c>
      <c r="B92" s="2" t="s">
        <v>2310</v>
      </c>
      <c r="C92" s="1" t="s">
        <v>2311</v>
      </c>
      <c r="D92" s="2" t="str">
        <f t="shared" ref="D92:E92" si="93">TRIM(B92)</f>
        <v>Banani C/A</v>
      </c>
      <c r="E92" s="2" t="str">
        <f t="shared" si="93"/>
        <v>Dhaka‐1213.</v>
      </c>
      <c r="G92" s="2" t="str">
        <f t="shared" si="2"/>
        <v>Dhaka‐1213.</v>
      </c>
      <c r="H92" s="2" t="str">
        <f t="shared" si="4"/>
        <v/>
      </c>
      <c r="I92" s="2" t="s">
        <v>2312</v>
      </c>
    </row>
    <row r="93" ht="15.75" customHeight="1">
      <c r="A93" s="2" t="s">
        <v>2313</v>
      </c>
      <c r="B93" s="1" t="s">
        <v>2314</v>
      </c>
      <c r="C93" s="32" t="s">
        <v>2315</v>
      </c>
      <c r="D93" s="2" t="str">
        <f t="shared" ref="D93:E93" si="94">TRIM(B93)</f>
        <v>Hatirpool</v>
      </c>
      <c r="E93" s="2" t="str">
        <f t="shared" si="94"/>
        <v>Dhaka 1205</v>
      </c>
      <c r="G93" s="2" t="str">
        <f t="shared" si="2"/>
        <v>Dhaka 1205</v>
      </c>
      <c r="H93" s="2" t="str">
        <f t="shared" si="4"/>
        <v/>
      </c>
      <c r="I93" s="2" t="s">
        <v>2316</v>
      </c>
    </row>
    <row r="94" ht="15.75" customHeight="1">
      <c r="A94" s="2" t="s">
        <v>2176</v>
      </c>
      <c r="B94" s="1" t="s">
        <v>2177</v>
      </c>
      <c r="C94" s="32" t="s">
        <v>2250</v>
      </c>
      <c r="D94" s="2" t="str">
        <f t="shared" ref="D94:E94" si="95">TRIM(B94)</f>
        <v>Kalabagan</v>
      </c>
      <c r="E94" s="2" t="str">
        <f t="shared" si="95"/>
        <v>Dhaka‐1205</v>
      </c>
      <c r="G94" s="2" t="str">
        <f t="shared" si="2"/>
        <v>Dhaka‐1205</v>
      </c>
      <c r="H94" s="2" t="str">
        <f t="shared" si="4"/>
        <v/>
      </c>
      <c r="I94" s="2" t="s">
        <v>2179</v>
      </c>
    </row>
    <row r="95" ht="15.75" customHeight="1">
      <c r="A95" s="2">
        <v>6.0</v>
      </c>
      <c r="B95" s="1" t="s">
        <v>2317</v>
      </c>
      <c r="C95" s="32" t="s">
        <v>2318</v>
      </c>
      <c r="D95" s="2" t="str">
        <f t="shared" ref="D95:E95" si="96">TRIM(B95)</f>
        <v>Gulshan‐1</v>
      </c>
      <c r="E95" s="2" t="str">
        <f t="shared" si="96"/>
        <v>Dhaka 1213.</v>
      </c>
      <c r="G95" s="2" t="str">
        <f t="shared" si="2"/>
        <v>Dhaka 1213.</v>
      </c>
      <c r="H95" s="2" t="str">
        <f t="shared" si="4"/>
        <v/>
      </c>
      <c r="I95" s="2" t="s">
        <v>2256</v>
      </c>
    </row>
    <row r="96" ht="15.75" customHeight="1">
      <c r="A96" s="2" t="s">
        <v>2319</v>
      </c>
      <c r="B96" s="1" t="s">
        <v>2185</v>
      </c>
      <c r="C96" s="32" t="s">
        <v>2269</v>
      </c>
      <c r="D96" s="2" t="str">
        <f t="shared" ref="D96:E96" si="97">TRIM(B96)</f>
        <v>Lalmatia</v>
      </c>
      <c r="E96" s="2" t="str">
        <f t="shared" si="97"/>
        <v>Dhaka‐1207.</v>
      </c>
      <c r="G96" s="2" t="str">
        <f t="shared" si="2"/>
        <v>Dhaka‐1207.</v>
      </c>
      <c r="H96" s="2" t="str">
        <f t="shared" si="4"/>
        <v/>
      </c>
      <c r="I96" s="2" t="s">
        <v>2187</v>
      </c>
    </row>
    <row r="97" ht="15.75" customHeight="1">
      <c r="A97" s="2" t="s">
        <v>2320</v>
      </c>
      <c r="B97" s="2" t="s">
        <v>2321</v>
      </c>
      <c r="C97" s="32"/>
      <c r="D97" s="2" t="str">
        <f t="shared" ref="D97:E97" si="98">TRIM(B97)</f>
        <v>Agrabad C/A</v>
      </c>
      <c r="E97" s="2" t="str">
        <f t="shared" si="98"/>
        <v/>
      </c>
      <c r="G97" s="2" t="str">
        <f t="shared" si="2"/>
        <v/>
      </c>
      <c r="H97" s="2" t="str">
        <f t="shared" si="4"/>
        <v/>
      </c>
      <c r="I97" s="2" t="s">
        <v>2322</v>
      </c>
    </row>
    <row r="98" ht="15.75" customHeight="1">
      <c r="A98" s="2" t="s">
        <v>2323</v>
      </c>
      <c r="B98" s="1" t="s">
        <v>2324</v>
      </c>
      <c r="C98" s="32" t="s">
        <v>2244</v>
      </c>
      <c r="D98" s="2" t="str">
        <f t="shared" ref="D98:E98" si="99">TRIM(B98)</f>
        <v>NEW DOHS Mohakhali</v>
      </c>
      <c r="E98" s="2" t="str">
        <f t="shared" si="99"/>
        <v>Dhaka‐1206</v>
      </c>
      <c r="G98" s="2" t="str">
        <f t="shared" si="2"/>
        <v>Dhaka‐1206</v>
      </c>
      <c r="H98" s="2" t="str">
        <f t="shared" si="4"/>
        <v/>
      </c>
      <c r="I98" s="2" t="s">
        <v>2324</v>
      </c>
    </row>
    <row r="99" ht="15.75" customHeight="1">
      <c r="A99" s="2" t="s">
        <v>2325</v>
      </c>
      <c r="B99" s="2" t="s">
        <v>2326</v>
      </c>
      <c r="C99" s="1" t="s">
        <v>2250</v>
      </c>
      <c r="D99" s="2" t="str">
        <f t="shared" ref="D99:E99" si="100">TRIM(B99)</f>
        <v>Sonargaon Road</v>
      </c>
      <c r="E99" s="2" t="str">
        <f t="shared" si="100"/>
        <v>Dhaka‐1205</v>
      </c>
      <c r="G99" s="2" t="str">
        <f t="shared" si="2"/>
        <v>Dhaka‐1205</v>
      </c>
      <c r="H99" s="2" t="str">
        <f t="shared" si="4"/>
        <v/>
      </c>
      <c r="I99" s="2" t="s">
        <v>2326</v>
      </c>
    </row>
    <row r="100" ht="15.75" customHeight="1">
      <c r="A100" s="2" t="s">
        <v>2327</v>
      </c>
      <c r="B100" s="2" t="s">
        <v>2328</v>
      </c>
      <c r="C100" s="1" t="s">
        <v>2250</v>
      </c>
      <c r="D100" s="2" t="str">
        <f t="shared" ref="D100:E100" si="101">TRIM(B100)</f>
        <v>Panthapath</v>
      </c>
      <c r="E100" s="2" t="str">
        <f t="shared" si="101"/>
        <v>Dhaka‐1205</v>
      </c>
      <c r="G100" s="2" t="str">
        <f t="shared" si="2"/>
        <v>Dhaka‐1205</v>
      </c>
      <c r="H100" s="2" t="str">
        <f t="shared" si="4"/>
        <v/>
      </c>
      <c r="I100" s="2" t="s">
        <v>2328</v>
      </c>
    </row>
    <row r="101" ht="15.75" customHeight="1">
      <c r="A101" s="2" t="s">
        <v>2329</v>
      </c>
      <c r="B101" s="1" t="s">
        <v>2182</v>
      </c>
      <c r="C101" s="32" t="s">
        <v>2257</v>
      </c>
      <c r="D101" s="2" t="str">
        <f t="shared" ref="D101:E101" si="102">TRIM(B101)</f>
        <v>Banani</v>
      </c>
      <c r="E101" s="2" t="str">
        <f t="shared" si="102"/>
        <v>Dhaka‐1213</v>
      </c>
      <c r="G101" s="2" t="str">
        <f t="shared" si="2"/>
        <v>Dhaka‐1213</v>
      </c>
      <c r="H101" s="2" t="str">
        <f t="shared" si="4"/>
        <v/>
      </c>
      <c r="I101" s="2" t="s">
        <v>2200</v>
      </c>
    </row>
    <row r="102" ht="15.75" customHeight="1">
      <c r="A102" s="2" t="s">
        <v>2308</v>
      </c>
      <c r="B102" s="1" t="s">
        <v>2255</v>
      </c>
      <c r="C102" s="32" t="s">
        <v>2252</v>
      </c>
      <c r="D102" s="2" t="str">
        <f t="shared" ref="D102:E102" si="103">TRIM(B102)</f>
        <v>Gulshan‐1</v>
      </c>
      <c r="E102" s="2" t="str">
        <f t="shared" si="103"/>
        <v>Dhaka‐1212</v>
      </c>
      <c r="G102" s="2" t="str">
        <f t="shared" si="2"/>
        <v>Dhaka‐1212</v>
      </c>
      <c r="H102" s="2" t="str">
        <f t="shared" si="4"/>
        <v/>
      </c>
      <c r="I102" s="2" t="s">
        <v>2256</v>
      </c>
    </row>
    <row r="103" ht="15.75" customHeight="1">
      <c r="A103" s="2" t="s">
        <v>2258</v>
      </c>
      <c r="B103" s="2" t="s">
        <v>2258</v>
      </c>
      <c r="C103" s="1" t="s">
        <v>2247</v>
      </c>
      <c r="D103" s="2" t="str">
        <f t="shared" ref="D103:E103" si="104">TRIM(B103)</f>
        <v>Mohammadpur</v>
      </c>
      <c r="E103" s="2" t="str">
        <f t="shared" si="104"/>
        <v>Dhaka‐1207</v>
      </c>
      <c r="G103" s="2" t="str">
        <f t="shared" si="2"/>
        <v>Dhaka‐1207</v>
      </c>
      <c r="H103" s="2" t="str">
        <f t="shared" si="4"/>
        <v/>
      </c>
      <c r="I103" s="2" t="s">
        <v>2259</v>
      </c>
    </row>
    <row r="104" ht="15.75" customHeight="1">
      <c r="A104" s="2" t="s">
        <v>2330</v>
      </c>
      <c r="B104" s="1" t="s">
        <v>2331</v>
      </c>
      <c r="C104" s="32" t="s">
        <v>2240</v>
      </c>
      <c r="D104" s="2" t="str">
        <f t="shared" ref="D104:E104" si="105">TRIM(B104)</f>
        <v>Bijay Nagar</v>
      </c>
      <c r="E104" s="2" t="str">
        <f t="shared" si="105"/>
        <v>Dhaka‐1000</v>
      </c>
      <c r="G104" s="2" t="str">
        <f t="shared" si="2"/>
        <v>Dhaka‐1000</v>
      </c>
      <c r="H104" s="2" t="str">
        <f t="shared" si="4"/>
        <v/>
      </c>
      <c r="I104" s="2" t="s">
        <v>2331</v>
      </c>
    </row>
    <row r="105" ht="15.75" customHeight="1">
      <c r="B105" s="1" t="s">
        <v>2332</v>
      </c>
      <c r="C105" s="32" t="s">
        <v>2244</v>
      </c>
      <c r="D105" s="2" t="str">
        <f t="shared" ref="D105:E105" si="106">TRIM(B105)</f>
        <v>DOHS Banani</v>
      </c>
      <c r="E105" s="2" t="str">
        <f t="shared" si="106"/>
        <v>Dhaka‐1206</v>
      </c>
      <c r="G105" s="2" t="str">
        <f t="shared" si="2"/>
        <v>Dhaka‐1206</v>
      </c>
      <c r="H105" s="2" t="str">
        <f t="shared" si="4"/>
        <v/>
      </c>
      <c r="I105" s="2" t="s">
        <v>2332</v>
      </c>
    </row>
    <row r="106" ht="15.75" customHeight="1">
      <c r="A106" s="2" t="s">
        <v>2333</v>
      </c>
      <c r="B106" s="2" t="s">
        <v>2258</v>
      </c>
      <c r="C106" s="1" t="s">
        <v>2247</v>
      </c>
      <c r="D106" s="2" t="str">
        <f t="shared" ref="D106:E106" si="107">TRIM(B106)</f>
        <v>Mohammadpur</v>
      </c>
      <c r="E106" s="2" t="str">
        <f t="shared" si="107"/>
        <v>Dhaka‐1207</v>
      </c>
      <c r="G106" s="2" t="str">
        <f t="shared" si="2"/>
        <v>Dhaka‐1207</v>
      </c>
      <c r="H106" s="2" t="str">
        <f t="shared" si="4"/>
        <v/>
      </c>
      <c r="I106" s="2" t="s">
        <v>2259</v>
      </c>
    </row>
    <row r="107" ht="15.75" customHeight="1">
      <c r="A107" s="2" t="s">
        <v>2334</v>
      </c>
      <c r="B107" s="2" t="s">
        <v>2225</v>
      </c>
      <c r="C107" s="1" t="s">
        <v>2250</v>
      </c>
      <c r="D107" s="2" t="str">
        <f t="shared" ref="D107:E107" si="108">TRIM(B107)</f>
        <v>Green road</v>
      </c>
      <c r="E107" s="2" t="str">
        <f t="shared" si="108"/>
        <v>Dhaka‐1205</v>
      </c>
      <c r="G107" s="2" t="str">
        <f t="shared" si="2"/>
        <v>Dhaka‐1205</v>
      </c>
      <c r="H107" s="2" t="str">
        <f t="shared" si="4"/>
        <v/>
      </c>
      <c r="I107" s="2" t="s">
        <v>2225</v>
      </c>
    </row>
    <row r="108" ht="15.75" customHeight="1">
      <c r="A108" s="2" t="s">
        <v>2335</v>
      </c>
      <c r="B108" s="1" t="s">
        <v>2171</v>
      </c>
      <c r="C108" s="32" t="s">
        <v>2164</v>
      </c>
      <c r="D108" s="2" t="str">
        <f t="shared" ref="D108:E108" si="109">TRIM(B108)</f>
        <v>Dhanmondi</v>
      </c>
      <c r="E108" s="2" t="str">
        <f t="shared" si="109"/>
        <v>Dhaka</v>
      </c>
      <c r="G108" s="2" t="str">
        <f t="shared" si="2"/>
        <v>Dhaka</v>
      </c>
      <c r="H108" s="2" t="str">
        <f t="shared" si="4"/>
        <v/>
      </c>
      <c r="I108" s="2" t="s">
        <v>2173</v>
      </c>
    </row>
    <row r="109" ht="15.75" customHeight="1">
      <c r="A109" s="2" t="s">
        <v>2336</v>
      </c>
      <c r="B109" s="1" t="s">
        <v>2337</v>
      </c>
      <c r="C109" s="32" t="s">
        <v>2338</v>
      </c>
      <c r="D109" s="2" t="str">
        <f t="shared" ref="D109:E109" si="110">TRIM(B109)</f>
        <v>Rajarbag</v>
      </c>
      <c r="E109" s="2" t="str">
        <f t="shared" si="110"/>
        <v>Dhaka‐1217</v>
      </c>
      <c r="G109" s="2" t="str">
        <f t="shared" si="2"/>
        <v>Dhaka‐1217</v>
      </c>
      <c r="H109" s="2" t="str">
        <f t="shared" si="4"/>
        <v/>
      </c>
      <c r="I109" s="2" t="s">
        <v>2339</v>
      </c>
    </row>
    <row r="110" ht="15.75" customHeight="1">
      <c r="A110" s="2" t="s">
        <v>2220</v>
      </c>
      <c r="B110" s="1" t="s">
        <v>2167</v>
      </c>
      <c r="C110" s="32" t="s">
        <v>2244</v>
      </c>
      <c r="D110" s="2" t="str">
        <f t="shared" ref="D110:E110" si="111">TRIM(B110)</f>
        <v>Mohakhali</v>
      </c>
      <c r="E110" s="2" t="str">
        <f t="shared" si="111"/>
        <v>Dhaka‐1206</v>
      </c>
      <c r="G110" s="2" t="str">
        <f t="shared" si="2"/>
        <v>Dhaka‐1206</v>
      </c>
      <c r="H110" s="2" t="str">
        <f t="shared" si="4"/>
        <v/>
      </c>
      <c r="I110" s="2" t="s">
        <v>2169</v>
      </c>
    </row>
    <row r="111" ht="15.75" customHeight="1">
      <c r="A111" s="2" t="s">
        <v>2340</v>
      </c>
      <c r="B111" s="1" t="s">
        <v>2242</v>
      </c>
      <c r="C111" s="32" t="s">
        <v>2341</v>
      </c>
      <c r="D111" s="2" t="str">
        <f t="shared" ref="D111:E111" si="112">TRIM(B111)</f>
        <v>Uttara</v>
      </c>
      <c r="E111" s="2" t="str">
        <f t="shared" si="112"/>
        <v>Dhaka 1230</v>
      </c>
      <c r="G111" s="2" t="str">
        <f t="shared" si="2"/>
        <v>Dhaka 1230</v>
      </c>
      <c r="H111" s="2" t="str">
        <f t="shared" si="4"/>
        <v/>
      </c>
      <c r="I111" s="2" t="s">
        <v>2161</v>
      </c>
    </row>
    <row r="112" ht="15.75" customHeight="1">
      <c r="A112" s="2" t="s">
        <v>2220</v>
      </c>
      <c r="B112" s="1" t="s">
        <v>2167</v>
      </c>
      <c r="C112" s="32" t="s">
        <v>2244</v>
      </c>
      <c r="D112" s="2" t="str">
        <f t="shared" ref="D112:E112" si="113">TRIM(B112)</f>
        <v>Mohakhali</v>
      </c>
      <c r="E112" s="2" t="str">
        <f t="shared" si="113"/>
        <v>Dhaka‐1206</v>
      </c>
      <c r="G112" s="2" t="str">
        <f t="shared" si="2"/>
        <v>Dhaka‐1206</v>
      </c>
      <c r="H112" s="2" t="str">
        <f t="shared" si="4"/>
        <v/>
      </c>
      <c r="I112" s="2" t="s">
        <v>2169</v>
      </c>
    </row>
    <row r="113" ht="15.75" customHeight="1">
      <c r="A113" s="2" t="s">
        <v>2342</v>
      </c>
      <c r="B113" s="1" t="s">
        <v>2343</v>
      </c>
      <c r="C113" s="1" t="s">
        <v>2344</v>
      </c>
      <c r="D113" s="2" t="str">
        <f t="shared" ref="D113:E113" si="114">TRIM(B113)</f>
        <v>Dhanmondi‐1205</v>
      </c>
      <c r="E113" s="2" t="str">
        <f t="shared" si="114"/>
        <v>Dhaka-1205</v>
      </c>
      <c r="G113" s="2" t="str">
        <f t="shared" si="2"/>
        <v>Dhaka-1205</v>
      </c>
      <c r="H113" s="2" t="str">
        <f t="shared" si="4"/>
        <v/>
      </c>
      <c r="I113" s="2" t="s">
        <v>2345</v>
      </c>
    </row>
    <row r="114" ht="15.75" customHeight="1">
      <c r="A114" s="2" t="s">
        <v>2249</v>
      </c>
      <c r="B114" s="2" t="s">
        <v>2249</v>
      </c>
      <c r="C114" s="1" t="s">
        <v>2250</v>
      </c>
      <c r="D114" s="2" t="str">
        <f t="shared" ref="D114:E114" si="115">TRIM(B114)</f>
        <v>Elephant Road</v>
      </c>
      <c r="E114" s="2" t="str">
        <f t="shared" si="115"/>
        <v>Dhaka‐1205</v>
      </c>
      <c r="G114" s="2" t="str">
        <f t="shared" si="2"/>
        <v>Dhaka‐1205</v>
      </c>
      <c r="H114" s="2" t="str">
        <f t="shared" si="4"/>
        <v/>
      </c>
      <c r="I114" s="2" t="s">
        <v>2249</v>
      </c>
    </row>
    <row r="115" ht="15.75" customHeight="1">
      <c r="A115" s="2" t="s">
        <v>2346</v>
      </c>
      <c r="B115" s="1" t="s">
        <v>2233</v>
      </c>
      <c r="C115" s="1" t="s">
        <v>2347</v>
      </c>
      <c r="D115" s="2" t="str">
        <f t="shared" ref="D115:E115" si="116">TRIM(B115)</f>
        <v>Dhanmondi R/A</v>
      </c>
      <c r="E115" s="2" t="str">
        <f t="shared" si="116"/>
        <v>Dhaka‐1205.</v>
      </c>
      <c r="G115" s="2" t="str">
        <f t="shared" si="2"/>
        <v>Dhaka‐1205.</v>
      </c>
      <c r="H115" s="2" t="str">
        <f t="shared" si="4"/>
        <v/>
      </c>
      <c r="I115" s="2" t="s">
        <v>2233</v>
      </c>
    </row>
    <row r="116" ht="15.75" customHeight="1">
      <c r="A116" s="2" t="s">
        <v>2348</v>
      </c>
      <c r="B116" s="1" t="s">
        <v>2266</v>
      </c>
      <c r="C116" s="32"/>
      <c r="D116" s="2" t="str">
        <f t="shared" ref="D116:E116" si="117">TRIM(B116)</f>
        <v>Banani</v>
      </c>
      <c r="E116" s="2" t="str">
        <f t="shared" si="117"/>
        <v/>
      </c>
      <c r="G116" s="2" t="str">
        <f t="shared" si="2"/>
        <v/>
      </c>
      <c r="H116" s="2" t="str">
        <f t="shared" si="4"/>
        <v/>
      </c>
      <c r="I116" s="2" t="s">
        <v>2200</v>
      </c>
    </row>
    <row r="117" ht="15.75" customHeight="1">
      <c r="A117" s="2" t="s">
        <v>2349</v>
      </c>
      <c r="B117" s="1" t="s">
        <v>2350</v>
      </c>
      <c r="C117" s="32"/>
      <c r="D117" s="2" t="str">
        <f t="shared" ref="D117:E117" si="118">TRIM(B117)</f>
        <v>Muradpur</v>
      </c>
      <c r="E117" s="2" t="str">
        <f t="shared" si="118"/>
        <v/>
      </c>
      <c r="G117" s="2" t="str">
        <f t="shared" si="2"/>
        <v/>
      </c>
      <c r="H117" s="2" t="str">
        <f t="shared" si="4"/>
        <v/>
      </c>
      <c r="I117" s="2" t="s">
        <v>2351</v>
      </c>
    </row>
    <row r="118" ht="15.75" customHeight="1">
      <c r="A118" s="2" t="s">
        <v>2352</v>
      </c>
      <c r="B118" s="1" t="s">
        <v>2204</v>
      </c>
      <c r="C118" s="32" t="s">
        <v>2243</v>
      </c>
      <c r="D118" s="2" t="str">
        <f t="shared" ref="D118:E118" si="119">TRIM(B118)</f>
        <v>Uttara</v>
      </c>
      <c r="E118" s="2" t="str">
        <f t="shared" si="119"/>
        <v>Dhaka‐1230</v>
      </c>
      <c r="G118" s="2" t="str">
        <f t="shared" si="2"/>
        <v>Dhaka‐1230</v>
      </c>
      <c r="H118" s="2" t="str">
        <f t="shared" si="4"/>
        <v/>
      </c>
      <c r="I118" s="2" t="s">
        <v>2161</v>
      </c>
    </row>
    <row r="119" ht="15.75" customHeight="1">
      <c r="A119" s="2" t="s">
        <v>2353</v>
      </c>
      <c r="B119" s="1" t="s">
        <v>2194</v>
      </c>
      <c r="C119" s="32" t="s">
        <v>2247</v>
      </c>
      <c r="D119" s="2" t="str">
        <f t="shared" ref="D119:E119" si="120">TRIM(B119)</f>
        <v>Shamoly</v>
      </c>
      <c r="E119" s="2" t="str">
        <f t="shared" si="120"/>
        <v>Dhaka‐1207</v>
      </c>
      <c r="G119" s="2" t="str">
        <f t="shared" si="2"/>
        <v>Dhaka‐1207</v>
      </c>
      <c r="H119" s="2" t="str">
        <f t="shared" si="4"/>
        <v/>
      </c>
      <c r="I119" s="2" t="s">
        <v>2195</v>
      </c>
    </row>
    <row r="120" ht="15.75" customHeight="1">
      <c r="A120" s="2">
        <v>3.0</v>
      </c>
      <c r="B120" s="1" t="s">
        <v>2354</v>
      </c>
      <c r="C120" s="32" t="s">
        <v>2164</v>
      </c>
      <c r="D120" s="2" t="str">
        <f t="shared" ref="D120:E120" si="121">TRIM(B120)</f>
        <v>West Panthapoth</v>
      </c>
      <c r="E120" s="2" t="str">
        <f t="shared" si="121"/>
        <v>Dhaka</v>
      </c>
      <c r="G120" s="2" t="str">
        <f t="shared" si="2"/>
        <v>Dhaka</v>
      </c>
      <c r="H120" s="2" t="str">
        <f t="shared" si="4"/>
        <v/>
      </c>
      <c r="I120" s="2" t="s">
        <v>2355</v>
      </c>
    </row>
    <row r="121" ht="15.75" customHeight="1">
      <c r="A121" s="2" t="s">
        <v>2258</v>
      </c>
      <c r="B121" s="2" t="s">
        <v>2258</v>
      </c>
      <c r="C121" s="1" t="s">
        <v>2268</v>
      </c>
      <c r="D121" s="2" t="str">
        <f t="shared" ref="D121:E121" si="122">TRIM(B121)</f>
        <v>Mohammadpur</v>
      </c>
      <c r="E121" s="2" t="str">
        <f t="shared" si="122"/>
        <v>Dhaka‐1209</v>
      </c>
      <c r="G121" s="2" t="str">
        <f t="shared" si="2"/>
        <v>Dhaka‐1209</v>
      </c>
      <c r="H121" s="2" t="str">
        <f t="shared" si="4"/>
        <v/>
      </c>
      <c r="I121" s="2" t="s">
        <v>2259</v>
      </c>
    </row>
    <row r="122" ht="15.75" customHeight="1">
      <c r="A122" s="2" t="s">
        <v>2220</v>
      </c>
      <c r="B122" s="1" t="s">
        <v>2167</v>
      </c>
      <c r="C122" s="32" t="s">
        <v>2221</v>
      </c>
      <c r="D122" s="2" t="str">
        <f t="shared" ref="D122:E122" si="123">TRIM(B122)</f>
        <v>Mohakhali</v>
      </c>
      <c r="E122" s="2" t="str">
        <f t="shared" si="123"/>
        <v>Dhaka 1206</v>
      </c>
      <c r="G122" s="2" t="str">
        <f t="shared" si="2"/>
        <v>Dhaka 1206</v>
      </c>
      <c r="H122" s="2" t="str">
        <f t="shared" si="4"/>
        <v/>
      </c>
      <c r="I122" s="2" t="s">
        <v>2169</v>
      </c>
    </row>
    <row r="123" ht="15.75" customHeight="1">
      <c r="A123" s="2" t="s">
        <v>2356</v>
      </c>
      <c r="B123" s="1" t="s">
        <v>2185</v>
      </c>
      <c r="C123" s="32"/>
      <c r="D123" s="2" t="str">
        <f t="shared" ref="D123:E123" si="124">TRIM(B123)</f>
        <v>Lalmatia</v>
      </c>
      <c r="E123" s="2" t="str">
        <f t="shared" si="124"/>
        <v/>
      </c>
      <c r="G123" s="2" t="str">
        <f t="shared" si="2"/>
        <v/>
      </c>
      <c r="H123" s="2" t="str">
        <f t="shared" si="4"/>
        <v/>
      </c>
      <c r="I123" s="2" t="s">
        <v>2187</v>
      </c>
    </row>
    <row r="124" ht="15.75" customHeight="1">
      <c r="A124" s="2" t="s">
        <v>2241</v>
      </c>
      <c r="B124" s="1" t="s">
        <v>2242</v>
      </c>
      <c r="C124" s="1" t="s">
        <v>2243</v>
      </c>
      <c r="D124" s="2" t="str">
        <f t="shared" ref="D124:E124" si="125">TRIM(B124)</f>
        <v>Uttara</v>
      </c>
      <c r="E124" s="2" t="str">
        <f t="shared" si="125"/>
        <v>Dhaka‐1230</v>
      </c>
      <c r="G124" s="2" t="str">
        <f t="shared" si="2"/>
        <v>Dhaka‐1230</v>
      </c>
      <c r="H124" s="2" t="str">
        <f t="shared" si="4"/>
        <v/>
      </c>
      <c r="I124" s="2" t="s">
        <v>2161</v>
      </c>
    </row>
    <row r="125" ht="15.75" customHeight="1">
      <c r="A125" s="2" t="s">
        <v>2233</v>
      </c>
      <c r="B125" s="2" t="s">
        <v>2233</v>
      </c>
      <c r="C125" s="1" t="s">
        <v>2250</v>
      </c>
      <c r="D125" s="2" t="str">
        <f t="shared" ref="D125:E125" si="126">TRIM(B125)</f>
        <v>Dhanmondi R/A</v>
      </c>
      <c r="E125" s="2" t="str">
        <f t="shared" si="126"/>
        <v>Dhaka‐1205</v>
      </c>
      <c r="G125" s="2" t="str">
        <f t="shared" si="2"/>
        <v>Dhaka‐1205</v>
      </c>
      <c r="H125" s="2" t="str">
        <f t="shared" si="4"/>
        <v/>
      </c>
      <c r="I125" s="2" t="s">
        <v>2233</v>
      </c>
    </row>
    <row r="126" ht="15.75" customHeight="1">
      <c r="A126" s="2" t="s">
        <v>2357</v>
      </c>
      <c r="B126" s="1" t="s">
        <v>2182</v>
      </c>
      <c r="C126" s="32" t="s">
        <v>2257</v>
      </c>
      <c r="D126" s="2" t="str">
        <f t="shared" ref="D126:E126" si="127">TRIM(B126)</f>
        <v>Banani</v>
      </c>
      <c r="E126" s="2" t="str">
        <f t="shared" si="127"/>
        <v>Dhaka‐1213</v>
      </c>
      <c r="G126" s="2" t="str">
        <f t="shared" si="2"/>
        <v>Dhaka‐1213</v>
      </c>
      <c r="H126" s="2" t="str">
        <f t="shared" si="4"/>
        <v/>
      </c>
      <c r="I126" s="2" t="s">
        <v>2200</v>
      </c>
    </row>
    <row r="127" ht="15.75" customHeight="1">
      <c r="A127" s="2" t="s">
        <v>2358</v>
      </c>
      <c r="B127" s="1"/>
      <c r="C127" s="32"/>
      <c r="D127" s="2" t="str">
        <f t="shared" ref="D127:E127" si="128">TRIM(B127)</f>
        <v/>
      </c>
      <c r="E127" s="2" t="str">
        <f t="shared" si="128"/>
        <v/>
      </c>
      <c r="G127" s="2" t="str">
        <f t="shared" si="2"/>
        <v/>
      </c>
      <c r="H127" s="2" t="str">
        <f t="shared" si="4"/>
        <v/>
      </c>
      <c r="I127" s="2" t="s">
        <v>2202</v>
      </c>
    </row>
    <row r="128" ht="15.75" customHeight="1">
      <c r="A128" s="2">
        <v>14.0</v>
      </c>
      <c r="B128" s="1" t="s">
        <v>2255</v>
      </c>
      <c r="C128" s="32" t="s">
        <v>2252</v>
      </c>
      <c r="D128" s="2" t="str">
        <f t="shared" ref="D128:E128" si="129">TRIM(B128)</f>
        <v>Gulshan‐1</v>
      </c>
      <c r="E128" s="2" t="str">
        <f t="shared" si="129"/>
        <v>Dhaka‐1212</v>
      </c>
      <c r="G128" s="2" t="str">
        <f t="shared" si="2"/>
        <v>Dhaka‐1212</v>
      </c>
      <c r="H128" s="2" t="str">
        <f t="shared" si="4"/>
        <v/>
      </c>
      <c r="I128" s="2" t="s">
        <v>2256</v>
      </c>
    </row>
    <row r="129" ht="15.75" customHeight="1">
      <c r="A129" s="2" t="s">
        <v>2220</v>
      </c>
      <c r="B129" s="1" t="s">
        <v>2167</v>
      </c>
      <c r="C129" s="32" t="s">
        <v>2244</v>
      </c>
      <c r="D129" s="2" t="str">
        <f t="shared" ref="D129:E129" si="130">TRIM(B129)</f>
        <v>Mohakhali</v>
      </c>
      <c r="E129" s="2" t="str">
        <f t="shared" si="130"/>
        <v>Dhaka‐1206</v>
      </c>
      <c r="G129" s="2" t="str">
        <f t="shared" si="2"/>
        <v>Dhaka‐1206</v>
      </c>
      <c r="H129" s="2" t="str">
        <f t="shared" si="4"/>
        <v/>
      </c>
      <c r="I129" s="2" t="s">
        <v>2169</v>
      </c>
    </row>
    <row r="130" ht="15.75" customHeight="1">
      <c r="A130" s="2" t="s">
        <v>2359</v>
      </c>
      <c r="B130" s="1" t="s">
        <v>2266</v>
      </c>
      <c r="C130" s="32" t="s">
        <v>2257</v>
      </c>
      <c r="D130" s="2" t="str">
        <f t="shared" ref="D130:E130" si="131">TRIM(B130)</f>
        <v>Banani</v>
      </c>
      <c r="E130" s="2" t="str">
        <f t="shared" si="131"/>
        <v>Dhaka‐1213</v>
      </c>
      <c r="G130" s="2" t="str">
        <f t="shared" si="2"/>
        <v>Dhaka‐1213</v>
      </c>
      <c r="H130" s="2" t="str">
        <f t="shared" si="4"/>
        <v/>
      </c>
      <c r="I130" s="2" t="s">
        <v>2200</v>
      </c>
    </row>
    <row r="131" ht="15.75" customHeight="1">
      <c r="A131" s="2" t="s">
        <v>2270</v>
      </c>
      <c r="B131" s="2" t="s">
        <v>2270</v>
      </c>
      <c r="C131" s="1" t="s">
        <v>2268</v>
      </c>
      <c r="D131" s="2" t="str">
        <f t="shared" ref="D131:E131" si="132">TRIM(B131)</f>
        <v>Dhanmond R/A</v>
      </c>
      <c r="E131" s="2" t="str">
        <f t="shared" si="132"/>
        <v>Dhaka‐1209</v>
      </c>
      <c r="G131" s="2" t="str">
        <f t="shared" si="2"/>
        <v>Dhaka‐1209</v>
      </c>
      <c r="H131" s="2" t="str">
        <f t="shared" si="4"/>
        <v/>
      </c>
      <c r="I131" s="2" t="s">
        <v>2271</v>
      </c>
    </row>
    <row r="132" ht="15.75" customHeight="1">
      <c r="A132" s="2" t="s">
        <v>2360</v>
      </c>
      <c r="B132" s="1" t="s">
        <v>2182</v>
      </c>
      <c r="C132" s="32" t="s">
        <v>2257</v>
      </c>
      <c r="D132" s="2" t="str">
        <f t="shared" ref="D132:E132" si="133">TRIM(B132)</f>
        <v>Banani</v>
      </c>
      <c r="E132" s="2" t="str">
        <f t="shared" si="133"/>
        <v>Dhaka‐1213</v>
      </c>
      <c r="G132" s="2" t="str">
        <f t="shared" si="2"/>
        <v>Dhaka‐1213</v>
      </c>
      <c r="H132" s="2" t="str">
        <f t="shared" si="4"/>
        <v/>
      </c>
      <c r="I132" s="2" t="s">
        <v>2200</v>
      </c>
    </row>
    <row r="133" ht="15.75" customHeight="1">
      <c r="A133" s="2" t="s">
        <v>2176</v>
      </c>
      <c r="B133" s="1" t="s">
        <v>2177</v>
      </c>
      <c r="C133" s="32" t="s">
        <v>2250</v>
      </c>
      <c r="D133" s="2" t="str">
        <f t="shared" ref="D133:E133" si="134">TRIM(B133)</f>
        <v>Kalabagan</v>
      </c>
      <c r="E133" s="2" t="str">
        <f t="shared" si="134"/>
        <v>Dhaka‐1205</v>
      </c>
      <c r="G133" s="2" t="str">
        <f t="shared" si="2"/>
        <v>Dhaka‐1205</v>
      </c>
      <c r="H133" s="2" t="str">
        <f t="shared" si="4"/>
        <v/>
      </c>
      <c r="I133" s="2" t="s">
        <v>2179</v>
      </c>
    </row>
    <row r="134" ht="15.75" customHeight="1">
      <c r="A134" s="2" t="s">
        <v>2220</v>
      </c>
      <c r="B134" s="1" t="s">
        <v>2167</v>
      </c>
      <c r="C134" s="32" t="s">
        <v>2244</v>
      </c>
      <c r="D134" s="2" t="str">
        <f t="shared" ref="D134:E134" si="135">TRIM(B134)</f>
        <v>Mohakhali</v>
      </c>
      <c r="E134" s="2" t="str">
        <f t="shared" si="135"/>
        <v>Dhaka‐1206</v>
      </c>
      <c r="G134" s="2" t="str">
        <f t="shared" si="2"/>
        <v>Dhaka‐1206</v>
      </c>
      <c r="H134" s="2" t="str">
        <f t="shared" si="4"/>
        <v/>
      </c>
      <c r="I134" s="2" t="s">
        <v>2169</v>
      </c>
    </row>
    <row r="135" ht="15.75" customHeight="1">
      <c r="A135" s="2" t="s">
        <v>2237</v>
      </c>
      <c r="B135" s="1" t="s">
        <v>2171</v>
      </c>
      <c r="C135" s="32" t="s">
        <v>2268</v>
      </c>
      <c r="D135" s="2" t="str">
        <f t="shared" ref="D135:E135" si="136">TRIM(B135)</f>
        <v>Dhanmondi</v>
      </c>
      <c r="E135" s="2" t="str">
        <f t="shared" si="136"/>
        <v>Dhaka‐1209</v>
      </c>
      <c r="G135" s="2" t="str">
        <f t="shared" si="2"/>
        <v>Dhaka‐1209</v>
      </c>
      <c r="H135" s="2" t="str">
        <f t="shared" si="4"/>
        <v/>
      </c>
      <c r="I135" s="2" t="s">
        <v>2173</v>
      </c>
    </row>
    <row r="136" ht="15.75" customHeight="1">
      <c r="A136" s="2" t="s">
        <v>2352</v>
      </c>
      <c r="B136" s="1" t="s">
        <v>2204</v>
      </c>
      <c r="C136" s="32" t="s">
        <v>2243</v>
      </c>
      <c r="D136" s="2" t="str">
        <f t="shared" ref="D136:E136" si="137">TRIM(B136)</f>
        <v>Uttara</v>
      </c>
      <c r="E136" s="2" t="str">
        <f t="shared" si="137"/>
        <v>Dhaka‐1230</v>
      </c>
      <c r="G136" s="2" t="str">
        <f t="shared" si="2"/>
        <v>Dhaka‐1230</v>
      </c>
      <c r="H136" s="2" t="str">
        <f t="shared" si="4"/>
        <v/>
      </c>
      <c r="I136" s="2" t="s">
        <v>2161</v>
      </c>
    </row>
    <row r="137" ht="15.75" customHeight="1">
      <c r="A137" s="2" t="s">
        <v>2361</v>
      </c>
      <c r="B137" s="2" t="s">
        <v>2197</v>
      </c>
      <c r="C137" s="1" t="s">
        <v>2250</v>
      </c>
      <c r="D137" s="2" t="str">
        <f t="shared" ref="D137:E137" si="138">TRIM(B137)</f>
        <v>Green Road</v>
      </c>
      <c r="E137" s="2" t="str">
        <f t="shared" si="138"/>
        <v>Dhaka‐1205</v>
      </c>
      <c r="G137" s="2" t="str">
        <f t="shared" si="2"/>
        <v>Dhaka‐1205</v>
      </c>
      <c r="H137" s="2" t="str">
        <f t="shared" si="4"/>
        <v/>
      </c>
      <c r="I137" s="2" t="s">
        <v>2197</v>
      </c>
    </row>
    <row r="138" ht="15.75" customHeight="1">
      <c r="A138" s="2" t="s">
        <v>2362</v>
      </c>
      <c r="B138" s="1" t="s">
        <v>2289</v>
      </c>
      <c r="C138" s="32" t="s">
        <v>2363</v>
      </c>
      <c r="D138" s="2" t="str">
        <f t="shared" ref="D138:E138" si="139">TRIM(B138)</f>
        <v>Gulshan</v>
      </c>
      <c r="E138" s="2" t="str">
        <f t="shared" si="139"/>
        <v>Dhaka‐1212.</v>
      </c>
      <c r="G138" s="2" t="str">
        <f t="shared" si="2"/>
        <v>Dhaka‐1212.</v>
      </c>
      <c r="H138" s="2" t="str">
        <f t="shared" si="4"/>
        <v/>
      </c>
      <c r="I138" s="2" t="s">
        <v>2291</v>
      </c>
    </row>
    <row r="139" ht="15.75" customHeight="1">
      <c r="A139" s="2" t="s">
        <v>2364</v>
      </c>
      <c r="B139" s="1" t="s">
        <v>2266</v>
      </c>
      <c r="C139" s="32" t="s">
        <v>2318</v>
      </c>
      <c r="D139" s="2" t="str">
        <f t="shared" ref="D139:E139" si="140">TRIM(B139)</f>
        <v>Banani</v>
      </c>
      <c r="E139" s="2" t="str">
        <f t="shared" si="140"/>
        <v>Dhaka 1213.</v>
      </c>
      <c r="G139" s="2" t="str">
        <f t="shared" si="2"/>
        <v>Dhaka 1213.</v>
      </c>
      <c r="H139" s="2" t="str">
        <f t="shared" si="4"/>
        <v/>
      </c>
      <c r="I139" s="2" t="s">
        <v>2200</v>
      </c>
    </row>
    <row r="140" ht="15.75" customHeight="1">
      <c r="A140" s="2" t="s">
        <v>2365</v>
      </c>
      <c r="B140" s="1" t="s">
        <v>2255</v>
      </c>
      <c r="C140" s="32" t="s">
        <v>2168</v>
      </c>
      <c r="D140" s="2" t="str">
        <f t="shared" ref="D140:E140" si="141">TRIM(B140)</f>
        <v>Gulshan‐1</v>
      </c>
      <c r="E140" s="2" t="str">
        <f t="shared" si="141"/>
        <v>Dhaka 1206.</v>
      </c>
      <c r="G140" s="2" t="str">
        <f t="shared" si="2"/>
        <v>Dhaka 1206.</v>
      </c>
      <c r="H140" s="2" t="str">
        <f t="shared" si="4"/>
        <v/>
      </c>
      <c r="I140" s="2" t="s">
        <v>2256</v>
      </c>
    </row>
    <row r="141" ht="15.75" customHeight="1">
      <c r="A141" s="2" t="s">
        <v>2366</v>
      </c>
      <c r="B141" s="1" t="s">
        <v>2367</v>
      </c>
      <c r="C141" s="32" t="s">
        <v>2268</v>
      </c>
      <c r="D141" s="2" t="str">
        <f t="shared" ref="D141:E141" si="142">TRIM(B141)</f>
        <v>Zigatola</v>
      </c>
      <c r="E141" s="2" t="str">
        <f t="shared" si="142"/>
        <v>Dhaka‐1209</v>
      </c>
      <c r="G141" s="2" t="str">
        <f t="shared" si="2"/>
        <v>Dhaka‐1209</v>
      </c>
      <c r="H141" s="2" t="str">
        <f t="shared" si="4"/>
        <v/>
      </c>
      <c r="I141" s="2" t="s">
        <v>2368</v>
      </c>
    </row>
    <row r="142" ht="15.75" customHeight="1">
      <c r="A142" s="2" t="s">
        <v>2369</v>
      </c>
      <c r="B142" s="2" t="s">
        <v>2370</v>
      </c>
      <c r="C142" s="1" t="s">
        <v>2261</v>
      </c>
      <c r="D142" s="2" t="str">
        <f t="shared" ref="D142:E142" si="143">TRIM(B142)</f>
        <v>Sangshad Avenue</v>
      </c>
      <c r="E142" s="2" t="str">
        <f t="shared" si="143"/>
        <v>Dhaka‐1215</v>
      </c>
      <c r="G142" s="2" t="str">
        <f t="shared" si="2"/>
        <v>Dhaka‐1215</v>
      </c>
      <c r="H142" s="2" t="str">
        <f t="shared" si="4"/>
        <v/>
      </c>
      <c r="I142" s="2" t="s">
        <v>2370</v>
      </c>
    </row>
    <row r="143" ht="15.75" customHeight="1">
      <c r="A143" s="2" t="s">
        <v>2220</v>
      </c>
      <c r="B143" s="1" t="s">
        <v>2167</v>
      </c>
      <c r="C143" s="32" t="s">
        <v>2244</v>
      </c>
      <c r="D143" s="2" t="str">
        <f t="shared" ref="D143:E143" si="144">TRIM(B143)</f>
        <v>Mohakhali</v>
      </c>
      <c r="E143" s="2" t="str">
        <f t="shared" si="144"/>
        <v>Dhaka‐1206</v>
      </c>
      <c r="H143" s="2" t="str">
        <f t="shared" si="4"/>
        <v/>
      </c>
      <c r="I143" s="2" t="s">
        <v>2169</v>
      </c>
    </row>
    <row r="144" ht="15.75" customHeight="1">
      <c r="B144" s="1"/>
      <c r="C144" s="32"/>
    </row>
    <row r="145" ht="15.75" customHeight="1">
      <c r="B145" s="1"/>
      <c r="C145" s="32"/>
    </row>
    <row r="146" ht="15.75" customHeight="1">
      <c r="B146" s="1"/>
      <c r="C146" s="32"/>
    </row>
    <row r="147" ht="15.75" customHeight="1">
      <c r="B147" s="1"/>
      <c r="C147" s="32"/>
    </row>
    <row r="148" ht="15.75" customHeight="1">
      <c r="B148" s="1"/>
      <c r="C148" s="32"/>
    </row>
    <row r="149" ht="15.75" customHeight="1">
      <c r="B149" s="1"/>
      <c r="C149" s="32"/>
    </row>
    <row r="150" ht="15.75" customHeight="1">
      <c r="B150" s="1"/>
      <c r="C150" s="32"/>
    </row>
    <row r="151" ht="15.75" customHeight="1">
      <c r="B151" s="1"/>
      <c r="C151" s="32"/>
    </row>
    <row r="152" ht="15.75" customHeight="1">
      <c r="B152" s="1"/>
      <c r="C152" s="32"/>
    </row>
    <row r="153" ht="15.75" customHeight="1">
      <c r="B153" s="1"/>
      <c r="C153" s="32"/>
    </row>
    <row r="154" ht="15.75" customHeight="1">
      <c r="B154" s="1"/>
      <c r="C154" s="32"/>
    </row>
    <row r="155" ht="15.75" customHeight="1">
      <c r="B155" s="1"/>
      <c r="C155" s="32"/>
    </row>
    <row r="156" ht="15.75" customHeight="1">
      <c r="B156" s="1"/>
      <c r="C156" s="32"/>
    </row>
    <row r="157" ht="15.75" customHeight="1">
      <c r="B157" s="1"/>
      <c r="C157" s="32"/>
    </row>
    <row r="158" ht="15.75" customHeight="1">
      <c r="B158" s="1"/>
      <c r="C158" s="32"/>
    </row>
    <row r="159" ht="15.75" customHeight="1">
      <c r="B159" s="1"/>
      <c r="C159" s="32"/>
    </row>
    <row r="160" ht="15.75" customHeight="1">
      <c r="B160" s="1"/>
      <c r="C160" s="32"/>
    </row>
    <row r="161" ht="15.75" customHeight="1">
      <c r="B161" s="1"/>
      <c r="C161" s="32"/>
    </row>
    <row r="162" ht="15.75" customHeight="1">
      <c r="B162" s="1"/>
      <c r="C162" s="32"/>
    </row>
    <row r="163" ht="15.75" customHeight="1">
      <c r="B163" s="1"/>
      <c r="C163" s="32"/>
    </row>
    <row r="164" ht="15.75" customHeight="1">
      <c r="B164" s="1"/>
      <c r="C164" s="32"/>
    </row>
    <row r="165" ht="15.75" customHeight="1">
      <c r="B165" s="1"/>
      <c r="C165" s="32"/>
    </row>
    <row r="166" ht="15.75" customHeight="1">
      <c r="B166" s="1"/>
      <c r="C166" s="32"/>
    </row>
    <row r="167" ht="15.75" customHeight="1">
      <c r="B167" s="1"/>
      <c r="C167" s="32"/>
    </row>
    <row r="168" ht="15.75" customHeight="1">
      <c r="B168" s="1"/>
      <c r="C168" s="32"/>
    </row>
    <row r="169" ht="15.75" customHeight="1">
      <c r="B169" s="1"/>
      <c r="C169" s="32"/>
    </row>
    <row r="170" ht="15.75" customHeight="1">
      <c r="B170" s="1"/>
      <c r="C170" s="32"/>
    </row>
    <row r="171" ht="15.75" customHeight="1">
      <c r="B171" s="1"/>
      <c r="C171" s="32"/>
    </row>
    <row r="172" ht="15.75" customHeight="1">
      <c r="B172" s="1"/>
      <c r="C172" s="32"/>
    </row>
    <row r="173" ht="15.75" customHeight="1">
      <c r="B173" s="1"/>
      <c r="C173" s="32"/>
    </row>
    <row r="174" ht="15.75" customHeight="1">
      <c r="B174" s="1"/>
      <c r="C174" s="32"/>
    </row>
    <row r="175" ht="15.75" customHeight="1">
      <c r="B175" s="1"/>
      <c r="C175" s="32"/>
    </row>
    <row r="176" ht="15.75" customHeight="1">
      <c r="B176" s="1"/>
      <c r="C176" s="32"/>
    </row>
    <row r="177" ht="15.75" customHeight="1">
      <c r="B177" s="1"/>
      <c r="C177" s="32"/>
    </row>
    <row r="178" ht="15.75" customHeight="1">
      <c r="B178" s="1"/>
      <c r="C178" s="32"/>
    </row>
    <row r="179" ht="15.75" customHeight="1">
      <c r="B179" s="1"/>
      <c r="C179" s="32"/>
    </row>
    <row r="180" ht="15.75" customHeight="1">
      <c r="B180" s="1"/>
      <c r="C180" s="32"/>
    </row>
    <row r="181" ht="15.75" customHeight="1">
      <c r="B181" s="1"/>
      <c r="C181" s="32"/>
    </row>
    <row r="182" ht="15.75" customHeight="1">
      <c r="B182" s="1"/>
      <c r="C182" s="32"/>
    </row>
    <row r="183" ht="15.75" customHeight="1">
      <c r="B183" s="1"/>
      <c r="C183" s="32"/>
    </row>
    <row r="184" ht="15.75" customHeight="1">
      <c r="B184" s="1"/>
      <c r="C184" s="32"/>
    </row>
    <row r="185" ht="15.75" customHeight="1">
      <c r="B185" s="1"/>
      <c r="C185" s="32"/>
    </row>
    <row r="186" ht="15.75" customHeight="1">
      <c r="B186" s="1"/>
      <c r="C186" s="32"/>
    </row>
    <row r="187" ht="15.75" customHeight="1">
      <c r="B187" s="1"/>
      <c r="C187" s="32"/>
    </row>
    <row r="188" ht="15.75" customHeight="1">
      <c r="B188" s="1"/>
      <c r="C188" s="32"/>
    </row>
    <row r="189" ht="15.75" customHeight="1">
      <c r="B189" s="1"/>
      <c r="C189" s="32"/>
    </row>
    <row r="190" ht="15.75" customHeight="1">
      <c r="B190" s="1"/>
      <c r="C190" s="32"/>
    </row>
    <row r="191" ht="15.75" customHeight="1">
      <c r="B191" s="1"/>
      <c r="C191" s="32"/>
    </row>
    <row r="192" ht="15.75" customHeight="1">
      <c r="B192" s="1"/>
      <c r="C192" s="32"/>
    </row>
    <row r="193" ht="15.75" customHeight="1">
      <c r="B193" s="1"/>
      <c r="C193" s="32"/>
    </row>
    <row r="194" ht="15.75" customHeight="1">
      <c r="B194" s="1"/>
      <c r="C194" s="32"/>
    </row>
    <row r="195" ht="15.75" customHeight="1">
      <c r="B195" s="1"/>
      <c r="C195" s="32"/>
    </row>
    <row r="196" ht="15.75" customHeight="1">
      <c r="B196" s="1"/>
      <c r="C196" s="32"/>
    </row>
    <row r="197" ht="15.75" customHeight="1">
      <c r="B197" s="1"/>
      <c r="C197" s="32"/>
    </row>
    <row r="198" ht="15.75" customHeight="1">
      <c r="B198" s="1"/>
      <c r="C198" s="32"/>
    </row>
    <row r="199" ht="15.75" customHeight="1">
      <c r="B199" s="1"/>
      <c r="C199" s="32"/>
    </row>
    <row r="200" ht="15.75" customHeight="1">
      <c r="B200" s="1"/>
      <c r="C200" s="32"/>
    </row>
    <row r="201" ht="15.75" customHeight="1">
      <c r="B201" s="1"/>
      <c r="C201" s="32"/>
    </row>
    <row r="202" ht="15.75" customHeight="1">
      <c r="B202" s="1"/>
      <c r="C202" s="32"/>
    </row>
    <row r="203" ht="15.75" customHeight="1">
      <c r="B203" s="1"/>
      <c r="C203" s="32"/>
    </row>
    <row r="204" ht="15.75" customHeight="1">
      <c r="B204" s="1"/>
      <c r="C204" s="32"/>
    </row>
    <row r="205" ht="15.75" customHeight="1">
      <c r="B205" s="1"/>
      <c r="C205" s="32"/>
    </row>
    <row r="206" ht="15.75" customHeight="1">
      <c r="B206" s="1"/>
      <c r="C206" s="32"/>
    </row>
    <row r="207" ht="15.75" customHeight="1">
      <c r="B207" s="1"/>
      <c r="C207" s="32"/>
    </row>
    <row r="208" ht="15.75" customHeight="1">
      <c r="B208" s="1"/>
      <c r="C208" s="32"/>
    </row>
    <row r="209" ht="15.75" customHeight="1">
      <c r="B209" s="1"/>
      <c r="C209" s="32"/>
    </row>
    <row r="210" ht="15.75" customHeight="1">
      <c r="B210" s="1"/>
      <c r="C210" s="32"/>
    </row>
    <row r="211" ht="15.75" customHeight="1">
      <c r="B211" s="1"/>
      <c r="C211" s="32"/>
    </row>
    <row r="212" ht="15.75" customHeight="1">
      <c r="B212" s="1"/>
      <c r="C212" s="32"/>
    </row>
    <row r="213" ht="15.75" customHeight="1">
      <c r="B213" s="1"/>
      <c r="C213" s="32"/>
    </row>
    <row r="214" ht="15.75" customHeight="1">
      <c r="B214" s="1"/>
      <c r="C214" s="32"/>
    </row>
    <row r="215" ht="15.75" customHeight="1">
      <c r="B215" s="1"/>
      <c r="C215" s="32"/>
    </row>
    <row r="216" ht="15.75" customHeight="1">
      <c r="B216" s="1"/>
      <c r="C216" s="32"/>
    </row>
    <row r="217" ht="15.75" customHeight="1">
      <c r="B217" s="1"/>
      <c r="C217" s="32"/>
    </row>
    <row r="218" ht="15.75" customHeight="1">
      <c r="B218" s="1"/>
      <c r="C218" s="32"/>
    </row>
    <row r="219" ht="15.75" customHeight="1">
      <c r="B219" s="1"/>
      <c r="C219" s="32"/>
    </row>
    <row r="220" ht="15.75" customHeight="1">
      <c r="B220" s="1"/>
      <c r="C220" s="32"/>
    </row>
    <row r="221" ht="15.75" customHeight="1">
      <c r="B221" s="1"/>
      <c r="C221" s="32"/>
    </row>
    <row r="222" ht="15.75" customHeight="1">
      <c r="B222" s="1"/>
      <c r="C222" s="32"/>
    </row>
    <row r="223" ht="15.75" customHeight="1">
      <c r="B223" s="1"/>
      <c r="C223" s="32"/>
    </row>
    <row r="224" ht="15.75" customHeight="1">
      <c r="B224" s="1"/>
      <c r="C224" s="32"/>
    </row>
    <row r="225" ht="15.75" customHeight="1">
      <c r="B225" s="1"/>
      <c r="C225" s="32"/>
    </row>
    <row r="226" ht="15.75" customHeight="1">
      <c r="B226" s="1"/>
      <c r="C226" s="32"/>
    </row>
    <row r="227" ht="15.75" customHeight="1">
      <c r="B227" s="1"/>
      <c r="C227" s="32"/>
    </row>
    <row r="228" ht="15.75" customHeight="1">
      <c r="B228" s="1"/>
      <c r="C228" s="32"/>
    </row>
    <row r="229" ht="15.75" customHeight="1">
      <c r="B229" s="1"/>
      <c r="C229" s="32"/>
    </row>
    <row r="230" ht="15.75" customHeight="1">
      <c r="B230" s="1"/>
      <c r="C230" s="32"/>
    </row>
    <row r="231" ht="15.75" customHeight="1">
      <c r="B231" s="1"/>
      <c r="C231" s="32"/>
    </row>
    <row r="232" ht="15.75" customHeight="1">
      <c r="B232" s="1"/>
      <c r="C232" s="32"/>
    </row>
    <row r="233" ht="15.75" customHeight="1">
      <c r="B233" s="1"/>
      <c r="C233" s="32"/>
    </row>
    <row r="234" ht="15.75" customHeight="1">
      <c r="B234" s="1"/>
      <c r="C234" s="32"/>
    </row>
    <row r="235" ht="15.75" customHeight="1">
      <c r="B235" s="1"/>
      <c r="C235" s="32"/>
    </row>
    <row r="236" ht="15.75" customHeight="1">
      <c r="B236" s="1"/>
      <c r="C236" s="32"/>
    </row>
    <row r="237" ht="15.75" customHeight="1">
      <c r="B237" s="1"/>
      <c r="C237" s="32"/>
    </row>
    <row r="238" ht="15.75" customHeight="1">
      <c r="B238" s="1"/>
      <c r="C238" s="32"/>
    </row>
    <row r="239" ht="15.75" customHeight="1">
      <c r="B239" s="1"/>
      <c r="C239" s="32"/>
    </row>
    <row r="240" ht="15.75" customHeight="1">
      <c r="B240" s="1"/>
      <c r="C240" s="32"/>
    </row>
    <row r="241" ht="15.75" customHeight="1">
      <c r="B241" s="1"/>
      <c r="C241" s="32"/>
    </row>
    <row r="242" ht="15.75" customHeight="1">
      <c r="B242" s="1"/>
      <c r="C242" s="32"/>
    </row>
    <row r="243" ht="15.75" customHeight="1">
      <c r="B243" s="1"/>
      <c r="C243" s="32"/>
    </row>
    <row r="244" ht="15.75" customHeight="1">
      <c r="B244" s="1"/>
      <c r="C244" s="32"/>
    </row>
    <row r="245" ht="15.75" customHeight="1">
      <c r="B245" s="1"/>
      <c r="C245" s="32"/>
    </row>
    <row r="246" ht="15.75" customHeight="1">
      <c r="B246" s="1"/>
      <c r="C246" s="32"/>
    </row>
    <row r="247" ht="15.75" customHeight="1">
      <c r="B247" s="1"/>
      <c r="C247" s="32"/>
    </row>
    <row r="248" ht="15.75" customHeight="1">
      <c r="B248" s="1"/>
      <c r="C248" s="32"/>
    </row>
    <row r="249" ht="15.75" customHeight="1">
      <c r="B249" s="1"/>
      <c r="C249" s="32"/>
    </row>
    <row r="250" ht="15.75" customHeight="1">
      <c r="B250" s="1"/>
      <c r="C250" s="32"/>
    </row>
    <row r="251" ht="15.75" customHeight="1">
      <c r="B251" s="1"/>
      <c r="C251" s="32"/>
    </row>
    <row r="252" ht="15.75" customHeight="1">
      <c r="B252" s="1"/>
      <c r="C252" s="32"/>
    </row>
    <row r="253" ht="15.75" customHeight="1">
      <c r="B253" s="1"/>
      <c r="C253" s="32"/>
    </row>
    <row r="254" ht="15.75" customHeight="1">
      <c r="B254" s="1"/>
      <c r="C254" s="32"/>
    </row>
    <row r="255" ht="15.75" customHeight="1">
      <c r="B255" s="1"/>
      <c r="C255" s="32"/>
    </row>
    <row r="256" ht="15.75" customHeight="1">
      <c r="B256" s="1"/>
      <c r="C256" s="32"/>
    </row>
    <row r="257" ht="15.75" customHeight="1">
      <c r="B257" s="1"/>
      <c r="C257" s="32"/>
    </row>
    <row r="258" ht="15.75" customHeight="1">
      <c r="B258" s="1"/>
      <c r="C258" s="32"/>
    </row>
    <row r="259" ht="15.75" customHeight="1">
      <c r="B259" s="1"/>
      <c r="C259" s="32"/>
    </row>
    <row r="260" ht="15.75" customHeight="1">
      <c r="B260" s="1"/>
      <c r="C260" s="32"/>
    </row>
    <row r="261" ht="15.75" customHeight="1">
      <c r="B261" s="1"/>
      <c r="C261" s="32"/>
    </row>
    <row r="262" ht="15.75" customHeight="1">
      <c r="B262" s="1"/>
      <c r="C262" s="32"/>
    </row>
    <row r="263" ht="15.75" customHeight="1">
      <c r="B263" s="1"/>
      <c r="C263" s="32"/>
    </row>
    <row r="264" ht="15.75" customHeight="1">
      <c r="B264" s="1"/>
      <c r="C264" s="32"/>
    </row>
    <row r="265" ht="15.75" customHeight="1">
      <c r="B265" s="1"/>
      <c r="C265" s="32"/>
    </row>
    <row r="266" ht="15.75" customHeight="1">
      <c r="B266" s="1"/>
      <c r="C266" s="32"/>
    </row>
    <row r="267" ht="15.75" customHeight="1">
      <c r="B267" s="1"/>
      <c r="C267" s="32"/>
    </row>
    <row r="268" ht="15.75" customHeight="1">
      <c r="B268" s="1"/>
      <c r="C268" s="32"/>
    </row>
    <row r="269" ht="15.75" customHeight="1">
      <c r="B269" s="1"/>
      <c r="C269" s="32"/>
    </row>
    <row r="270" ht="15.75" customHeight="1">
      <c r="B270" s="1"/>
      <c r="C270" s="32"/>
    </row>
    <row r="271" ht="15.75" customHeight="1">
      <c r="B271" s="1"/>
      <c r="C271" s="32"/>
    </row>
    <row r="272" ht="15.75" customHeight="1">
      <c r="B272" s="1"/>
      <c r="C272" s="32"/>
    </row>
    <row r="273" ht="15.75" customHeight="1">
      <c r="B273" s="1"/>
      <c r="C273" s="32"/>
    </row>
    <row r="274" ht="15.75" customHeight="1">
      <c r="B274" s="1"/>
      <c r="C274" s="32"/>
    </row>
    <row r="275" ht="15.75" customHeight="1">
      <c r="B275" s="1"/>
      <c r="C275" s="32"/>
    </row>
    <row r="276" ht="15.75" customHeight="1">
      <c r="B276" s="1"/>
      <c r="C276" s="32"/>
    </row>
    <row r="277" ht="15.75" customHeight="1">
      <c r="B277" s="1"/>
      <c r="C277" s="32"/>
    </row>
    <row r="278" ht="15.75" customHeight="1">
      <c r="B278" s="1"/>
      <c r="C278" s="32"/>
    </row>
    <row r="279" ht="15.75" customHeight="1">
      <c r="B279" s="1"/>
      <c r="C279" s="32"/>
    </row>
    <row r="280" ht="15.75" customHeight="1">
      <c r="B280" s="1"/>
      <c r="C280" s="32"/>
    </row>
    <row r="281" ht="15.75" customHeight="1">
      <c r="B281" s="1"/>
      <c r="C281" s="32"/>
    </row>
    <row r="282" ht="15.75" customHeight="1">
      <c r="B282" s="1"/>
      <c r="C282" s="32"/>
    </row>
    <row r="283" ht="15.75" customHeight="1">
      <c r="B283" s="1"/>
      <c r="C283" s="32"/>
    </row>
    <row r="284" ht="15.75" customHeight="1">
      <c r="B284" s="1"/>
      <c r="C284" s="32"/>
    </row>
    <row r="285" ht="15.75" customHeight="1">
      <c r="B285" s="1"/>
      <c r="C285" s="32"/>
    </row>
    <row r="286" ht="15.75" customHeight="1">
      <c r="B286" s="1"/>
      <c r="C286" s="32"/>
    </row>
    <row r="287" ht="15.75" customHeight="1">
      <c r="B287" s="1"/>
      <c r="C287" s="32"/>
    </row>
    <row r="288" ht="15.75" customHeight="1">
      <c r="B288" s="1"/>
      <c r="C288" s="32"/>
    </row>
    <row r="289" ht="15.75" customHeight="1">
      <c r="B289" s="1"/>
      <c r="C289" s="32"/>
    </row>
    <row r="290" ht="15.75" customHeight="1">
      <c r="B290" s="1"/>
      <c r="C290" s="32"/>
    </row>
    <row r="291" ht="15.75" customHeight="1">
      <c r="B291" s="1"/>
      <c r="C291" s="32"/>
    </row>
    <row r="292" ht="15.75" customHeight="1">
      <c r="B292" s="1"/>
      <c r="C292" s="32"/>
    </row>
    <row r="293" ht="15.75" customHeight="1">
      <c r="B293" s="1"/>
      <c r="C293" s="32"/>
    </row>
    <row r="294" ht="15.75" customHeight="1">
      <c r="B294" s="1"/>
      <c r="C294" s="32"/>
    </row>
    <row r="295" ht="15.75" customHeight="1">
      <c r="B295" s="1"/>
      <c r="C295" s="32"/>
    </row>
    <row r="296" ht="15.75" customHeight="1">
      <c r="B296" s="1"/>
      <c r="C296" s="32"/>
    </row>
    <row r="297" ht="15.75" customHeight="1">
      <c r="B297" s="1"/>
      <c r="C297" s="32"/>
    </row>
    <row r="298" ht="15.75" customHeight="1">
      <c r="B298" s="1"/>
      <c r="C298" s="32"/>
    </row>
    <row r="299" ht="15.75" customHeight="1">
      <c r="B299" s="1"/>
      <c r="C299" s="32"/>
    </row>
    <row r="300" ht="15.75" customHeight="1">
      <c r="B300" s="1"/>
      <c r="C300" s="32"/>
    </row>
    <row r="301" ht="15.75" customHeight="1">
      <c r="B301" s="1"/>
      <c r="C301" s="32"/>
    </row>
    <row r="302" ht="15.75" customHeight="1">
      <c r="B302" s="1"/>
      <c r="C302" s="32"/>
    </row>
    <row r="303" ht="15.75" customHeight="1">
      <c r="B303" s="1"/>
      <c r="C303" s="32"/>
    </row>
    <row r="304" ht="15.75" customHeight="1">
      <c r="B304" s="1"/>
      <c r="C304" s="32"/>
    </row>
    <row r="305" ht="15.75" customHeight="1">
      <c r="B305" s="1"/>
      <c r="C305" s="32"/>
    </row>
    <row r="306" ht="15.75" customHeight="1">
      <c r="B306" s="1"/>
      <c r="C306" s="32"/>
    </row>
    <row r="307" ht="15.75" customHeight="1">
      <c r="B307" s="1"/>
      <c r="C307" s="32"/>
    </row>
    <row r="308" ht="15.75" customHeight="1">
      <c r="B308" s="1"/>
      <c r="C308" s="32"/>
    </row>
    <row r="309" ht="15.75" customHeight="1">
      <c r="B309" s="1"/>
      <c r="C309" s="32"/>
    </row>
    <row r="310" ht="15.75" customHeight="1">
      <c r="B310" s="1"/>
      <c r="C310" s="32"/>
    </row>
    <row r="311" ht="15.75" customHeight="1">
      <c r="B311" s="1"/>
      <c r="C311" s="32"/>
    </row>
    <row r="312" ht="15.75" customHeight="1">
      <c r="B312" s="1"/>
      <c r="C312" s="32"/>
    </row>
    <row r="313" ht="15.75" customHeight="1">
      <c r="B313" s="1"/>
      <c r="C313" s="32"/>
    </row>
    <row r="314" ht="15.75" customHeight="1">
      <c r="B314" s="1"/>
      <c r="C314" s="32"/>
    </row>
    <row r="315" ht="15.75" customHeight="1">
      <c r="B315" s="1"/>
      <c r="C315" s="32"/>
    </row>
    <row r="316" ht="15.75" customHeight="1">
      <c r="B316" s="1"/>
      <c r="C316" s="32"/>
    </row>
    <row r="317" ht="15.75" customHeight="1">
      <c r="B317" s="1"/>
      <c r="C317" s="32"/>
    </row>
    <row r="318" ht="15.75" customHeight="1">
      <c r="B318" s="1"/>
      <c r="C318" s="32"/>
    </row>
    <row r="319" ht="15.75" customHeight="1">
      <c r="B319" s="1"/>
      <c r="C319" s="32"/>
    </row>
    <row r="320" ht="15.75" customHeight="1">
      <c r="B320" s="1"/>
      <c r="C320" s="32"/>
    </row>
    <row r="321" ht="15.75" customHeight="1">
      <c r="B321" s="1"/>
      <c r="C321" s="32"/>
    </row>
    <row r="322" ht="15.75" customHeight="1">
      <c r="B322" s="1"/>
      <c r="C322" s="32"/>
    </row>
    <row r="323" ht="15.75" customHeight="1">
      <c r="B323" s="1"/>
      <c r="C323" s="32"/>
    </row>
    <row r="324" ht="15.75" customHeight="1">
      <c r="B324" s="1"/>
      <c r="C324" s="32"/>
    </row>
    <row r="325" ht="15.75" customHeight="1">
      <c r="B325" s="1"/>
      <c r="C325" s="32"/>
    </row>
    <row r="326" ht="15.75" customHeight="1">
      <c r="B326" s="1"/>
      <c r="C326" s="32"/>
    </row>
    <row r="327" ht="15.75" customHeight="1">
      <c r="B327" s="1"/>
      <c r="C327" s="32"/>
    </row>
    <row r="328" ht="15.75" customHeight="1">
      <c r="B328" s="1"/>
      <c r="C328" s="32"/>
    </row>
    <row r="329" ht="15.75" customHeight="1">
      <c r="B329" s="1"/>
      <c r="C329" s="32"/>
    </row>
    <row r="330" ht="15.75" customHeight="1">
      <c r="B330" s="1"/>
      <c r="C330" s="32"/>
    </row>
    <row r="331" ht="15.75" customHeight="1">
      <c r="B331" s="1"/>
      <c r="C331" s="32"/>
    </row>
    <row r="332" ht="15.75" customHeight="1">
      <c r="B332" s="1"/>
      <c r="C332" s="32"/>
    </row>
    <row r="333" ht="15.75" customHeight="1">
      <c r="B333" s="1"/>
      <c r="C333" s="32"/>
    </row>
    <row r="334" ht="15.75" customHeight="1">
      <c r="B334" s="1"/>
      <c r="C334" s="32"/>
    </row>
    <row r="335" ht="15.75" customHeight="1">
      <c r="B335" s="1"/>
      <c r="C335" s="32"/>
    </row>
    <row r="336" ht="15.75" customHeight="1">
      <c r="B336" s="1"/>
      <c r="C336" s="32"/>
    </row>
    <row r="337" ht="15.75" customHeight="1">
      <c r="B337" s="1"/>
      <c r="C337" s="32"/>
    </row>
    <row r="338" ht="15.75" customHeight="1">
      <c r="B338" s="1"/>
      <c r="C338" s="32"/>
    </row>
    <row r="339" ht="15.75" customHeight="1">
      <c r="B339" s="1"/>
      <c r="C339" s="32"/>
    </row>
    <row r="340" ht="15.75" customHeight="1">
      <c r="B340" s="1"/>
      <c r="C340" s="32"/>
    </row>
    <row r="341" ht="15.75" customHeight="1">
      <c r="B341" s="1"/>
      <c r="C341" s="32"/>
    </row>
    <row r="342" ht="15.75" customHeight="1">
      <c r="B342" s="1"/>
      <c r="C342" s="32"/>
    </row>
    <row r="343" ht="15.75" customHeight="1">
      <c r="B343" s="1"/>
      <c r="C343" s="32"/>
    </row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9.88"/>
    <col customWidth="1" min="2" max="2" width="10.75"/>
    <col customWidth="1" min="3" max="3" width="55.38"/>
    <col customWidth="1" min="4" max="4" width="10.63"/>
    <col customWidth="1" min="5" max="5" width="20.5"/>
    <col customWidth="1" min="6" max="7" width="19.63"/>
    <col customWidth="1" min="8" max="8" width="19.13"/>
    <col customWidth="1" min="9" max="9" width="60.25"/>
    <col customWidth="1" min="10" max="10" width="10.88"/>
    <col customWidth="1" min="11" max="11" width="20.38"/>
    <col customWidth="1" min="12" max="12" width="14.0"/>
    <col customWidth="1" min="13" max="13" width="33.63"/>
    <col customWidth="1" min="14" max="14" width="51.13"/>
    <col customWidth="1" min="15" max="15" width="24.13"/>
    <col customWidth="1" min="16" max="16" width="16.75"/>
    <col customWidth="1" min="17" max="17" width="19.63"/>
    <col customWidth="1" min="18" max="18" width="45.13"/>
    <col customWidth="1" min="19" max="19" width="9.88"/>
    <col customWidth="1" min="20" max="20" width="16.38"/>
    <col customWidth="1" min="21" max="21" width="26.63"/>
    <col customWidth="1" min="22" max="22" width="28.88"/>
    <col customWidth="1" min="23" max="23" width="9.75"/>
  </cols>
  <sheetData>
    <row r="1" ht="15.75" customHeight="1">
      <c r="A1" s="33" t="s">
        <v>2371</v>
      </c>
      <c r="B1" s="33" t="s">
        <v>921</v>
      </c>
      <c r="C1" s="33" t="s">
        <v>922</v>
      </c>
      <c r="D1" s="34" t="s">
        <v>2372</v>
      </c>
      <c r="E1" s="34" t="s">
        <v>2373</v>
      </c>
      <c r="F1" s="34" t="s">
        <v>2374</v>
      </c>
      <c r="G1" s="33" t="s">
        <v>2375</v>
      </c>
      <c r="H1" s="34" t="s">
        <v>2376</v>
      </c>
      <c r="I1" s="33" t="s">
        <v>1816</v>
      </c>
      <c r="J1" s="35" t="s">
        <v>2377</v>
      </c>
      <c r="K1" s="36" t="s">
        <v>1819</v>
      </c>
      <c r="L1" s="33" t="s">
        <v>1820</v>
      </c>
      <c r="M1" s="33" t="s">
        <v>2378</v>
      </c>
      <c r="N1" s="33" t="s">
        <v>2379</v>
      </c>
      <c r="O1" s="37" t="s">
        <v>2380</v>
      </c>
      <c r="P1" s="33" t="s">
        <v>925</v>
      </c>
      <c r="Q1" s="34" t="s">
        <v>2381</v>
      </c>
      <c r="R1" s="33" t="s">
        <v>2382</v>
      </c>
      <c r="S1" s="33" t="s">
        <v>2383</v>
      </c>
      <c r="T1" s="33" t="s">
        <v>927</v>
      </c>
      <c r="U1" s="33" t="s">
        <v>2384</v>
      </c>
      <c r="V1" s="33" t="s">
        <v>2385</v>
      </c>
      <c r="W1" s="33" t="s">
        <v>929</v>
      </c>
      <c r="X1" s="38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</row>
    <row r="2" ht="15.75" customHeight="1">
      <c r="A2" s="39">
        <v>142.0</v>
      </c>
      <c r="B2" s="40" t="s">
        <v>701</v>
      </c>
      <c r="C2" s="40" t="s">
        <v>1487</v>
      </c>
      <c r="D2" s="41">
        <v>4.7</v>
      </c>
      <c r="E2" s="41">
        <v>49.0</v>
      </c>
      <c r="F2" s="39" t="str">
        <f t="shared" ref="F2:F143" si="1">IF(LEN(D2)&gt;0,"Available", "Unavailable")</f>
        <v>Available</v>
      </c>
      <c r="G2" s="39">
        <v>1991.0</v>
      </c>
      <c r="H2" s="40" t="s">
        <v>1870</v>
      </c>
      <c r="I2" s="40" t="s">
        <v>2151</v>
      </c>
      <c r="J2" s="40" t="s">
        <v>2386</v>
      </c>
      <c r="K2" s="40" t="s">
        <v>2169</v>
      </c>
      <c r="L2" s="42" t="s">
        <v>2387</v>
      </c>
      <c r="M2" s="42" t="s">
        <v>2388</v>
      </c>
      <c r="N2" s="42" t="s">
        <v>1490</v>
      </c>
      <c r="O2" s="43" t="s">
        <v>1811</v>
      </c>
      <c r="P2" s="40" t="s">
        <v>2150</v>
      </c>
      <c r="Q2" s="40" t="str">
        <f t="shared" ref="Q2:Q143" si="2">IF(LEN(P2)&gt;0,"Available", "Unavailable")</f>
        <v>Available</v>
      </c>
      <c r="R2" s="40" t="s">
        <v>2389</v>
      </c>
      <c r="S2" s="40" t="s">
        <v>2390</v>
      </c>
      <c r="T2" s="40" t="s">
        <v>1501</v>
      </c>
      <c r="U2" s="39">
        <v>0.0</v>
      </c>
      <c r="V2" s="39">
        <v>0.0</v>
      </c>
      <c r="W2" s="39">
        <v>0.0</v>
      </c>
    </row>
    <row r="3" ht="15.75" customHeight="1">
      <c r="A3" s="39">
        <v>141.0</v>
      </c>
      <c r="B3" s="40" t="s">
        <v>694</v>
      </c>
      <c r="C3" s="40" t="s">
        <v>1483</v>
      </c>
      <c r="D3" s="41">
        <v>4.4</v>
      </c>
      <c r="E3" s="41">
        <v>157.0</v>
      </c>
      <c r="F3" s="39" t="str">
        <f t="shared" si="1"/>
        <v>Available</v>
      </c>
      <c r="G3" s="39">
        <v>1991.0</v>
      </c>
      <c r="H3" s="40" t="s">
        <v>1870</v>
      </c>
      <c r="I3" s="40" t="s">
        <v>2149</v>
      </c>
      <c r="J3" s="40" t="s">
        <v>2386</v>
      </c>
      <c r="K3" s="40" t="s">
        <v>2370</v>
      </c>
      <c r="L3" s="42" t="s">
        <v>2391</v>
      </c>
      <c r="M3" s="42" t="s">
        <v>2392</v>
      </c>
      <c r="N3" s="42" t="s">
        <v>1486</v>
      </c>
      <c r="O3" s="43" t="s">
        <v>1808</v>
      </c>
      <c r="P3" s="40" t="s">
        <v>2148</v>
      </c>
      <c r="Q3" s="40" t="str">
        <f t="shared" si="2"/>
        <v>Available</v>
      </c>
      <c r="R3" s="40" t="s">
        <v>2393</v>
      </c>
      <c r="S3" s="40" t="s">
        <v>2394</v>
      </c>
      <c r="T3" s="40" t="s">
        <v>2395</v>
      </c>
      <c r="U3" s="39">
        <v>0.0</v>
      </c>
      <c r="V3" s="39">
        <v>0.0</v>
      </c>
      <c r="W3" s="39">
        <v>0.0</v>
      </c>
    </row>
    <row r="4" ht="15.75" customHeight="1">
      <c r="A4" s="39">
        <v>140.0</v>
      </c>
      <c r="B4" s="40" t="s">
        <v>689</v>
      </c>
      <c r="C4" s="40" t="s">
        <v>1478</v>
      </c>
      <c r="D4" s="41">
        <v>4.7</v>
      </c>
      <c r="E4" s="41">
        <v>7.0</v>
      </c>
      <c r="F4" s="39" t="str">
        <f t="shared" si="1"/>
        <v>Available</v>
      </c>
      <c r="G4" s="39">
        <v>1995.0</v>
      </c>
      <c r="H4" s="40" t="s">
        <v>1890</v>
      </c>
      <c r="I4" s="40" t="s">
        <v>2147</v>
      </c>
      <c r="J4" s="40" t="s">
        <v>2386</v>
      </c>
      <c r="K4" s="40" t="s">
        <v>2368</v>
      </c>
      <c r="L4" s="42" t="s">
        <v>2306</v>
      </c>
      <c r="M4" s="42" t="s">
        <v>2396</v>
      </c>
      <c r="N4" s="42" t="s">
        <v>1481</v>
      </c>
      <c r="O4" s="43" t="s">
        <v>1804</v>
      </c>
      <c r="P4" s="40"/>
      <c r="Q4" s="40" t="str">
        <f t="shared" si="2"/>
        <v>Unavailable</v>
      </c>
      <c r="R4" s="40" t="s">
        <v>2397</v>
      </c>
      <c r="S4" s="40" t="s">
        <v>2398</v>
      </c>
      <c r="T4" s="40" t="s">
        <v>1522</v>
      </c>
      <c r="U4" s="39">
        <v>5.0</v>
      </c>
      <c r="V4" s="39">
        <v>0.0</v>
      </c>
      <c r="W4" s="39">
        <f t="shared" ref="W4:W118" si="3">U4+V4</f>
        <v>5</v>
      </c>
    </row>
    <row r="5" ht="15.75" customHeight="1">
      <c r="A5" s="39">
        <v>139.0</v>
      </c>
      <c r="B5" s="40" t="s">
        <v>682</v>
      </c>
      <c r="C5" s="40" t="s">
        <v>1474</v>
      </c>
      <c r="D5" s="41">
        <v>4.8</v>
      </c>
      <c r="E5" s="41">
        <v>9.0</v>
      </c>
      <c r="F5" s="39" t="str">
        <f t="shared" si="1"/>
        <v>Available</v>
      </c>
      <c r="G5" s="39">
        <v>2008.0</v>
      </c>
      <c r="H5" s="40" t="s">
        <v>1942</v>
      </c>
      <c r="I5" s="40" t="s">
        <v>2146</v>
      </c>
      <c r="J5" s="40" t="s">
        <v>2386</v>
      </c>
      <c r="K5" s="40" t="s">
        <v>2210</v>
      </c>
      <c r="L5" s="44" t="s">
        <v>2399</v>
      </c>
      <c r="M5" s="42" t="s">
        <v>2400</v>
      </c>
      <c r="N5" s="42" t="s">
        <v>1477</v>
      </c>
      <c r="O5" s="43" t="s">
        <v>1802</v>
      </c>
      <c r="P5" s="40" t="s">
        <v>2145</v>
      </c>
      <c r="Q5" s="40" t="str">
        <f t="shared" si="2"/>
        <v>Available</v>
      </c>
      <c r="R5" s="40" t="s">
        <v>2401</v>
      </c>
      <c r="S5" s="40" t="s">
        <v>2402</v>
      </c>
      <c r="T5" s="40" t="s">
        <v>1526</v>
      </c>
      <c r="U5" s="39">
        <v>3.0</v>
      </c>
      <c r="V5" s="39">
        <v>1.0</v>
      </c>
      <c r="W5" s="39">
        <f t="shared" si="3"/>
        <v>4</v>
      </c>
    </row>
    <row r="6" ht="15.75" customHeight="1">
      <c r="A6" s="39">
        <v>138.0</v>
      </c>
      <c r="B6" s="40" t="s">
        <v>675</v>
      </c>
      <c r="C6" s="40" t="s">
        <v>1472</v>
      </c>
      <c r="D6" s="41">
        <v>4.6</v>
      </c>
      <c r="E6" s="41">
        <v>255.0</v>
      </c>
      <c r="F6" s="39" t="str">
        <f t="shared" si="1"/>
        <v>Available</v>
      </c>
      <c r="G6" s="39">
        <v>2008.0</v>
      </c>
      <c r="H6" s="40" t="s">
        <v>1942</v>
      </c>
      <c r="I6" s="40" t="s">
        <v>2144</v>
      </c>
      <c r="J6" s="40" t="s">
        <v>2386</v>
      </c>
      <c r="K6" s="40" t="s">
        <v>2200</v>
      </c>
      <c r="L6" s="44" t="s">
        <v>2403</v>
      </c>
      <c r="M6" s="42" t="s">
        <v>2404</v>
      </c>
      <c r="N6" s="42" t="s">
        <v>1473</v>
      </c>
      <c r="O6" s="43"/>
      <c r="P6" s="40" t="s">
        <v>2142</v>
      </c>
      <c r="Q6" s="40" t="str">
        <f t="shared" si="2"/>
        <v>Available</v>
      </c>
      <c r="R6" s="40" t="s">
        <v>2405</v>
      </c>
      <c r="S6" s="40" t="s">
        <v>2406</v>
      </c>
      <c r="T6" s="40" t="s">
        <v>1497</v>
      </c>
      <c r="U6" s="39">
        <v>23.0</v>
      </c>
      <c r="V6" s="39">
        <v>4.0</v>
      </c>
      <c r="W6" s="39">
        <f t="shared" si="3"/>
        <v>27</v>
      </c>
    </row>
    <row r="7" ht="15.75" customHeight="1">
      <c r="A7" s="39">
        <v>137.0</v>
      </c>
      <c r="B7" s="40" t="s">
        <v>668</v>
      </c>
      <c r="C7" s="40" t="s">
        <v>1468</v>
      </c>
      <c r="D7" s="41">
        <v>4.7</v>
      </c>
      <c r="E7" s="41">
        <v>121.0</v>
      </c>
      <c r="F7" s="39" t="str">
        <f t="shared" si="1"/>
        <v>Available</v>
      </c>
      <c r="G7" s="39">
        <v>1998.0</v>
      </c>
      <c r="H7" s="40" t="s">
        <v>1890</v>
      </c>
      <c r="I7" s="40" t="s">
        <v>2141</v>
      </c>
      <c r="J7" s="40" t="s">
        <v>2386</v>
      </c>
      <c r="K7" s="40" t="s">
        <v>2210</v>
      </c>
      <c r="L7" s="44" t="s">
        <v>2407</v>
      </c>
      <c r="M7" s="42" t="s">
        <v>2408</v>
      </c>
      <c r="N7" s="42" t="s">
        <v>1471</v>
      </c>
      <c r="O7" s="43" t="s">
        <v>1799</v>
      </c>
      <c r="P7" s="45" t="s">
        <v>2409</v>
      </c>
      <c r="Q7" s="40" t="str">
        <f t="shared" si="2"/>
        <v>Available</v>
      </c>
      <c r="R7" s="40" t="s">
        <v>2410</v>
      </c>
      <c r="S7" s="40" t="s">
        <v>2411</v>
      </c>
      <c r="T7" s="40" t="s">
        <v>1497</v>
      </c>
      <c r="U7" s="39">
        <v>15.0</v>
      </c>
      <c r="V7" s="39">
        <v>4.0</v>
      </c>
      <c r="W7" s="39">
        <f t="shared" si="3"/>
        <v>19</v>
      </c>
    </row>
    <row r="8" ht="15.75" customHeight="1">
      <c r="A8" s="39">
        <v>136.0</v>
      </c>
      <c r="B8" s="40" t="s">
        <v>661</v>
      </c>
      <c r="C8" s="40" t="s">
        <v>1464</v>
      </c>
      <c r="D8" s="41">
        <v>4.6</v>
      </c>
      <c r="E8" s="41">
        <v>12.0</v>
      </c>
      <c r="F8" s="39" t="str">
        <f t="shared" si="1"/>
        <v>Available</v>
      </c>
      <c r="G8" s="39">
        <v>2002.0</v>
      </c>
      <c r="H8" s="40" t="s">
        <v>1918</v>
      </c>
      <c r="I8" s="40" t="s">
        <v>2139</v>
      </c>
      <c r="J8" s="40" t="s">
        <v>2386</v>
      </c>
      <c r="K8" s="40" t="s">
        <v>2197</v>
      </c>
      <c r="L8" s="42" t="s">
        <v>2412</v>
      </c>
      <c r="M8" s="42" t="s">
        <v>2413</v>
      </c>
      <c r="N8" s="42" t="s">
        <v>1467</v>
      </c>
      <c r="O8" s="43" t="s">
        <v>1796</v>
      </c>
      <c r="P8" s="40"/>
      <c r="Q8" s="40" t="str">
        <f t="shared" si="2"/>
        <v>Unavailable</v>
      </c>
      <c r="R8" s="40" t="s">
        <v>2414</v>
      </c>
      <c r="S8" s="40" t="s">
        <v>2415</v>
      </c>
      <c r="T8" s="40" t="s">
        <v>1544</v>
      </c>
      <c r="U8" s="39">
        <v>3.0</v>
      </c>
      <c r="V8" s="39">
        <v>6.0</v>
      </c>
      <c r="W8" s="39">
        <f t="shared" si="3"/>
        <v>9</v>
      </c>
    </row>
    <row r="9" ht="15.75" customHeight="1">
      <c r="A9" s="39">
        <v>135.0</v>
      </c>
      <c r="B9" s="40" t="s">
        <v>654</v>
      </c>
      <c r="C9" s="40" t="s">
        <v>1459</v>
      </c>
      <c r="D9" s="41">
        <v>3.8</v>
      </c>
      <c r="E9" s="41">
        <v>4.0</v>
      </c>
      <c r="F9" s="39" t="str">
        <f t="shared" si="1"/>
        <v>Available</v>
      </c>
      <c r="G9" s="39">
        <v>2005.0</v>
      </c>
      <c r="H9" s="40" t="s">
        <v>1942</v>
      </c>
      <c r="I9" s="40" t="s">
        <v>2137</v>
      </c>
      <c r="J9" s="40" t="s">
        <v>2386</v>
      </c>
      <c r="K9" s="40" t="s">
        <v>2161</v>
      </c>
      <c r="L9" s="42" t="s">
        <v>2416</v>
      </c>
      <c r="M9" s="42" t="s">
        <v>2417</v>
      </c>
      <c r="N9" s="42" t="s">
        <v>1462</v>
      </c>
      <c r="O9" s="43" t="s">
        <v>1793</v>
      </c>
      <c r="P9" s="40"/>
      <c r="Q9" s="40" t="str">
        <f t="shared" si="2"/>
        <v>Unavailable</v>
      </c>
      <c r="R9" s="40" t="s">
        <v>2418</v>
      </c>
      <c r="S9" s="40" t="s">
        <v>2419</v>
      </c>
      <c r="T9" s="40" t="s">
        <v>2420</v>
      </c>
      <c r="U9" s="39">
        <v>3.0</v>
      </c>
      <c r="V9" s="39">
        <v>2.0</v>
      </c>
      <c r="W9" s="39">
        <f t="shared" si="3"/>
        <v>5</v>
      </c>
    </row>
    <row r="10" ht="15.75" customHeight="1">
      <c r="A10" s="39">
        <v>134.0</v>
      </c>
      <c r="B10" s="40" t="s">
        <v>649</v>
      </c>
      <c r="C10" s="40" t="s">
        <v>1455</v>
      </c>
      <c r="D10" s="41">
        <v>4.7</v>
      </c>
      <c r="E10" s="41">
        <v>26.0</v>
      </c>
      <c r="F10" s="39" t="str">
        <f t="shared" si="1"/>
        <v>Available</v>
      </c>
      <c r="G10" s="39">
        <v>1996.0</v>
      </c>
      <c r="H10" s="40" t="s">
        <v>1890</v>
      </c>
      <c r="I10" s="40" t="s">
        <v>2136</v>
      </c>
      <c r="J10" s="40" t="s">
        <v>2386</v>
      </c>
      <c r="K10" s="40" t="s">
        <v>2173</v>
      </c>
      <c r="L10" s="42" t="s">
        <v>2306</v>
      </c>
      <c r="M10" s="42" t="s">
        <v>2421</v>
      </c>
      <c r="N10" s="42" t="s">
        <v>1458</v>
      </c>
      <c r="O10" s="43" t="s">
        <v>1790</v>
      </c>
      <c r="P10" s="40"/>
      <c r="Q10" s="40" t="str">
        <f t="shared" si="2"/>
        <v>Unavailable</v>
      </c>
      <c r="R10" s="40" t="s">
        <v>2422</v>
      </c>
      <c r="S10" s="40" t="s">
        <v>2423</v>
      </c>
      <c r="T10" s="40" t="s">
        <v>1501</v>
      </c>
      <c r="U10" s="39">
        <v>6.0</v>
      </c>
      <c r="V10" s="39">
        <v>4.0</v>
      </c>
      <c r="W10" s="39">
        <f t="shared" si="3"/>
        <v>10</v>
      </c>
    </row>
    <row r="11" ht="15.75" customHeight="1">
      <c r="A11" s="39">
        <v>133.0</v>
      </c>
      <c r="B11" s="40" t="s">
        <v>644</v>
      </c>
      <c r="C11" s="40" t="s">
        <v>1451</v>
      </c>
      <c r="D11" s="41">
        <v>4.3</v>
      </c>
      <c r="E11" s="41">
        <v>7.0</v>
      </c>
      <c r="F11" s="39" t="str">
        <f t="shared" si="1"/>
        <v>Available</v>
      </c>
      <c r="G11" s="39">
        <v>2003.0</v>
      </c>
      <c r="H11" s="40" t="s">
        <v>1918</v>
      </c>
      <c r="I11" s="40" t="s">
        <v>2135</v>
      </c>
      <c r="J11" s="40" t="s">
        <v>2386</v>
      </c>
      <c r="K11" s="40" t="s">
        <v>2169</v>
      </c>
      <c r="L11" s="42" t="s">
        <v>2424</v>
      </c>
      <c r="M11" s="42" t="s">
        <v>2425</v>
      </c>
      <c r="N11" s="42" t="s">
        <v>1454</v>
      </c>
      <c r="O11" s="43" t="s">
        <v>1788</v>
      </c>
      <c r="P11" s="40"/>
      <c r="Q11" s="40" t="str">
        <f t="shared" si="2"/>
        <v>Unavailable</v>
      </c>
      <c r="R11" s="40" t="s">
        <v>2426</v>
      </c>
      <c r="S11" s="40" t="s">
        <v>2427</v>
      </c>
      <c r="T11" s="40" t="s">
        <v>1501</v>
      </c>
      <c r="U11" s="39">
        <v>3.0</v>
      </c>
      <c r="V11" s="39">
        <v>9.0</v>
      </c>
      <c r="W11" s="39">
        <f t="shared" si="3"/>
        <v>12</v>
      </c>
    </row>
    <row r="12" ht="15.75" customHeight="1">
      <c r="A12" s="39">
        <v>132.0</v>
      </c>
      <c r="B12" s="40" t="s">
        <v>637</v>
      </c>
      <c r="C12" s="40" t="s">
        <v>1447</v>
      </c>
      <c r="D12" s="41">
        <v>4.8</v>
      </c>
      <c r="E12" s="41">
        <v>16.0</v>
      </c>
      <c r="F12" s="39" t="str">
        <f t="shared" si="1"/>
        <v>Available</v>
      </c>
      <c r="G12" s="39">
        <v>2018.0</v>
      </c>
      <c r="H12" s="40" t="s">
        <v>1998</v>
      </c>
      <c r="I12" s="40" t="s">
        <v>2134</v>
      </c>
      <c r="J12" s="40" t="s">
        <v>2386</v>
      </c>
      <c r="K12" s="40" t="s">
        <v>2179</v>
      </c>
      <c r="L12" s="42" t="s">
        <v>2412</v>
      </c>
      <c r="M12" s="42" t="s">
        <v>2428</v>
      </c>
      <c r="N12" s="42" t="s">
        <v>1450</v>
      </c>
      <c r="O12" s="43" t="s">
        <v>1786</v>
      </c>
      <c r="P12" s="40" t="s">
        <v>2133</v>
      </c>
      <c r="Q12" s="40" t="str">
        <f t="shared" si="2"/>
        <v>Available</v>
      </c>
      <c r="R12" s="40" t="s">
        <v>2429</v>
      </c>
      <c r="S12" s="40" t="s">
        <v>2430</v>
      </c>
      <c r="T12" s="40" t="s">
        <v>2395</v>
      </c>
      <c r="U12" s="39">
        <v>5.0</v>
      </c>
      <c r="V12" s="39">
        <v>2.0</v>
      </c>
      <c r="W12" s="39">
        <f t="shared" si="3"/>
        <v>7</v>
      </c>
    </row>
    <row r="13" ht="15.75" customHeight="1">
      <c r="A13" s="39">
        <v>131.0</v>
      </c>
      <c r="B13" s="40" t="s">
        <v>630</v>
      </c>
      <c r="C13" s="40" t="s">
        <v>1445</v>
      </c>
      <c r="D13" s="41">
        <v>4.7</v>
      </c>
      <c r="E13" s="41">
        <v>21.0</v>
      </c>
      <c r="F13" s="39" t="str">
        <f t="shared" si="1"/>
        <v>Available</v>
      </c>
      <c r="G13" s="39">
        <v>2013.0</v>
      </c>
      <c r="H13" s="40" t="s">
        <v>1972</v>
      </c>
      <c r="I13" s="40" t="s">
        <v>2132</v>
      </c>
      <c r="J13" s="40" t="s">
        <v>2386</v>
      </c>
      <c r="K13" s="40" t="s">
        <v>2200</v>
      </c>
      <c r="L13" s="42" t="s">
        <v>2431</v>
      </c>
      <c r="M13" s="42" t="s">
        <v>2432</v>
      </c>
      <c r="N13" s="42" t="s">
        <v>1446</v>
      </c>
      <c r="O13" s="43"/>
      <c r="P13" s="40" t="s">
        <v>2130</v>
      </c>
      <c r="Q13" s="40" t="str">
        <f t="shared" si="2"/>
        <v>Available</v>
      </c>
      <c r="R13" s="40" t="s">
        <v>2433</v>
      </c>
      <c r="S13" s="40" t="s">
        <v>2434</v>
      </c>
      <c r="T13" s="40" t="s">
        <v>1497</v>
      </c>
      <c r="U13" s="39">
        <v>5.0</v>
      </c>
      <c r="V13" s="39">
        <v>0.0</v>
      </c>
      <c r="W13" s="39">
        <f t="shared" si="3"/>
        <v>5</v>
      </c>
    </row>
    <row r="14" ht="15.75" customHeight="1">
      <c r="A14" s="39">
        <v>130.0</v>
      </c>
      <c r="B14" s="40" t="s">
        <v>622</v>
      </c>
      <c r="C14" s="40" t="s">
        <v>1443</v>
      </c>
      <c r="D14" s="41">
        <v>4.5</v>
      </c>
      <c r="E14" s="41">
        <v>23.0</v>
      </c>
      <c r="F14" s="39" t="str">
        <f t="shared" si="1"/>
        <v>Available</v>
      </c>
      <c r="G14" s="39">
        <v>1993.0</v>
      </c>
      <c r="H14" s="40" t="s">
        <v>1870</v>
      </c>
      <c r="I14" s="40" t="s">
        <v>2129</v>
      </c>
      <c r="J14" s="40" t="s">
        <v>2386</v>
      </c>
      <c r="K14" s="40" t="s">
        <v>2173</v>
      </c>
      <c r="L14" s="42" t="s">
        <v>2306</v>
      </c>
      <c r="M14" s="42" t="s">
        <v>2435</v>
      </c>
      <c r="N14" s="42" t="s">
        <v>1444</v>
      </c>
      <c r="O14" s="43"/>
      <c r="P14" s="40" t="s">
        <v>2127</v>
      </c>
      <c r="Q14" s="40" t="str">
        <f t="shared" si="2"/>
        <v>Available</v>
      </c>
      <c r="R14" s="40" t="s">
        <v>2436</v>
      </c>
      <c r="S14" s="40" t="s">
        <v>2437</v>
      </c>
      <c r="T14" s="40" t="s">
        <v>2438</v>
      </c>
      <c r="U14" s="39">
        <v>14.0</v>
      </c>
      <c r="V14" s="39">
        <v>12.0</v>
      </c>
      <c r="W14" s="39">
        <f t="shared" si="3"/>
        <v>26</v>
      </c>
    </row>
    <row r="15" ht="15.75" customHeight="1">
      <c r="A15" s="39">
        <v>129.0</v>
      </c>
      <c r="B15" s="40" t="s">
        <v>616</v>
      </c>
      <c r="C15" s="40" t="s">
        <v>1439</v>
      </c>
      <c r="D15" s="39"/>
      <c r="E15" s="39"/>
      <c r="F15" s="39" t="str">
        <f t="shared" si="1"/>
        <v>Unavailable</v>
      </c>
      <c r="G15" s="39">
        <v>1993.0</v>
      </c>
      <c r="H15" s="40" t="s">
        <v>1870</v>
      </c>
      <c r="I15" s="40" t="s">
        <v>2126</v>
      </c>
      <c r="J15" s="40" t="s">
        <v>2386</v>
      </c>
      <c r="K15" s="40" t="s">
        <v>2200</v>
      </c>
      <c r="L15" s="42" t="s">
        <v>2431</v>
      </c>
      <c r="M15" s="42" t="s">
        <v>2439</v>
      </c>
      <c r="N15" s="42" t="s">
        <v>1442</v>
      </c>
      <c r="O15" s="43" t="s">
        <v>1780</v>
      </c>
      <c r="P15" s="40"/>
      <c r="Q15" s="40" t="str">
        <f t="shared" si="2"/>
        <v>Unavailable</v>
      </c>
      <c r="R15" s="40" t="s">
        <v>2440</v>
      </c>
      <c r="S15" s="40" t="s">
        <v>2441</v>
      </c>
      <c r="T15" s="40" t="s">
        <v>2442</v>
      </c>
      <c r="U15" s="39">
        <v>2.0</v>
      </c>
      <c r="V15" s="39">
        <v>5.0</v>
      </c>
      <c r="W15" s="39">
        <f t="shared" si="3"/>
        <v>7</v>
      </c>
    </row>
    <row r="16" ht="15.75" customHeight="1">
      <c r="A16" s="39">
        <v>128.0</v>
      </c>
      <c r="B16" s="40" t="s">
        <v>611</v>
      </c>
      <c r="C16" s="40" t="s">
        <v>1434</v>
      </c>
      <c r="D16" s="39"/>
      <c r="E16" s="39"/>
      <c r="F16" s="39" t="str">
        <f t="shared" si="1"/>
        <v>Unavailable</v>
      </c>
      <c r="G16" s="39">
        <v>2001.0</v>
      </c>
      <c r="H16" s="40" t="s">
        <v>1918</v>
      </c>
      <c r="I16" s="40" t="s">
        <v>2125</v>
      </c>
      <c r="J16" s="40" t="s">
        <v>2386</v>
      </c>
      <c r="K16" s="40" t="s">
        <v>2169</v>
      </c>
      <c r="L16" s="42" t="s">
        <v>2424</v>
      </c>
      <c r="M16" s="42" t="s">
        <v>2443</v>
      </c>
      <c r="N16" s="42" t="s">
        <v>1437</v>
      </c>
      <c r="O16" s="43" t="s">
        <v>1778</v>
      </c>
      <c r="P16" s="40"/>
      <c r="Q16" s="40" t="str">
        <f t="shared" si="2"/>
        <v>Unavailable</v>
      </c>
      <c r="R16" s="40" t="s">
        <v>2444</v>
      </c>
      <c r="S16" s="40" t="s">
        <v>2445</v>
      </c>
      <c r="T16" s="40" t="s">
        <v>2442</v>
      </c>
      <c r="U16" s="39">
        <v>1.0</v>
      </c>
      <c r="V16" s="39">
        <v>4.0</v>
      </c>
      <c r="W16" s="39">
        <f t="shared" si="3"/>
        <v>5</v>
      </c>
    </row>
    <row r="17" ht="15.75" customHeight="1">
      <c r="A17" s="39">
        <v>127.0</v>
      </c>
      <c r="B17" s="40" t="s">
        <v>604</v>
      </c>
      <c r="C17" s="40" t="s">
        <v>1430</v>
      </c>
      <c r="D17" s="41">
        <v>5.0</v>
      </c>
      <c r="E17" s="41">
        <v>2.0</v>
      </c>
      <c r="F17" s="39" t="str">
        <f t="shared" si="1"/>
        <v>Available</v>
      </c>
      <c r="G17" s="39">
        <v>2014.0</v>
      </c>
      <c r="H17" s="40" t="s">
        <v>1972</v>
      </c>
      <c r="I17" s="40" t="s">
        <v>2124</v>
      </c>
      <c r="J17" s="40" t="s">
        <v>2386</v>
      </c>
      <c r="K17" s="40" t="s">
        <v>2210</v>
      </c>
      <c r="L17" s="42" t="s">
        <v>2407</v>
      </c>
      <c r="M17" s="42" t="s">
        <v>2446</v>
      </c>
      <c r="N17" s="42" t="s">
        <v>1433</v>
      </c>
      <c r="O17" s="43" t="s">
        <v>1776</v>
      </c>
      <c r="P17" s="40" t="s">
        <v>2123</v>
      </c>
      <c r="Q17" s="40" t="str">
        <f t="shared" si="2"/>
        <v>Available</v>
      </c>
      <c r="R17" s="40" t="s">
        <v>2447</v>
      </c>
      <c r="S17" s="40" t="s">
        <v>2448</v>
      </c>
      <c r="T17" s="40" t="s">
        <v>1194</v>
      </c>
      <c r="U17" s="39">
        <v>0.0</v>
      </c>
      <c r="V17" s="39">
        <v>0.0</v>
      </c>
      <c r="W17" s="39">
        <f t="shared" si="3"/>
        <v>0</v>
      </c>
    </row>
    <row r="18" ht="15.75" customHeight="1">
      <c r="A18" s="39">
        <v>126.0</v>
      </c>
      <c r="B18" s="40" t="s">
        <v>597</v>
      </c>
      <c r="C18" s="40" t="s">
        <v>1426</v>
      </c>
      <c r="D18" s="41">
        <v>4.4</v>
      </c>
      <c r="E18" s="41">
        <v>8.0</v>
      </c>
      <c r="F18" s="39" t="str">
        <f t="shared" si="1"/>
        <v>Available</v>
      </c>
      <c r="G18" s="39">
        <v>2008.0</v>
      </c>
      <c r="H18" s="40" t="s">
        <v>1942</v>
      </c>
      <c r="I18" s="40" t="s">
        <v>2122</v>
      </c>
      <c r="J18" s="46" t="s">
        <v>2449</v>
      </c>
      <c r="K18" s="46" t="s">
        <v>2450</v>
      </c>
      <c r="L18" s="42" t="s">
        <v>2451</v>
      </c>
      <c r="M18" s="42" t="s">
        <v>2452</v>
      </c>
      <c r="N18" s="42" t="s">
        <v>1429</v>
      </c>
      <c r="O18" s="43" t="s">
        <v>1772</v>
      </c>
      <c r="P18" s="40"/>
      <c r="Q18" s="40" t="str">
        <f t="shared" si="2"/>
        <v>Unavailable</v>
      </c>
      <c r="R18" s="40" t="s">
        <v>2453</v>
      </c>
      <c r="S18" s="40" t="s">
        <v>2454</v>
      </c>
      <c r="T18" s="40" t="s">
        <v>1544</v>
      </c>
      <c r="U18" s="39">
        <v>3.0</v>
      </c>
      <c r="V18" s="39">
        <v>4.0</v>
      </c>
      <c r="W18" s="39">
        <f t="shared" si="3"/>
        <v>7</v>
      </c>
    </row>
    <row r="19" ht="15.75" customHeight="1">
      <c r="A19" s="39">
        <v>125.0</v>
      </c>
      <c r="B19" s="40" t="s">
        <v>590</v>
      </c>
      <c r="C19" s="40" t="s">
        <v>1424</v>
      </c>
      <c r="D19" s="41">
        <v>4.5</v>
      </c>
      <c r="E19" s="41">
        <v>59.0</v>
      </c>
      <c r="F19" s="39" t="str">
        <f t="shared" si="1"/>
        <v>Available</v>
      </c>
      <c r="G19" s="39">
        <v>2001.0</v>
      </c>
      <c r="H19" s="40" t="s">
        <v>1918</v>
      </c>
      <c r="I19" s="40" t="s">
        <v>2120</v>
      </c>
      <c r="J19" s="40" t="s">
        <v>2386</v>
      </c>
      <c r="K19" s="40" t="s">
        <v>2200</v>
      </c>
      <c r="L19" s="42" t="s">
        <v>2431</v>
      </c>
      <c r="M19" s="42" t="s">
        <v>2455</v>
      </c>
      <c r="N19" s="42" t="s">
        <v>1425</v>
      </c>
      <c r="O19" s="43"/>
      <c r="P19" s="40" t="s">
        <v>2118</v>
      </c>
      <c r="Q19" s="40" t="str">
        <f t="shared" si="2"/>
        <v>Available</v>
      </c>
      <c r="R19" s="40" t="s">
        <v>2456</v>
      </c>
      <c r="S19" s="40" t="s">
        <v>2457</v>
      </c>
      <c r="T19" s="40" t="s">
        <v>1501</v>
      </c>
      <c r="U19" s="39">
        <v>4.0</v>
      </c>
      <c r="V19" s="39">
        <v>9.0</v>
      </c>
      <c r="W19" s="39">
        <f t="shared" si="3"/>
        <v>13</v>
      </c>
    </row>
    <row r="20" ht="15.75" customHeight="1">
      <c r="A20" s="39">
        <v>124.0</v>
      </c>
      <c r="B20" s="40" t="s">
        <v>583</v>
      </c>
      <c r="C20" s="40" t="s">
        <v>1421</v>
      </c>
      <c r="D20" s="41">
        <v>4.5</v>
      </c>
      <c r="E20" s="41">
        <v>74.0</v>
      </c>
      <c r="F20" s="39" t="str">
        <f t="shared" si="1"/>
        <v>Available</v>
      </c>
      <c r="G20" s="39">
        <v>2016.0</v>
      </c>
      <c r="H20" s="40" t="s">
        <v>1998</v>
      </c>
      <c r="I20" s="40" t="s">
        <v>2117</v>
      </c>
      <c r="J20" s="40" t="s">
        <v>2386</v>
      </c>
      <c r="K20" s="40" t="s">
        <v>2173</v>
      </c>
      <c r="L20" s="42" t="s">
        <v>2412</v>
      </c>
      <c r="M20" s="42" t="s">
        <v>2458</v>
      </c>
      <c r="N20" s="42" t="s">
        <v>1422</v>
      </c>
      <c r="O20" s="43">
        <v>8.801711335635E12</v>
      </c>
      <c r="P20" s="40" t="s">
        <v>2115</v>
      </c>
      <c r="Q20" s="40" t="str">
        <f t="shared" si="2"/>
        <v>Available</v>
      </c>
      <c r="R20" s="40" t="s">
        <v>2459</v>
      </c>
      <c r="S20" s="40" t="s">
        <v>2460</v>
      </c>
      <c r="T20" s="40" t="s">
        <v>1497</v>
      </c>
      <c r="U20" s="39">
        <v>4.0</v>
      </c>
      <c r="V20" s="39">
        <v>7.0</v>
      </c>
      <c r="W20" s="39">
        <f t="shared" si="3"/>
        <v>11</v>
      </c>
    </row>
    <row r="21" ht="15.75" customHeight="1">
      <c r="A21" s="39">
        <v>123.0</v>
      </c>
      <c r="B21" s="40" t="s">
        <v>577</v>
      </c>
      <c r="C21" s="40" t="s">
        <v>1419</v>
      </c>
      <c r="D21" s="41">
        <v>5.0</v>
      </c>
      <c r="E21" s="41">
        <v>2.0</v>
      </c>
      <c r="F21" s="39" t="str">
        <f t="shared" si="1"/>
        <v>Available</v>
      </c>
      <c r="G21" s="39">
        <v>2017.0</v>
      </c>
      <c r="H21" s="40" t="s">
        <v>1998</v>
      </c>
      <c r="I21" s="40" t="s">
        <v>2114</v>
      </c>
      <c r="J21" s="40" t="s">
        <v>2386</v>
      </c>
      <c r="K21" s="40" t="s">
        <v>2161</v>
      </c>
      <c r="L21" s="42" t="s">
        <v>2416</v>
      </c>
      <c r="M21" s="42" t="s">
        <v>2461</v>
      </c>
      <c r="N21" s="42" t="s">
        <v>1420</v>
      </c>
      <c r="O21" s="43">
        <v>8.801534355957E12</v>
      </c>
      <c r="P21" s="40" t="s">
        <v>2113</v>
      </c>
      <c r="Q21" s="40" t="str">
        <f t="shared" si="2"/>
        <v>Available</v>
      </c>
      <c r="R21" s="40" t="s">
        <v>2462</v>
      </c>
      <c r="S21" s="40" t="s">
        <v>2463</v>
      </c>
      <c r="T21" s="40" t="s">
        <v>1501</v>
      </c>
      <c r="U21" s="39">
        <v>2.0</v>
      </c>
      <c r="V21" s="39">
        <v>1.0</v>
      </c>
      <c r="W21" s="39">
        <f t="shared" si="3"/>
        <v>3</v>
      </c>
    </row>
    <row r="22" ht="15.75" customHeight="1">
      <c r="A22" s="39">
        <v>122.0</v>
      </c>
      <c r="B22" s="40" t="s">
        <v>570</v>
      </c>
      <c r="C22" s="40" t="s">
        <v>1417</v>
      </c>
      <c r="D22" s="41">
        <v>5.0</v>
      </c>
      <c r="E22" s="41">
        <v>1.0</v>
      </c>
      <c r="F22" s="39" t="str">
        <f t="shared" si="1"/>
        <v>Available</v>
      </c>
      <c r="G22" s="39">
        <v>2006.0</v>
      </c>
      <c r="H22" s="40" t="s">
        <v>1942</v>
      </c>
      <c r="I22" s="40" t="s">
        <v>2112</v>
      </c>
      <c r="J22" s="40" t="s">
        <v>2386</v>
      </c>
      <c r="K22" s="40" t="s">
        <v>2187</v>
      </c>
      <c r="L22" s="42" t="s">
        <v>2344</v>
      </c>
      <c r="M22" s="42" t="s">
        <v>2464</v>
      </c>
      <c r="N22" s="42" t="s">
        <v>1418</v>
      </c>
      <c r="O22" s="43">
        <v>8.801713039777E12</v>
      </c>
      <c r="P22" s="40" t="s">
        <v>2110</v>
      </c>
      <c r="Q22" s="40" t="str">
        <f t="shared" si="2"/>
        <v>Available</v>
      </c>
      <c r="R22" s="40" t="s">
        <v>2465</v>
      </c>
      <c r="S22" s="40" t="s">
        <v>2466</v>
      </c>
      <c r="T22" s="40" t="s">
        <v>1522</v>
      </c>
      <c r="U22" s="39">
        <v>5.0</v>
      </c>
      <c r="V22" s="39">
        <v>2.0</v>
      </c>
      <c r="W22" s="39">
        <f t="shared" si="3"/>
        <v>7</v>
      </c>
    </row>
    <row r="23" ht="15.75" customHeight="1">
      <c r="A23" s="39">
        <v>121.0</v>
      </c>
      <c r="B23" s="40" t="s">
        <v>563</v>
      </c>
      <c r="C23" s="40" t="s">
        <v>1413</v>
      </c>
      <c r="D23" s="41">
        <v>4.9</v>
      </c>
      <c r="E23" s="41">
        <v>271.0</v>
      </c>
      <c r="F23" s="39" t="str">
        <f t="shared" si="1"/>
        <v>Available</v>
      </c>
      <c r="G23" s="39">
        <v>2011.0</v>
      </c>
      <c r="H23" s="40" t="s">
        <v>1972</v>
      </c>
      <c r="I23" s="40" t="s">
        <v>2109</v>
      </c>
      <c r="J23" s="40" t="s">
        <v>2386</v>
      </c>
      <c r="K23" s="40" t="s">
        <v>2169</v>
      </c>
      <c r="L23" s="42" t="s">
        <v>2399</v>
      </c>
      <c r="M23" s="42" t="s">
        <v>2467</v>
      </c>
      <c r="N23" s="42" t="s">
        <v>1416</v>
      </c>
      <c r="O23" s="43" t="s">
        <v>1765</v>
      </c>
      <c r="P23" s="40" t="s">
        <v>2108</v>
      </c>
      <c r="Q23" s="40" t="str">
        <f t="shared" si="2"/>
        <v>Available</v>
      </c>
      <c r="R23" s="40" t="s">
        <v>2468</v>
      </c>
      <c r="S23" s="40" t="s">
        <v>2469</v>
      </c>
      <c r="T23" s="40" t="s">
        <v>1522</v>
      </c>
      <c r="U23" s="39">
        <v>2.0</v>
      </c>
      <c r="V23" s="39">
        <v>3.0</v>
      </c>
      <c r="W23" s="39">
        <f t="shared" si="3"/>
        <v>5</v>
      </c>
    </row>
    <row r="24" ht="15.75" customHeight="1">
      <c r="A24" s="39">
        <v>120.0</v>
      </c>
      <c r="B24" s="40" t="s">
        <v>556</v>
      </c>
      <c r="C24" s="40" t="s">
        <v>1411</v>
      </c>
      <c r="D24" s="41">
        <v>4.5</v>
      </c>
      <c r="E24" s="41">
        <v>13.0</v>
      </c>
      <c r="F24" s="39" t="str">
        <f t="shared" si="1"/>
        <v>Available</v>
      </c>
      <c r="G24" s="39">
        <v>1995.0</v>
      </c>
      <c r="H24" s="40" t="s">
        <v>1890</v>
      </c>
      <c r="I24" s="40" t="s">
        <v>2107</v>
      </c>
      <c r="J24" s="40" t="s">
        <v>2386</v>
      </c>
      <c r="K24" s="40" t="s">
        <v>2259</v>
      </c>
      <c r="L24" s="42" t="s">
        <v>2306</v>
      </c>
      <c r="M24" s="42" t="s">
        <v>2470</v>
      </c>
      <c r="N24" s="42" t="s">
        <v>1412</v>
      </c>
      <c r="O24" s="43"/>
      <c r="P24" s="40" t="s">
        <v>2105</v>
      </c>
      <c r="Q24" s="40" t="str">
        <f t="shared" si="2"/>
        <v>Available</v>
      </c>
      <c r="R24" s="40" t="s">
        <v>2471</v>
      </c>
      <c r="S24" s="40" t="s">
        <v>2472</v>
      </c>
      <c r="T24" s="40" t="s">
        <v>1501</v>
      </c>
      <c r="U24" s="39">
        <v>9.0</v>
      </c>
      <c r="V24" s="39">
        <v>5.0</v>
      </c>
      <c r="W24" s="39">
        <f t="shared" si="3"/>
        <v>14</v>
      </c>
    </row>
    <row r="25" ht="15.75" customHeight="1">
      <c r="A25" s="39">
        <v>119.0</v>
      </c>
      <c r="B25" s="40" t="s">
        <v>551</v>
      </c>
      <c r="C25" s="40" t="s">
        <v>1407</v>
      </c>
      <c r="D25" s="39"/>
      <c r="E25" s="39"/>
      <c r="F25" s="39" t="str">
        <f t="shared" si="1"/>
        <v>Unavailable</v>
      </c>
      <c r="G25" s="39">
        <v>2009.0</v>
      </c>
      <c r="H25" s="40" t="s">
        <v>1942</v>
      </c>
      <c r="I25" s="40" t="s">
        <v>2104</v>
      </c>
      <c r="J25" s="40" t="s">
        <v>2386</v>
      </c>
      <c r="K25" s="40" t="s">
        <v>2328</v>
      </c>
      <c r="L25" s="42" t="s">
        <v>2344</v>
      </c>
      <c r="M25" s="42" t="s">
        <v>2473</v>
      </c>
      <c r="N25" s="42" t="s">
        <v>1410</v>
      </c>
      <c r="O25" s="43">
        <v>8.801730303421E12</v>
      </c>
      <c r="P25" s="40"/>
      <c r="Q25" s="40" t="str">
        <f t="shared" si="2"/>
        <v>Unavailable</v>
      </c>
      <c r="R25" s="40" t="s">
        <v>2474</v>
      </c>
      <c r="S25" s="40" t="s">
        <v>2475</v>
      </c>
      <c r="T25" s="40" t="s">
        <v>2442</v>
      </c>
      <c r="U25" s="39">
        <v>2.0</v>
      </c>
      <c r="V25" s="39">
        <v>1.0</v>
      </c>
      <c r="W25" s="39">
        <f t="shared" si="3"/>
        <v>3</v>
      </c>
    </row>
    <row r="26" ht="15.75" customHeight="1">
      <c r="A26" s="39">
        <v>118.0</v>
      </c>
      <c r="B26" s="40" t="s">
        <v>544</v>
      </c>
      <c r="C26" s="40" t="s">
        <v>1405</v>
      </c>
      <c r="D26" s="41">
        <v>4.7</v>
      </c>
      <c r="E26" s="41">
        <v>22.0</v>
      </c>
      <c r="F26" s="39" t="str">
        <f t="shared" si="1"/>
        <v>Available</v>
      </c>
      <c r="G26" s="39">
        <v>1999.0</v>
      </c>
      <c r="H26" s="40" t="s">
        <v>1890</v>
      </c>
      <c r="I26" s="40" t="s">
        <v>2103</v>
      </c>
      <c r="J26" s="40" t="s">
        <v>2386</v>
      </c>
      <c r="K26" s="40" t="s">
        <v>2165</v>
      </c>
      <c r="L26" s="42" t="s">
        <v>2476</v>
      </c>
      <c r="M26" s="42" t="s">
        <v>2477</v>
      </c>
      <c r="N26" s="42" t="s">
        <v>1406</v>
      </c>
      <c r="O26" s="43" t="s">
        <v>1760</v>
      </c>
      <c r="P26" s="45" t="s">
        <v>2478</v>
      </c>
      <c r="Q26" s="40" t="str">
        <f t="shared" si="2"/>
        <v>Available</v>
      </c>
      <c r="R26" s="40" t="s">
        <v>2479</v>
      </c>
      <c r="S26" s="40" t="s">
        <v>2480</v>
      </c>
      <c r="T26" s="40" t="s">
        <v>2420</v>
      </c>
      <c r="U26" s="39">
        <v>12.0</v>
      </c>
      <c r="V26" s="39">
        <v>14.0</v>
      </c>
      <c r="W26" s="39">
        <f t="shared" si="3"/>
        <v>26</v>
      </c>
    </row>
    <row r="27" ht="15.75" customHeight="1">
      <c r="A27" s="39">
        <v>117.0</v>
      </c>
      <c r="B27" s="40" t="s">
        <v>539</v>
      </c>
      <c r="C27" s="40" t="s">
        <v>1401</v>
      </c>
      <c r="D27" s="39"/>
      <c r="E27" s="39"/>
      <c r="F27" s="39" t="str">
        <f t="shared" si="1"/>
        <v>Unavailable</v>
      </c>
      <c r="G27" s="39">
        <v>2011.0</v>
      </c>
      <c r="H27" s="40" t="s">
        <v>1972</v>
      </c>
      <c r="I27" s="40" t="s">
        <v>2101</v>
      </c>
      <c r="J27" s="40" t="s">
        <v>2386</v>
      </c>
      <c r="K27" s="40" t="s">
        <v>2161</v>
      </c>
      <c r="L27" s="42" t="s">
        <v>2416</v>
      </c>
      <c r="M27" s="42" t="s">
        <v>2481</v>
      </c>
      <c r="N27" s="42" t="s">
        <v>1404</v>
      </c>
      <c r="O27" s="43" t="s">
        <v>1758</v>
      </c>
      <c r="P27" s="40"/>
      <c r="Q27" s="40" t="str">
        <f t="shared" si="2"/>
        <v>Unavailable</v>
      </c>
      <c r="R27" s="40" t="s">
        <v>2482</v>
      </c>
      <c r="S27" s="40" t="s">
        <v>2483</v>
      </c>
      <c r="T27" s="40" t="s">
        <v>1544</v>
      </c>
      <c r="U27" s="39">
        <v>4.0</v>
      </c>
      <c r="V27" s="39">
        <v>6.0</v>
      </c>
      <c r="W27" s="39">
        <f t="shared" si="3"/>
        <v>10</v>
      </c>
    </row>
    <row r="28" ht="15.75" customHeight="1">
      <c r="A28" s="39">
        <v>116.0</v>
      </c>
      <c r="B28" s="40" t="s">
        <v>531</v>
      </c>
      <c r="C28" s="40" t="s">
        <v>1399</v>
      </c>
      <c r="D28" s="41">
        <v>4.3</v>
      </c>
      <c r="E28" s="41">
        <v>33.0</v>
      </c>
      <c r="F28" s="39" t="str">
        <f t="shared" si="1"/>
        <v>Available</v>
      </c>
      <c r="G28" s="39">
        <v>2004.0</v>
      </c>
      <c r="H28" s="40" t="s">
        <v>1918</v>
      </c>
      <c r="I28" s="40" t="s">
        <v>2100</v>
      </c>
      <c r="J28" s="46" t="s">
        <v>2449</v>
      </c>
      <c r="K28" s="40" t="s">
        <v>2351</v>
      </c>
      <c r="L28" s="42" t="s">
        <v>2451</v>
      </c>
      <c r="M28" s="42" t="s">
        <v>2484</v>
      </c>
      <c r="N28" s="42" t="s">
        <v>1400</v>
      </c>
      <c r="O28" s="43"/>
      <c r="P28" s="40" t="s">
        <v>2098</v>
      </c>
      <c r="Q28" s="40" t="str">
        <f t="shared" si="2"/>
        <v>Available</v>
      </c>
      <c r="R28" s="40" t="s">
        <v>2485</v>
      </c>
      <c r="S28" s="40" t="s">
        <v>2486</v>
      </c>
      <c r="T28" s="40" t="s">
        <v>2487</v>
      </c>
      <c r="U28" s="39">
        <v>3.0</v>
      </c>
      <c r="V28" s="39">
        <v>9.0</v>
      </c>
      <c r="W28" s="39">
        <f t="shared" si="3"/>
        <v>12</v>
      </c>
    </row>
    <row r="29" ht="15.75" customHeight="1">
      <c r="A29" s="39">
        <v>115.0</v>
      </c>
      <c r="B29" s="40" t="s">
        <v>525</v>
      </c>
      <c r="C29" s="40" t="s">
        <v>1395</v>
      </c>
      <c r="D29" s="39"/>
      <c r="E29" s="39"/>
      <c r="F29" s="39" t="str">
        <f t="shared" si="1"/>
        <v>Unavailable</v>
      </c>
      <c r="G29" s="39">
        <v>2013.0</v>
      </c>
      <c r="H29" s="40" t="s">
        <v>1972</v>
      </c>
      <c r="I29" s="40" t="s">
        <v>2097</v>
      </c>
      <c r="J29" s="40" t="s">
        <v>2386</v>
      </c>
      <c r="K29" s="40" t="s">
        <v>2200</v>
      </c>
      <c r="L29" s="42" t="s">
        <v>2403</v>
      </c>
      <c r="M29" s="42" t="s">
        <v>2488</v>
      </c>
      <c r="N29" s="42" t="s">
        <v>1398</v>
      </c>
      <c r="O29" s="43" t="s">
        <v>1754</v>
      </c>
      <c r="P29" s="40"/>
      <c r="Q29" s="40" t="str">
        <f t="shared" si="2"/>
        <v>Unavailable</v>
      </c>
      <c r="R29" s="40" t="s">
        <v>2489</v>
      </c>
      <c r="S29" s="40" t="s">
        <v>2490</v>
      </c>
      <c r="T29" s="40" t="s">
        <v>1526</v>
      </c>
      <c r="U29" s="39">
        <v>1.0</v>
      </c>
      <c r="V29" s="39">
        <v>5.0</v>
      </c>
      <c r="W29" s="39">
        <f t="shared" si="3"/>
        <v>6</v>
      </c>
    </row>
    <row r="30" ht="15.75" customHeight="1">
      <c r="A30" s="39">
        <v>114.0</v>
      </c>
      <c r="B30" s="40" t="s">
        <v>519</v>
      </c>
      <c r="C30" s="40" t="s">
        <v>1393</v>
      </c>
      <c r="D30" s="41">
        <v>3.0</v>
      </c>
      <c r="E30" s="41">
        <v>5.0</v>
      </c>
      <c r="F30" s="39" t="str">
        <f t="shared" si="1"/>
        <v>Available</v>
      </c>
      <c r="G30" s="39">
        <v>2011.0</v>
      </c>
      <c r="H30" s="40" t="s">
        <v>1972</v>
      </c>
      <c r="I30" s="40" t="s">
        <v>2096</v>
      </c>
      <c r="J30" s="40" t="s">
        <v>2386</v>
      </c>
      <c r="K30" s="40" t="s">
        <v>2173</v>
      </c>
      <c r="L30" s="44" t="s">
        <v>2412</v>
      </c>
      <c r="M30" s="42" t="s">
        <v>2491</v>
      </c>
      <c r="N30" s="42" t="s">
        <v>1394</v>
      </c>
      <c r="O30" s="43" t="s">
        <v>1752</v>
      </c>
      <c r="P30" s="40" t="s">
        <v>2095</v>
      </c>
      <c r="Q30" s="40" t="str">
        <f t="shared" si="2"/>
        <v>Available</v>
      </c>
      <c r="R30" s="40" t="s">
        <v>2492</v>
      </c>
      <c r="S30" s="40" t="s">
        <v>2493</v>
      </c>
      <c r="T30" s="40" t="s">
        <v>1497</v>
      </c>
      <c r="U30" s="39">
        <v>4.0</v>
      </c>
      <c r="V30" s="39">
        <v>6.0</v>
      </c>
      <c r="W30" s="39">
        <f t="shared" si="3"/>
        <v>10</v>
      </c>
    </row>
    <row r="31" ht="15.75" customHeight="1">
      <c r="A31" s="39">
        <v>113.0</v>
      </c>
      <c r="B31" s="40" t="s">
        <v>514</v>
      </c>
      <c r="C31" s="40" t="s">
        <v>1389</v>
      </c>
      <c r="D31" s="41">
        <v>4.7</v>
      </c>
      <c r="E31" s="41">
        <v>6.0</v>
      </c>
      <c r="F31" s="39" t="str">
        <f t="shared" si="1"/>
        <v>Available</v>
      </c>
      <c r="G31" s="39">
        <v>2003.0</v>
      </c>
      <c r="H31" s="40" t="s">
        <v>1918</v>
      </c>
      <c r="I31" s="40" t="s">
        <v>2094</v>
      </c>
      <c r="J31" s="40" t="s">
        <v>2386</v>
      </c>
      <c r="K31" s="40" t="s">
        <v>2249</v>
      </c>
      <c r="L31" s="42" t="s">
        <v>2412</v>
      </c>
      <c r="M31" s="42" t="s">
        <v>2494</v>
      </c>
      <c r="N31" s="42" t="s">
        <v>1392</v>
      </c>
      <c r="O31" s="43" t="s">
        <v>1750</v>
      </c>
      <c r="P31" s="40"/>
      <c r="Q31" s="40" t="str">
        <f t="shared" si="2"/>
        <v>Unavailable</v>
      </c>
      <c r="R31" s="40" t="s">
        <v>2495</v>
      </c>
      <c r="S31" s="40" t="s">
        <v>2496</v>
      </c>
      <c r="T31" s="40" t="s">
        <v>1544</v>
      </c>
      <c r="U31" s="39">
        <v>2.0</v>
      </c>
      <c r="V31" s="39">
        <v>3.0</v>
      </c>
      <c r="W31" s="39">
        <f t="shared" si="3"/>
        <v>5</v>
      </c>
    </row>
    <row r="32" ht="15.75" customHeight="1">
      <c r="A32" s="39">
        <v>112.0</v>
      </c>
      <c r="B32" s="40" t="s">
        <v>509</v>
      </c>
      <c r="C32" s="40" t="s">
        <v>1386</v>
      </c>
      <c r="D32" s="39"/>
      <c r="E32" s="39"/>
      <c r="F32" s="39" t="str">
        <f t="shared" si="1"/>
        <v>Unavailable</v>
      </c>
      <c r="G32" s="39">
        <v>1995.0</v>
      </c>
      <c r="H32" s="40" t="s">
        <v>1890</v>
      </c>
      <c r="I32" s="40" t="s">
        <v>2093</v>
      </c>
      <c r="J32" s="40" t="s">
        <v>2386</v>
      </c>
      <c r="K32" s="40" t="s">
        <v>2173</v>
      </c>
      <c r="L32" s="42" t="s">
        <v>2344</v>
      </c>
      <c r="M32" s="42" t="s">
        <v>2497</v>
      </c>
      <c r="N32" s="42" t="s">
        <v>1388</v>
      </c>
      <c r="O32" s="43"/>
      <c r="P32" s="40"/>
      <c r="Q32" s="40" t="str">
        <f t="shared" si="2"/>
        <v>Unavailable</v>
      </c>
      <c r="R32" s="40" t="s">
        <v>2498</v>
      </c>
      <c r="S32" s="40" t="s">
        <v>2499</v>
      </c>
      <c r="T32" s="40" t="s">
        <v>1501</v>
      </c>
      <c r="U32" s="39">
        <v>2.0</v>
      </c>
      <c r="V32" s="39">
        <v>3.0</v>
      </c>
      <c r="W32" s="39">
        <f t="shared" si="3"/>
        <v>5</v>
      </c>
    </row>
    <row r="33" ht="15.75" customHeight="1">
      <c r="A33" s="39">
        <v>111.0</v>
      </c>
      <c r="B33" s="40" t="s">
        <v>503</v>
      </c>
      <c r="C33" s="40" t="s">
        <v>1382</v>
      </c>
      <c r="D33" s="39"/>
      <c r="E33" s="39"/>
      <c r="F33" s="39" t="str">
        <f t="shared" si="1"/>
        <v>Unavailable</v>
      </c>
      <c r="G33" s="39">
        <v>2008.0</v>
      </c>
      <c r="H33" s="40" t="s">
        <v>1942</v>
      </c>
      <c r="I33" s="40" t="s">
        <v>2092</v>
      </c>
      <c r="J33" s="40" t="s">
        <v>2386</v>
      </c>
      <c r="K33" s="40" t="s">
        <v>2169</v>
      </c>
      <c r="L33" s="42" t="s">
        <v>2424</v>
      </c>
      <c r="M33" s="42" t="s">
        <v>2500</v>
      </c>
      <c r="N33" s="42" t="s">
        <v>1385</v>
      </c>
      <c r="O33" s="43" t="s">
        <v>1747</v>
      </c>
      <c r="P33" s="40"/>
      <c r="Q33" s="40" t="str">
        <f t="shared" si="2"/>
        <v>Unavailable</v>
      </c>
      <c r="R33" s="40" t="s">
        <v>2501</v>
      </c>
      <c r="S33" s="40" t="s">
        <v>2502</v>
      </c>
      <c r="T33" s="40" t="s">
        <v>2503</v>
      </c>
      <c r="U33" s="39">
        <v>2.0</v>
      </c>
      <c r="V33" s="39">
        <v>8.0</v>
      </c>
      <c r="W33" s="39">
        <f t="shared" si="3"/>
        <v>10</v>
      </c>
    </row>
    <row r="34" ht="15.75" customHeight="1">
      <c r="A34" s="39">
        <v>110.0</v>
      </c>
      <c r="B34" s="40" t="s">
        <v>498</v>
      </c>
      <c r="C34" s="40" t="s">
        <v>1378</v>
      </c>
      <c r="D34" s="41"/>
      <c r="E34" s="41"/>
      <c r="F34" s="39" t="str">
        <f t="shared" si="1"/>
        <v>Unavailable</v>
      </c>
      <c r="G34" s="39">
        <v>1996.0</v>
      </c>
      <c r="H34" s="40" t="s">
        <v>1890</v>
      </c>
      <c r="I34" s="40" t="s">
        <v>2090</v>
      </c>
      <c r="J34" s="40" t="s">
        <v>2386</v>
      </c>
      <c r="K34" s="40" t="s">
        <v>2161</v>
      </c>
      <c r="L34" s="42" t="s">
        <v>2504</v>
      </c>
      <c r="M34" s="44" t="s">
        <v>2505</v>
      </c>
      <c r="N34" s="42" t="s">
        <v>1381</v>
      </c>
      <c r="O34" s="43" t="s">
        <v>1744</v>
      </c>
      <c r="P34" s="40"/>
      <c r="Q34" s="40" t="str">
        <f t="shared" si="2"/>
        <v>Unavailable</v>
      </c>
      <c r="R34" s="40" t="s">
        <v>2506</v>
      </c>
      <c r="S34" s="40" t="s">
        <v>2507</v>
      </c>
      <c r="T34" s="40" t="s">
        <v>1743</v>
      </c>
      <c r="U34" s="39">
        <v>1.0</v>
      </c>
      <c r="V34" s="39">
        <v>2.0</v>
      </c>
      <c r="W34" s="39">
        <f t="shared" si="3"/>
        <v>3</v>
      </c>
    </row>
    <row r="35" ht="15.75" customHeight="1">
      <c r="A35" s="39">
        <v>109.0</v>
      </c>
      <c r="B35" s="40" t="s">
        <v>492</v>
      </c>
      <c r="C35" s="40" t="s">
        <v>1376</v>
      </c>
      <c r="D35" s="41">
        <v>4.3</v>
      </c>
      <c r="E35" s="41">
        <v>35.0</v>
      </c>
      <c r="F35" s="39" t="str">
        <f t="shared" si="1"/>
        <v>Available</v>
      </c>
      <c r="G35" s="39">
        <v>2011.0</v>
      </c>
      <c r="H35" s="40" t="s">
        <v>1972</v>
      </c>
      <c r="I35" s="40" t="s">
        <v>2089</v>
      </c>
      <c r="J35" s="40" t="s">
        <v>2386</v>
      </c>
      <c r="K35" s="40" t="s">
        <v>2169</v>
      </c>
      <c r="L35" s="42" t="s">
        <v>2424</v>
      </c>
      <c r="M35" s="42" t="s">
        <v>2508</v>
      </c>
      <c r="N35" s="42" t="s">
        <v>1377</v>
      </c>
      <c r="O35" s="43" t="s">
        <v>1741</v>
      </c>
      <c r="P35" s="40" t="s">
        <v>2088</v>
      </c>
      <c r="Q35" s="40" t="str">
        <f t="shared" si="2"/>
        <v>Available</v>
      </c>
      <c r="R35" s="40" t="s">
        <v>2509</v>
      </c>
      <c r="S35" s="40" t="s">
        <v>2510</v>
      </c>
      <c r="T35" s="40" t="s">
        <v>1501</v>
      </c>
      <c r="U35" s="39">
        <v>1.0</v>
      </c>
      <c r="V35" s="39">
        <v>2.0</v>
      </c>
      <c r="W35" s="39">
        <f t="shared" si="3"/>
        <v>3</v>
      </c>
    </row>
    <row r="36" ht="15.75" customHeight="1">
      <c r="A36" s="39">
        <v>107.0</v>
      </c>
      <c r="B36" s="46" t="s">
        <v>2511</v>
      </c>
      <c r="C36" s="40" t="s">
        <v>1368</v>
      </c>
      <c r="D36" s="39"/>
      <c r="E36" s="39"/>
      <c r="F36" s="39" t="str">
        <f t="shared" si="1"/>
        <v>Unavailable</v>
      </c>
      <c r="G36" s="39">
        <v>2010.0</v>
      </c>
      <c r="H36" s="40" t="s">
        <v>1972</v>
      </c>
      <c r="I36" s="40" t="s">
        <v>2086</v>
      </c>
      <c r="J36" s="40" t="s">
        <v>2386</v>
      </c>
      <c r="K36" s="40" t="s">
        <v>2173</v>
      </c>
      <c r="L36" s="42" t="s">
        <v>2344</v>
      </c>
      <c r="M36" s="42" t="s">
        <v>2512</v>
      </c>
      <c r="N36" s="42" t="s">
        <v>1370</v>
      </c>
      <c r="O36" s="43"/>
      <c r="P36" s="40"/>
      <c r="Q36" s="40" t="str">
        <f t="shared" si="2"/>
        <v>Unavailable</v>
      </c>
      <c r="R36" s="40" t="s">
        <v>2513</v>
      </c>
      <c r="S36" s="40" t="s">
        <v>2514</v>
      </c>
      <c r="T36" s="40" t="s">
        <v>2420</v>
      </c>
      <c r="U36" s="39">
        <v>2.0</v>
      </c>
      <c r="V36" s="39">
        <v>1.0</v>
      </c>
      <c r="W36" s="39">
        <f t="shared" si="3"/>
        <v>3</v>
      </c>
    </row>
    <row r="37" ht="15.75" customHeight="1">
      <c r="A37" s="39">
        <v>108.0</v>
      </c>
      <c r="B37" s="46" t="s">
        <v>2515</v>
      </c>
      <c r="C37" s="40" t="s">
        <v>1371</v>
      </c>
      <c r="D37" s="39"/>
      <c r="E37" s="39"/>
      <c r="F37" s="39" t="str">
        <f t="shared" si="1"/>
        <v>Unavailable</v>
      </c>
      <c r="G37" s="39">
        <v>1996.0</v>
      </c>
      <c r="H37" s="40" t="s">
        <v>1890</v>
      </c>
      <c r="I37" s="40" t="s">
        <v>2087</v>
      </c>
      <c r="J37" s="40" t="s">
        <v>2386</v>
      </c>
      <c r="K37" s="40" t="s">
        <v>2339</v>
      </c>
      <c r="L37" s="42" t="s">
        <v>2516</v>
      </c>
      <c r="M37" s="42" t="s">
        <v>2517</v>
      </c>
      <c r="N37" s="42" t="s">
        <v>1374</v>
      </c>
      <c r="O37" s="43" t="s">
        <v>1739</v>
      </c>
      <c r="P37" s="40"/>
      <c r="Q37" s="40" t="str">
        <f t="shared" si="2"/>
        <v>Unavailable</v>
      </c>
      <c r="R37" s="40" t="s">
        <v>2518</v>
      </c>
      <c r="S37" s="40" t="s">
        <v>2519</v>
      </c>
      <c r="T37" s="40" t="s">
        <v>1497</v>
      </c>
      <c r="U37" s="39">
        <v>6.0</v>
      </c>
      <c r="V37" s="39">
        <v>12.0</v>
      </c>
      <c r="W37" s="39">
        <f t="shared" si="3"/>
        <v>18</v>
      </c>
    </row>
    <row r="38" ht="15.75" customHeight="1">
      <c r="A38" s="39">
        <v>106.0</v>
      </c>
      <c r="B38" s="40" t="s">
        <v>477</v>
      </c>
      <c r="C38" s="40" t="s">
        <v>1364</v>
      </c>
      <c r="D38" s="39"/>
      <c r="E38" s="39"/>
      <c r="F38" s="39" t="str">
        <f t="shared" si="1"/>
        <v>Unavailable</v>
      </c>
      <c r="G38" s="39">
        <v>2008.0</v>
      </c>
      <c r="H38" s="40" t="s">
        <v>1942</v>
      </c>
      <c r="I38" s="40" t="s">
        <v>2085</v>
      </c>
      <c r="J38" s="40" t="s">
        <v>2386</v>
      </c>
      <c r="K38" s="40" t="s">
        <v>2225</v>
      </c>
      <c r="L38" s="42" t="s">
        <v>2412</v>
      </c>
      <c r="M38" s="42" t="s">
        <v>2520</v>
      </c>
      <c r="N38" s="42" t="s">
        <v>1367</v>
      </c>
      <c r="O38" s="43" t="s">
        <v>1736</v>
      </c>
      <c r="P38" s="40"/>
      <c r="Q38" s="40" t="str">
        <f t="shared" si="2"/>
        <v>Unavailable</v>
      </c>
      <c r="R38" s="40" t="s">
        <v>2521</v>
      </c>
      <c r="S38" s="40" t="s">
        <v>2522</v>
      </c>
      <c r="T38" s="40" t="s">
        <v>2442</v>
      </c>
      <c r="U38" s="39">
        <v>2.0</v>
      </c>
      <c r="V38" s="39">
        <v>3.0</v>
      </c>
      <c r="W38" s="39">
        <f t="shared" si="3"/>
        <v>5</v>
      </c>
    </row>
    <row r="39" ht="15.75" customHeight="1">
      <c r="A39" s="39">
        <v>105.0</v>
      </c>
      <c r="B39" s="40" t="s">
        <v>469</v>
      </c>
      <c r="C39" s="40" t="s">
        <v>1360</v>
      </c>
      <c r="D39" s="41">
        <v>5.0</v>
      </c>
      <c r="E39" s="41">
        <v>10.0</v>
      </c>
      <c r="F39" s="39" t="str">
        <f t="shared" si="1"/>
        <v>Available</v>
      </c>
      <c r="G39" s="39">
        <v>2001.0</v>
      </c>
      <c r="H39" s="40" t="s">
        <v>1918</v>
      </c>
      <c r="I39" s="40" t="s">
        <v>2084</v>
      </c>
      <c r="J39" s="40" t="s">
        <v>2386</v>
      </c>
      <c r="K39" s="40" t="s">
        <v>2259</v>
      </c>
      <c r="L39" s="42" t="s">
        <v>2476</v>
      </c>
      <c r="M39" s="42" t="s">
        <v>2523</v>
      </c>
      <c r="N39" s="42" t="s">
        <v>1363</v>
      </c>
      <c r="O39" s="43" t="s">
        <v>1734</v>
      </c>
      <c r="P39" s="40"/>
      <c r="Q39" s="40" t="str">
        <f t="shared" si="2"/>
        <v>Unavailable</v>
      </c>
      <c r="R39" s="40" t="s">
        <v>2524</v>
      </c>
      <c r="S39" s="40" t="s">
        <v>2525</v>
      </c>
      <c r="T39" s="40" t="s">
        <v>1497</v>
      </c>
      <c r="U39" s="39">
        <v>4.0</v>
      </c>
      <c r="V39" s="39">
        <v>6.0</v>
      </c>
      <c r="W39" s="39">
        <f t="shared" si="3"/>
        <v>10</v>
      </c>
    </row>
    <row r="40" ht="15.75" customHeight="1">
      <c r="A40" s="39">
        <v>104.0</v>
      </c>
      <c r="B40" s="40" t="s">
        <v>463</v>
      </c>
      <c r="C40" s="40" t="s">
        <v>1356</v>
      </c>
      <c r="D40" s="41">
        <v>4.5</v>
      </c>
      <c r="E40" s="41">
        <v>65.0</v>
      </c>
      <c r="F40" s="39" t="str">
        <f t="shared" si="1"/>
        <v>Available</v>
      </c>
      <c r="G40" s="39">
        <v>2015.0</v>
      </c>
      <c r="H40" s="40" t="s">
        <v>1998</v>
      </c>
      <c r="I40" s="40" t="s">
        <v>2082</v>
      </c>
      <c r="J40" s="40" t="s">
        <v>2386</v>
      </c>
      <c r="K40" s="40" t="s">
        <v>2200</v>
      </c>
      <c r="L40" s="42" t="s">
        <v>2424</v>
      </c>
      <c r="M40" s="42" t="s">
        <v>2526</v>
      </c>
      <c r="N40" s="42" t="s">
        <v>1359</v>
      </c>
      <c r="O40" s="43" t="s">
        <v>1731</v>
      </c>
      <c r="P40" s="40" t="s">
        <v>2081</v>
      </c>
      <c r="Q40" s="40" t="str">
        <f t="shared" si="2"/>
        <v>Available</v>
      </c>
      <c r="R40" s="40" t="s">
        <v>2527</v>
      </c>
      <c r="S40" s="40" t="s">
        <v>2528</v>
      </c>
      <c r="T40" s="40" t="s">
        <v>1501</v>
      </c>
      <c r="U40" s="39">
        <v>0.0</v>
      </c>
      <c r="V40" s="39">
        <v>0.0</v>
      </c>
      <c r="W40" s="39">
        <f t="shared" si="3"/>
        <v>0</v>
      </c>
    </row>
    <row r="41" ht="15.75" customHeight="1">
      <c r="A41" s="39">
        <v>103.0</v>
      </c>
      <c r="B41" s="40" t="s">
        <v>458</v>
      </c>
      <c r="C41" s="40" t="s">
        <v>1352</v>
      </c>
      <c r="D41" s="41">
        <v>5.0</v>
      </c>
      <c r="E41" s="41">
        <v>3.0</v>
      </c>
      <c r="F41" s="39" t="str">
        <f t="shared" si="1"/>
        <v>Available</v>
      </c>
      <c r="G41" s="39">
        <v>1995.0</v>
      </c>
      <c r="H41" s="40" t="s">
        <v>1890</v>
      </c>
      <c r="I41" s="40" t="s">
        <v>2080</v>
      </c>
      <c r="J41" s="40" t="s">
        <v>2386</v>
      </c>
      <c r="K41" s="40" t="s">
        <v>2331</v>
      </c>
      <c r="L41" s="42" t="s">
        <v>2529</v>
      </c>
      <c r="M41" s="42" t="s">
        <v>2530</v>
      </c>
      <c r="N41" s="42" t="s">
        <v>1355</v>
      </c>
      <c r="O41" s="43" t="s">
        <v>1728</v>
      </c>
      <c r="P41" s="40"/>
      <c r="Q41" s="40" t="str">
        <f t="shared" si="2"/>
        <v>Unavailable</v>
      </c>
      <c r="R41" s="40" t="s">
        <v>2531</v>
      </c>
      <c r="S41" s="40" t="s">
        <v>2532</v>
      </c>
      <c r="T41" s="40" t="s">
        <v>1497</v>
      </c>
      <c r="U41" s="39">
        <v>1.0</v>
      </c>
      <c r="V41" s="39">
        <v>0.0</v>
      </c>
      <c r="W41" s="39">
        <f t="shared" si="3"/>
        <v>1</v>
      </c>
    </row>
    <row r="42" ht="15.75" customHeight="1">
      <c r="A42" s="39">
        <v>102.0</v>
      </c>
      <c r="B42" s="40" t="s">
        <v>450</v>
      </c>
      <c r="C42" s="40" t="s">
        <v>1348</v>
      </c>
      <c r="D42" s="41">
        <v>4.9</v>
      </c>
      <c r="E42" s="41">
        <v>37.0</v>
      </c>
      <c r="F42" s="39" t="str">
        <f t="shared" si="1"/>
        <v>Available</v>
      </c>
      <c r="G42" s="39">
        <v>2012.0</v>
      </c>
      <c r="H42" s="40" t="s">
        <v>1972</v>
      </c>
      <c r="I42" s="40" t="s">
        <v>2079</v>
      </c>
      <c r="J42" s="40" t="s">
        <v>2386</v>
      </c>
      <c r="K42" s="40" t="s">
        <v>2259</v>
      </c>
      <c r="L42" s="42" t="s">
        <v>2476</v>
      </c>
      <c r="M42" s="42" t="s">
        <v>2533</v>
      </c>
      <c r="N42" s="42" t="s">
        <v>1351</v>
      </c>
      <c r="O42" s="43" t="s">
        <v>1726</v>
      </c>
      <c r="P42" s="40" t="s">
        <v>2077</v>
      </c>
      <c r="Q42" s="40" t="str">
        <f t="shared" si="2"/>
        <v>Available</v>
      </c>
      <c r="R42" s="40" t="s">
        <v>2534</v>
      </c>
      <c r="S42" s="40" t="s">
        <v>2535</v>
      </c>
      <c r="T42" s="40" t="s">
        <v>2438</v>
      </c>
      <c r="U42" s="39">
        <v>5.0</v>
      </c>
      <c r="V42" s="39">
        <v>6.0</v>
      </c>
      <c r="W42" s="39">
        <f t="shared" si="3"/>
        <v>11</v>
      </c>
    </row>
    <row r="43" ht="15.75" customHeight="1">
      <c r="A43" s="39">
        <v>101.0</v>
      </c>
      <c r="B43" s="40" t="s">
        <v>443</v>
      </c>
      <c r="C43" s="40" t="s">
        <v>1346</v>
      </c>
      <c r="D43" s="41">
        <v>4.8</v>
      </c>
      <c r="E43" s="41">
        <v>11.0</v>
      </c>
      <c r="F43" s="39" t="str">
        <f t="shared" si="1"/>
        <v>Available</v>
      </c>
      <c r="G43" s="39">
        <v>2010.0</v>
      </c>
      <c r="H43" s="40" t="s">
        <v>1972</v>
      </c>
      <c r="I43" s="40" t="s">
        <v>2076</v>
      </c>
      <c r="J43" s="40" t="s">
        <v>2386</v>
      </c>
      <c r="K43" s="40" t="s">
        <v>2210</v>
      </c>
      <c r="L43" s="42" t="s">
        <v>2407</v>
      </c>
      <c r="M43" s="42" t="s">
        <v>2536</v>
      </c>
      <c r="N43" s="42" t="s">
        <v>1347</v>
      </c>
      <c r="O43" s="43" t="s">
        <v>1723</v>
      </c>
      <c r="P43" s="40" t="s">
        <v>2074</v>
      </c>
      <c r="Q43" s="40" t="str">
        <f t="shared" si="2"/>
        <v>Available</v>
      </c>
      <c r="R43" s="40" t="s">
        <v>2537</v>
      </c>
      <c r="S43" s="40" t="s">
        <v>2538</v>
      </c>
      <c r="T43" s="40" t="s">
        <v>1501</v>
      </c>
      <c r="U43" s="39">
        <v>6.0</v>
      </c>
      <c r="V43" s="39">
        <v>5.0</v>
      </c>
      <c r="W43" s="39">
        <f t="shared" si="3"/>
        <v>11</v>
      </c>
    </row>
    <row r="44" ht="15.75" customHeight="1">
      <c r="A44" s="39">
        <v>100.0</v>
      </c>
      <c r="B44" s="40" t="s">
        <v>438</v>
      </c>
      <c r="C44" s="40" t="s">
        <v>1342</v>
      </c>
      <c r="D44" s="39"/>
      <c r="E44" s="39"/>
      <c r="F44" s="39" t="str">
        <f t="shared" si="1"/>
        <v>Unavailable</v>
      </c>
      <c r="G44" s="39">
        <v>1997.0</v>
      </c>
      <c r="H44" s="40" t="s">
        <v>1890</v>
      </c>
      <c r="I44" s="40" t="s">
        <v>2073</v>
      </c>
      <c r="J44" s="40" t="s">
        <v>2386</v>
      </c>
      <c r="K44" s="40" t="s">
        <v>2200</v>
      </c>
      <c r="L44" s="42" t="s">
        <v>2431</v>
      </c>
      <c r="M44" s="42" t="s">
        <v>2539</v>
      </c>
      <c r="N44" s="42" t="s">
        <v>1345</v>
      </c>
      <c r="O44" s="43" t="s">
        <v>1720</v>
      </c>
      <c r="P44" s="40"/>
      <c r="Q44" s="40" t="str">
        <f t="shared" si="2"/>
        <v>Unavailable</v>
      </c>
      <c r="R44" s="40" t="s">
        <v>2540</v>
      </c>
      <c r="S44" s="40" t="s">
        <v>2541</v>
      </c>
      <c r="T44" s="40" t="s">
        <v>1501</v>
      </c>
      <c r="U44" s="39">
        <v>3.0</v>
      </c>
      <c r="V44" s="39">
        <v>2.0</v>
      </c>
      <c r="W44" s="39">
        <f t="shared" si="3"/>
        <v>5</v>
      </c>
    </row>
    <row r="45" ht="15.75" customHeight="1">
      <c r="A45" s="39">
        <v>99.0</v>
      </c>
      <c r="B45" s="40" t="s">
        <v>433</v>
      </c>
      <c r="C45" s="40" t="s">
        <v>1338</v>
      </c>
      <c r="D45" s="39"/>
      <c r="E45" s="39"/>
      <c r="F45" s="39" t="str">
        <f t="shared" si="1"/>
        <v>Unavailable</v>
      </c>
      <c r="G45" s="39">
        <v>2006.0</v>
      </c>
      <c r="H45" s="40" t="s">
        <v>1942</v>
      </c>
      <c r="I45" s="40" t="s">
        <v>2072</v>
      </c>
      <c r="J45" s="40" t="s">
        <v>2386</v>
      </c>
      <c r="K45" s="40" t="s">
        <v>2328</v>
      </c>
      <c r="L45" s="42" t="s">
        <v>2412</v>
      </c>
      <c r="M45" s="42" t="s">
        <v>2542</v>
      </c>
      <c r="N45" s="42" t="s">
        <v>1341</v>
      </c>
      <c r="O45" s="43" t="s">
        <v>1718</v>
      </c>
      <c r="P45" s="40"/>
      <c r="Q45" s="40" t="str">
        <f t="shared" si="2"/>
        <v>Unavailable</v>
      </c>
      <c r="R45" s="40" t="s">
        <v>2543</v>
      </c>
      <c r="S45" s="40" t="s">
        <v>2544</v>
      </c>
      <c r="T45" s="40" t="s">
        <v>1501</v>
      </c>
      <c r="U45" s="39">
        <v>1.0</v>
      </c>
      <c r="V45" s="39">
        <v>2.0</v>
      </c>
      <c r="W45" s="39">
        <f t="shared" si="3"/>
        <v>3</v>
      </c>
    </row>
    <row r="46" ht="15.75" customHeight="1">
      <c r="A46" s="39">
        <v>98.0</v>
      </c>
      <c r="B46" s="40" t="s">
        <v>427</v>
      </c>
      <c r="C46" s="40" t="s">
        <v>1334</v>
      </c>
      <c r="D46" s="39"/>
      <c r="E46" s="39"/>
      <c r="F46" s="39" t="str">
        <f t="shared" si="1"/>
        <v>Unavailable</v>
      </c>
      <c r="G46" s="39">
        <v>2008.0</v>
      </c>
      <c r="H46" s="40" t="s">
        <v>1942</v>
      </c>
      <c r="I46" s="40" t="s">
        <v>2071</v>
      </c>
      <c r="J46" s="40" t="s">
        <v>2386</v>
      </c>
      <c r="K46" s="40" t="s">
        <v>2326</v>
      </c>
      <c r="L46" s="42" t="s">
        <v>2412</v>
      </c>
      <c r="M46" s="42" t="s">
        <v>2545</v>
      </c>
      <c r="N46" s="42" t="s">
        <v>1337</v>
      </c>
      <c r="O46" s="43" t="s">
        <v>1716</v>
      </c>
      <c r="P46" s="40"/>
      <c r="Q46" s="40" t="str">
        <f t="shared" si="2"/>
        <v>Unavailable</v>
      </c>
      <c r="R46" s="40" t="s">
        <v>2546</v>
      </c>
      <c r="S46" s="40" t="s">
        <v>2547</v>
      </c>
      <c r="T46" s="40" t="s">
        <v>1522</v>
      </c>
      <c r="U46" s="39">
        <v>6.0</v>
      </c>
      <c r="V46" s="39">
        <v>4.0</v>
      </c>
      <c r="W46" s="39">
        <f t="shared" si="3"/>
        <v>10</v>
      </c>
    </row>
    <row r="47" ht="15.75" customHeight="1">
      <c r="A47" s="39">
        <v>97.0</v>
      </c>
      <c r="B47" s="40" t="s">
        <v>420</v>
      </c>
      <c r="C47" s="40" t="s">
        <v>1330</v>
      </c>
      <c r="D47" s="39"/>
      <c r="E47" s="39"/>
      <c r="F47" s="39" t="str">
        <f t="shared" si="1"/>
        <v>Unavailable</v>
      </c>
      <c r="G47" s="39">
        <v>2013.0</v>
      </c>
      <c r="H47" s="40" t="s">
        <v>1972</v>
      </c>
      <c r="I47" s="40" t="s">
        <v>2069</v>
      </c>
      <c r="J47" s="40" t="s">
        <v>2386</v>
      </c>
      <c r="K47" s="40" t="s">
        <v>2169</v>
      </c>
      <c r="L47" s="42" t="s">
        <v>2424</v>
      </c>
      <c r="M47" s="42" t="s">
        <v>2548</v>
      </c>
      <c r="N47" s="42" t="s">
        <v>1333</v>
      </c>
      <c r="O47" s="43"/>
      <c r="P47" s="40"/>
      <c r="Q47" s="40" t="str">
        <f t="shared" si="2"/>
        <v>Unavailable</v>
      </c>
      <c r="R47" s="40" t="s">
        <v>2549</v>
      </c>
      <c r="S47" s="40" t="s">
        <v>2550</v>
      </c>
      <c r="T47" s="40" t="s">
        <v>2420</v>
      </c>
      <c r="U47" s="39">
        <v>2.0</v>
      </c>
      <c r="V47" s="39">
        <v>0.0</v>
      </c>
      <c r="W47" s="39">
        <f t="shared" si="3"/>
        <v>2</v>
      </c>
    </row>
    <row r="48" ht="15.75" customHeight="1">
      <c r="A48" s="39">
        <v>96.0</v>
      </c>
      <c r="B48" s="40" t="s">
        <v>411</v>
      </c>
      <c r="C48" s="40" t="s">
        <v>1328</v>
      </c>
      <c r="D48" s="41">
        <v>4.5</v>
      </c>
      <c r="E48" s="41">
        <v>12.0</v>
      </c>
      <c r="F48" s="39" t="str">
        <f t="shared" si="1"/>
        <v>Available</v>
      </c>
      <c r="G48" s="39">
        <v>1990.0</v>
      </c>
      <c r="H48" s="40" t="s">
        <v>1870</v>
      </c>
      <c r="I48" s="40" t="s">
        <v>2068</v>
      </c>
      <c r="J48" s="46" t="s">
        <v>2449</v>
      </c>
      <c r="K48" s="40" t="s">
        <v>2322</v>
      </c>
      <c r="L48" s="42" t="s">
        <v>2551</v>
      </c>
      <c r="M48" s="42" t="s">
        <v>2552</v>
      </c>
      <c r="N48" s="42" t="s">
        <v>1329</v>
      </c>
      <c r="O48" s="43"/>
      <c r="P48" s="40" t="s">
        <v>2066</v>
      </c>
      <c r="Q48" s="40" t="str">
        <f t="shared" si="2"/>
        <v>Available</v>
      </c>
      <c r="R48" s="40" t="s">
        <v>2553</v>
      </c>
      <c r="S48" s="40" t="s">
        <v>2554</v>
      </c>
      <c r="T48" s="40" t="s">
        <v>1501</v>
      </c>
      <c r="U48" s="39">
        <v>7.0</v>
      </c>
      <c r="V48" s="39">
        <v>23.0</v>
      </c>
      <c r="W48" s="39">
        <f t="shared" si="3"/>
        <v>30</v>
      </c>
    </row>
    <row r="49" ht="15.75" customHeight="1">
      <c r="A49" s="39">
        <v>95.0</v>
      </c>
      <c r="B49" s="40" t="s">
        <v>402</v>
      </c>
      <c r="C49" s="40" t="s">
        <v>1325</v>
      </c>
      <c r="D49" s="41">
        <v>3.8</v>
      </c>
      <c r="E49" s="41">
        <v>4.0</v>
      </c>
      <c r="F49" s="39" t="str">
        <f t="shared" si="1"/>
        <v>Available</v>
      </c>
      <c r="G49" s="39">
        <v>1984.0</v>
      </c>
      <c r="H49" s="40" t="s">
        <v>1836</v>
      </c>
      <c r="I49" s="40" t="s">
        <v>2064</v>
      </c>
      <c r="J49" s="40" t="s">
        <v>2386</v>
      </c>
      <c r="K49" s="40" t="s">
        <v>2187</v>
      </c>
      <c r="L49" s="44" t="s">
        <v>2476</v>
      </c>
      <c r="M49" s="42" t="s">
        <v>2555</v>
      </c>
      <c r="N49" s="42" t="s">
        <v>1326</v>
      </c>
      <c r="O49" s="43" t="s">
        <v>1710</v>
      </c>
      <c r="P49" s="40" t="s">
        <v>2062</v>
      </c>
      <c r="Q49" s="40" t="str">
        <f t="shared" si="2"/>
        <v>Available</v>
      </c>
      <c r="R49" s="40" t="s">
        <v>2556</v>
      </c>
      <c r="S49" s="40" t="s">
        <v>2557</v>
      </c>
      <c r="T49" s="40" t="s">
        <v>1497</v>
      </c>
      <c r="U49" s="39">
        <v>3.0</v>
      </c>
      <c r="V49" s="39">
        <v>57.0</v>
      </c>
      <c r="W49" s="39">
        <f t="shared" si="3"/>
        <v>60</v>
      </c>
    </row>
    <row r="50" ht="15.75" customHeight="1">
      <c r="A50" s="39">
        <v>94.0</v>
      </c>
      <c r="B50" s="40" t="s">
        <v>395</v>
      </c>
      <c r="C50" s="40" t="s">
        <v>1323</v>
      </c>
      <c r="D50" s="41">
        <v>4.8</v>
      </c>
      <c r="E50" s="41">
        <v>76.0</v>
      </c>
      <c r="F50" s="39" t="str">
        <f t="shared" si="1"/>
        <v>Available</v>
      </c>
      <c r="G50" s="39">
        <v>1996.0</v>
      </c>
      <c r="H50" s="40" t="s">
        <v>1890</v>
      </c>
      <c r="I50" s="40" t="s">
        <v>2061</v>
      </c>
      <c r="J50" s="40" t="s">
        <v>2386</v>
      </c>
      <c r="K50" s="40" t="s">
        <v>2210</v>
      </c>
      <c r="L50" s="44" t="s">
        <v>2403</v>
      </c>
      <c r="M50" s="42" t="s">
        <v>2558</v>
      </c>
      <c r="N50" s="42" t="s">
        <v>1324</v>
      </c>
      <c r="O50" s="43" t="s">
        <v>2559</v>
      </c>
      <c r="P50" s="40" t="s">
        <v>2059</v>
      </c>
      <c r="Q50" s="40" t="str">
        <f t="shared" si="2"/>
        <v>Available</v>
      </c>
      <c r="R50" s="40" t="s">
        <v>2560</v>
      </c>
      <c r="S50" s="40" t="s">
        <v>2561</v>
      </c>
      <c r="T50" s="40" t="s">
        <v>1497</v>
      </c>
      <c r="U50" s="39">
        <v>21.0</v>
      </c>
      <c r="V50" s="39">
        <v>46.0</v>
      </c>
      <c r="W50" s="39">
        <f t="shared" si="3"/>
        <v>67</v>
      </c>
    </row>
    <row r="51" ht="15.75" customHeight="1">
      <c r="A51" s="39">
        <v>93.0</v>
      </c>
      <c r="B51" s="40" t="s">
        <v>389</v>
      </c>
      <c r="C51" s="40" t="s">
        <v>1321</v>
      </c>
      <c r="D51" s="39"/>
      <c r="E51" s="39"/>
      <c r="F51" s="39" t="str">
        <f t="shared" si="1"/>
        <v>Unavailable</v>
      </c>
      <c r="G51" s="39">
        <v>2008.0</v>
      </c>
      <c r="H51" s="40" t="s">
        <v>1942</v>
      </c>
      <c r="I51" s="40" t="s">
        <v>2058</v>
      </c>
      <c r="J51" s="40" t="s">
        <v>2386</v>
      </c>
      <c r="K51" s="40" t="s">
        <v>2179</v>
      </c>
      <c r="L51" s="42" t="s">
        <v>2412</v>
      </c>
      <c r="M51" s="42" t="s">
        <v>2562</v>
      </c>
      <c r="N51" s="42" t="s">
        <v>1322</v>
      </c>
      <c r="O51" s="43"/>
      <c r="P51" s="40" t="s">
        <v>2057</v>
      </c>
      <c r="Q51" s="40" t="str">
        <f t="shared" si="2"/>
        <v>Available</v>
      </c>
      <c r="R51" s="40" t="s">
        <v>2563</v>
      </c>
      <c r="S51" s="40" t="s">
        <v>2564</v>
      </c>
      <c r="T51" s="40" t="s">
        <v>1501</v>
      </c>
      <c r="U51" s="39">
        <v>1.0</v>
      </c>
      <c r="V51" s="39">
        <v>4.0</v>
      </c>
      <c r="W51" s="39">
        <f t="shared" si="3"/>
        <v>5</v>
      </c>
    </row>
    <row r="52" ht="15.75" customHeight="1">
      <c r="A52" s="39">
        <v>92.0</v>
      </c>
      <c r="B52" s="40" t="s">
        <v>382</v>
      </c>
      <c r="C52" s="40" t="s">
        <v>1319</v>
      </c>
      <c r="D52" s="41">
        <v>5.0</v>
      </c>
      <c r="E52" s="41">
        <v>12.0</v>
      </c>
      <c r="F52" s="39" t="str">
        <f t="shared" si="1"/>
        <v>Available</v>
      </c>
      <c r="G52" s="39">
        <v>2008.0</v>
      </c>
      <c r="H52" s="40" t="s">
        <v>1942</v>
      </c>
      <c r="I52" s="40" t="s">
        <v>2056</v>
      </c>
      <c r="J52" s="40" t="s">
        <v>2386</v>
      </c>
      <c r="K52" s="40" t="s">
        <v>2316</v>
      </c>
      <c r="L52" s="42" t="s">
        <v>2344</v>
      </c>
      <c r="M52" s="42" t="s">
        <v>2565</v>
      </c>
      <c r="N52" s="42" t="s">
        <v>1320</v>
      </c>
      <c r="O52" s="43" t="s">
        <v>1704</v>
      </c>
      <c r="P52" s="40" t="s">
        <v>2054</v>
      </c>
      <c r="Q52" s="40" t="str">
        <f t="shared" si="2"/>
        <v>Available</v>
      </c>
      <c r="R52" s="40" t="s">
        <v>2566</v>
      </c>
      <c r="S52" s="40" t="s">
        <v>2567</v>
      </c>
      <c r="T52" s="40" t="s">
        <v>1497</v>
      </c>
      <c r="U52" s="39">
        <v>4.0</v>
      </c>
      <c r="V52" s="39">
        <v>3.0</v>
      </c>
      <c r="W52" s="39">
        <f t="shared" si="3"/>
        <v>7</v>
      </c>
    </row>
    <row r="53" ht="15.75" customHeight="1">
      <c r="A53" s="39">
        <v>91.0</v>
      </c>
      <c r="B53" s="40" t="s">
        <v>376</v>
      </c>
      <c r="C53" s="40" t="s">
        <v>1315</v>
      </c>
      <c r="D53" s="41">
        <v>4.3</v>
      </c>
      <c r="E53" s="41">
        <v>4.0</v>
      </c>
      <c r="F53" s="39" t="str">
        <f t="shared" si="1"/>
        <v>Available</v>
      </c>
      <c r="G53" s="39">
        <v>2006.0</v>
      </c>
      <c r="H53" s="40" t="s">
        <v>1942</v>
      </c>
      <c r="I53" s="40" t="s">
        <v>2053</v>
      </c>
      <c r="J53" s="40" t="s">
        <v>2386</v>
      </c>
      <c r="K53" s="40" t="s">
        <v>2200</v>
      </c>
      <c r="L53" s="44" t="s">
        <v>2431</v>
      </c>
      <c r="M53" s="42" t="s">
        <v>2568</v>
      </c>
      <c r="N53" s="42" t="s">
        <v>1318</v>
      </c>
      <c r="O53" s="43" t="s">
        <v>1702</v>
      </c>
      <c r="P53" s="40" t="s">
        <v>2052</v>
      </c>
      <c r="Q53" s="40" t="str">
        <f t="shared" si="2"/>
        <v>Available</v>
      </c>
      <c r="R53" s="40" t="s">
        <v>2569</v>
      </c>
      <c r="S53" s="40" t="s">
        <v>2570</v>
      </c>
      <c r="T53" s="40" t="s">
        <v>1501</v>
      </c>
      <c r="U53" s="39">
        <v>0.0</v>
      </c>
      <c r="V53" s="39">
        <v>0.0</v>
      </c>
      <c r="W53" s="39">
        <f t="shared" si="3"/>
        <v>0</v>
      </c>
    </row>
    <row r="54" ht="15.75" customHeight="1">
      <c r="A54" s="39">
        <v>90.0</v>
      </c>
      <c r="B54" s="40" t="s">
        <v>370</v>
      </c>
      <c r="C54" s="40" t="s">
        <v>1310</v>
      </c>
      <c r="D54" s="39"/>
      <c r="E54" s="39"/>
      <c r="F54" s="39" t="str">
        <f t="shared" si="1"/>
        <v>Unavailable</v>
      </c>
      <c r="G54" s="39">
        <v>2009.0</v>
      </c>
      <c r="H54" s="40" t="s">
        <v>1942</v>
      </c>
      <c r="I54" s="40" t="s">
        <v>2051</v>
      </c>
      <c r="J54" s="40" t="s">
        <v>2386</v>
      </c>
      <c r="K54" s="40" t="s">
        <v>2259</v>
      </c>
      <c r="L54" s="42" t="s">
        <v>2476</v>
      </c>
      <c r="M54" s="42" t="s">
        <v>2571</v>
      </c>
      <c r="N54" s="42" t="s">
        <v>1313</v>
      </c>
      <c r="O54" s="43">
        <v>8.801912137212E12</v>
      </c>
      <c r="P54" s="40"/>
      <c r="Q54" s="40" t="str">
        <f t="shared" si="2"/>
        <v>Unavailable</v>
      </c>
      <c r="R54" s="40" t="s">
        <v>2572</v>
      </c>
      <c r="S54" s="40" t="s">
        <v>2573</v>
      </c>
      <c r="T54" s="40" t="s">
        <v>1522</v>
      </c>
      <c r="U54" s="39">
        <v>5.0</v>
      </c>
      <c r="V54" s="39">
        <v>0.0</v>
      </c>
      <c r="W54" s="39">
        <f t="shared" si="3"/>
        <v>5</v>
      </c>
    </row>
    <row r="55" ht="15.75" customHeight="1">
      <c r="A55" s="39">
        <v>89.0</v>
      </c>
      <c r="B55" s="40" t="s">
        <v>361</v>
      </c>
      <c r="C55" s="40" t="s">
        <v>1308</v>
      </c>
      <c r="D55" s="41">
        <v>4.4</v>
      </c>
      <c r="E55" s="41">
        <v>9.0</v>
      </c>
      <c r="F55" s="39" t="str">
        <f t="shared" si="1"/>
        <v>Available</v>
      </c>
      <c r="G55" s="39">
        <v>2007.0</v>
      </c>
      <c r="H55" s="40" t="s">
        <v>1942</v>
      </c>
      <c r="I55" s="40" t="s">
        <v>2049</v>
      </c>
      <c r="J55" s="40" t="s">
        <v>2386</v>
      </c>
      <c r="K55" s="40" t="s">
        <v>2200</v>
      </c>
      <c r="L55" s="42" t="s">
        <v>2431</v>
      </c>
      <c r="M55" s="42" t="s">
        <v>2574</v>
      </c>
      <c r="N55" s="42" t="s">
        <v>1309</v>
      </c>
      <c r="O55" s="43" t="s">
        <v>1645</v>
      </c>
      <c r="P55" s="40" t="s">
        <v>2047</v>
      </c>
      <c r="Q55" s="40" t="str">
        <f t="shared" si="2"/>
        <v>Available</v>
      </c>
      <c r="R55" s="40" t="s">
        <v>2575</v>
      </c>
      <c r="S55" s="40" t="s">
        <v>2576</v>
      </c>
      <c r="T55" s="40" t="s">
        <v>1544</v>
      </c>
      <c r="U55" s="39">
        <v>5.0</v>
      </c>
      <c r="V55" s="39">
        <v>18.0</v>
      </c>
      <c r="W55" s="39">
        <f t="shared" si="3"/>
        <v>23</v>
      </c>
    </row>
    <row r="56" ht="15.75" customHeight="1">
      <c r="A56" s="39">
        <v>88.0</v>
      </c>
      <c r="B56" s="40" t="s">
        <v>353</v>
      </c>
      <c r="C56" s="40" t="s">
        <v>1304</v>
      </c>
      <c r="D56" s="41">
        <v>5.0</v>
      </c>
      <c r="E56" s="41">
        <v>9.0</v>
      </c>
      <c r="F56" s="39" t="str">
        <f t="shared" si="1"/>
        <v>Available</v>
      </c>
      <c r="G56" s="39">
        <v>2014.0</v>
      </c>
      <c r="H56" s="40" t="s">
        <v>1972</v>
      </c>
      <c r="I56" s="40" t="s">
        <v>2046</v>
      </c>
      <c r="J56" s="40" t="s">
        <v>2386</v>
      </c>
      <c r="K56" s="40" t="s">
        <v>2210</v>
      </c>
      <c r="L56" s="42" t="s">
        <v>2407</v>
      </c>
      <c r="M56" s="42" t="s">
        <v>2577</v>
      </c>
      <c r="N56" s="42" t="s">
        <v>1307</v>
      </c>
      <c r="O56" s="43" t="s">
        <v>1697</v>
      </c>
      <c r="P56" s="40" t="s">
        <v>2044</v>
      </c>
      <c r="Q56" s="40" t="str">
        <f t="shared" si="2"/>
        <v>Available</v>
      </c>
      <c r="R56" s="40" t="s">
        <v>2578</v>
      </c>
      <c r="S56" s="40" t="s">
        <v>2579</v>
      </c>
      <c r="T56" s="40" t="s">
        <v>2580</v>
      </c>
      <c r="U56" s="39">
        <v>10.0</v>
      </c>
      <c r="V56" s="39">
        <v>0.0</v>
      </c>
      <c r="W56" s="39">
        <f t="shared" si="3"/>
        <v>10</v>
      </c>
    </row>
    <row r="57" ht="15.75" customHeight="1">
      <c r="A57" s="39">
        <v>87.0</v>
      </c>
      <c r="B57" s="40" t="s">
        <v>347</v>
      </c>
      <c r="C57" s="40" t="s">
        <v>1300</v>
      </c>
      <c r="D57" s="41">
        <v>4.5</v>
      </c>
      <c r="E57" s="41">
        <v>22.0</v>
      </c>
      <c r="F57" s="39" t="str">
        <f t="shared" si="1"/>
        <v>Available</v>
      </c>
      <c r="G57" s="39">
        <v>2000.0</v>
      </c>
      <c r="H57" s="40" t="s">
        <v>1918</v>
      </c>
      <c r="I57" s="40" t="s">
        <v>2043</v>
      </c>
      <c r="J57" s="40" t="s">
        <v>2386</v>
      </c>
      <c r="K57" s="40" t="s">
        <v>2197</v>
      </c>
      <c r="L57" s="42" t="s">
        <v>2412</v>
      </c>
      <c r="M57" s="42" t="s">
        <v>2581</v>
      </c>
      <c r="N57" s="42" t="s">
        <v>1303</v>
      </c>
      <c r="O57" s="43" t="s">
        <v>1694</v>
      </c>
      <c r="P57" s="40" t="s">
        <v>2042</v>
      </c>
      <c r="Q57" s="40" t="str">
        <f t="shared" si="2"/>
        <v>Available</v>
      </c>
      <c r="R57" s="40" t="s">
        <v>2582</v>
      </c>
      <c r="S57" s="40" t="s">
        <v>2583</v>
      </c>
      <c r="T57" s="40" t="s">
        <v>2442</v>
      </c>
      <c r="U57" s="39">
        <v>1.0</v>
      </c>
      <c r="V57" s="39">
        <v>3.0</v>
      </c>
      <c r="W57" s="39">
        <f t="shared" si="3"/>
        <v>4</v>
      </c>
    </row>
    <row r="58" ht="15.75" customHeight="1">
      <c r="A58" s="39">
        <v>86.0</v>
      </c>
      <c r="B58" s="40" t="s">
        <v>341</v>
      </c>
      <c r="C58" s="40" t="s">
        <v>1296</v>
      </c>
      <c r="D58" s="39"/>
      <c r="E58" s="39"/>
      <c r="F58" s="39" t="str">
        <f t="shared" si="1"/>
        <v>Unavailable</v>
      </c>
      <c r="G58" s="39">
        <v>2000.0</v>
      </c>
      <c r="H58" s="40" t="s">
        <v>1918</v>
      </c>
      <c r="I58" s="40" t="s">
        <v>2041</v>
      </c>
      <c r="J58" s="40" t="s">
        <v>2386</v>
      </c>
      <c r="K58" s="40" t="s">
        <v>2169</v>
      </c>
      <c r="L58" s="42" t="s">
        <v>2424</v>
      </c>
      <c r="M58" s="42" t="s">
        <v>2584</v>
      </c>
      <c r="N58" s="42" t="s">
        <v>1299</v>
      </c>
      <c r="O58" s="43">
        <v>8.801191557292E12</v>
      </c>
      <c r="P58" s="40"/>
      <c r="Q58" s="40" t="str">
        <f t="shared" si="2"/>
        <v>Unavailable</v>
      </c>
      <c r="R58" s="40" t="s">
        <v>2585</v>
      </c>
      <c r="S58" s="40" t="s">
        <v>2586</v>
      </c>
      <c r="T58" s="40" t="s">
        <v>1501</v>
      </c>
      <c r="U58" s="39">
        <v>1.0</v>
      </c>
      <c r="V58" s="39">
        <v>7.0</v>
      </c>
      <c r="W58" s="39">
        <f t="shared" si="3"/>
        <v>8</v>
      </c>
    </row>
    <row r="59" ht="15.75" customHeight="1">
      <c r="A59" s="39">
        <v>85.0</v>
      </c>
      <c r="B59" s="40" t="s">
        <v>335</v>
      </c>
      <c r="C59" s="40" t="s">
        <v>1292</v>
      </c>
      <c r="D59" s="39"/>
      <c r="E59" s="39"/>
      <c r="F59" s="39" t="str">
        <f t="shared" si="1"/>
        <v>Unavailable</v>
      </c>
      <c r="G59" s="39">
        <v>2019.0</v>
      </c>
      <c r="H59" s="40" t="s">
        <v>1998</v>
      </c>
      <c r="I59" s="40" t="s">
        <v>2040</v>
      </c>
      <c r="J59" s="40" t="s">
        <v>2386</v>
      </c>
      <c r="K59" s="40" t="s">
        <v>2200</v>
      </c>
      <c r="L59" s="42" t="s">
        <v>2403</v>
      </c>
      <c r="M59" s="42" t="s">
        <v>2587</v>
      </c>
      <c r="N59" s="42" t="s">
        <v>1295</v>
      </c>
      <c r="O59" s="43" t="s">
        <v>1691</v>
      </c>
      <c r="P59" s="45" t="s">
        <v>2588</v>
      </c>
      <c r="Q59" s="40" t="str">
        <f t="shared" si="2"/>
        <v>Available</v>
      </c>
      <c r="R59" s="40" t="s">
        <v>2589</v>
      </c>
      <c r="S59" s="40" t="s">
        <v>2590</v>
      </c>
      <c r="T59" s="40" t="s">
        <v>2420</v>
      </c>
      <c r="U59" s="39">
        <v>2.0</v>
      </c>
      <c r="V59" s="39">
        <v>0.0</v>
      </c>
      <c r="W59" s="39">
        <f t="shared" si="3"/>
        <v>2</v>
      </c>
    </row>
    <row r="60" ht="15.75" customHeight="1">
      <c r="A60" s="39">
        <v>84.0</v>
      </c>
      <c r="B60" s="40" t="s">
        <v>329</v>
      </c>
      <c r="C60" s="40" t="s">
        <v>1288</v>
      </c>
      <c r="D60" s="39"/>
      <c r="E60" s="39"/>
      <c r="F60" s="39" t="str">
        <f t="shared" si="1"/>
        <v>Unavailable</v>
      </c>
      <c r="G60" s="39">
        <v>2000.0</v>
      </c>
      <c r="H60" s="40" t="s">
        <v>1918</v>
      </c>
      <c r="I60" s="40" t="s">
        <v>2039</v>
      </c>
      <c r="J60" s="40" t="s">
        <v>2386</v>
      </c>
      <c r="K60" s="40" t="s">
        <v>2169</v>
      </c>
      <c r="L60" s="42" t="s">
        <v>2424</v>
      </c>
      <c r="M60" s="42" t="s">
        <v>2591</v>
      </c>
      <c r="N60" s="42" t="s">
        <v>1291</v>
      </c>
      <c r="O60" s="43" t="s">
        <v>1688</v>
      </c>
      <c r="P60" s="40"/>
      <c r="Q60" s="40" t="str">
        <f t="shared" si="2"/>
        <v>Unavailable</v>
      </c>
      <c r="R60" s="40" t="s">
        <v>2592</v>
      </c>
      <c r="S60" s="40" t="s">
        <v>2593</v>
      </c>
      <c r="T60" s="40" t="s">
        <v>1497</v>
      </c>
      <c r="U60" s="39">
        <v>4.0</v>
      </c>
      <c r="V60" s="39">
        <v>2.0</v>
      </c>
      <c r="W60" s="39">
        <f t="shared" si="3"/>
        <v>6</v>
      </c>
    </row>
    <row r="61" ht="15.75" customHeight="1">
      <c r="A61" s="39">
        <v>83.0</v>
      </c>
      <c r="B61" s="40" t="s">
        <v>322</v>
      </c>
      <c r="C61" s="40" t="s">
        <v>1285</v>
      </c>
      <c r="D61" s="41">
        <v>5.0</v>
      </c>
      <c r="E61" s="41">
        <v>1.0</v>
      </c>
      <c r="F61" s="39" t="str">
        <f t="shared" si="1"/>
        <v>Available</v>
      </c>
      <c r="G61" s="39">
        <v>2014.0</v>
      </c>
      <c r="H61" s="40" t="s">
        <v>1972</v>
      </c>
      <c r="I61" s="40" t="s">
        <v>2038</v>
      </c>
      <c r="J61" s="40" t="s">
        <v>2386</v>
      </c>
      <c r="K61" s="40" t="s">
        <v>2173</v>
      </c>
      <c r="L61" s="42" t="s">
        <v>2306</v>
      </c>
      <c r="M61" s="42" t="s">
        <v>2594</v>
      </c>
      <c r="N61" s="42" t="s">
        <v>1286</v>
      </c>
      <c r="O61" s="43" t="s">
        <v>1686</v>
      </c>
      <c r="P61" s="40" t="s">
        <v>2037</v>
      </c>
      <c r="Q61" s="40" t="str">
        <f t="shared" si="2"/>
        <v>Available</v>
      </c>
      <c r="R61" s="40" t="s">
        <v>2595</v>
      </c>
      <c r="S61" s="40" t="s">
        <v>2596</v>
      </c>
      <c r="T61" s="40" t="s">
        <v>1544</v>
      </c>
      <c r="U61" s="39">
        <v>3.0</v>
      </c>
      <c r="V61" s="39">
        <v>3.0</v>
      </c>
      <c r="W61" s="39">
        <f t="shared" si="3"/>
        <v>6</v>
      </c>
    </row>
    <row r="62" ht="15.75" customHeight="1">
      <c r="A62" s="39">
        <v>82.0</v>
      </c>
      <c r="B62" s="40" t="s">
        <v>316</v>
      </c>
      <c r="C62" s="40" t="s">
        <v>1283</v>
      </c>
      <c r="D62" s="39"/>
      <c r="E62" s="39"/>
      <c r="F62" s="39" t="str">
        <f t="shared" si="1"/>
        <v>Unavailable</v>
      </c>
      <c r="G62" s="39">
        <v>2005.0</v>
      </c>
      <c r="H62" s="40" t="s">
        <v>1942</v>
      </c>
      <c r="I62" s="40" t="s">
        <v>2036</v>
      </c>
      <c r="J62" s="40" t="s">
        <v>2386</v>
      </c>
      <c r="K62" s="40" t="s">
        <v>2173</v>
      </c>
      <c r="L62" s="42" t="s">
        <v>2306</v>
      </c>
      <c r="M62" s="42" t="s">
        <v>2597</v>
      </c>
      <c r="N62" s="42" t="s">
        <v>1284</v>
      </c>
      <c r="O62" s="43" t="s">
        <v>1683</v>
      </c>
      <c r="P62" s="40" t="s">
        <v>2035</v>
      </c>
      <c r="Q62" s="40" t="str">
        <f t="shared" si="2"/>
        <v>Available</v>
      </c>
      <c r="R62" s="40" t="s">
        <v>2598</v>
      </c>
      <c r="S62" s="40" t="s">
        <v>2599</v>
      </c>
      <c r="T62" s="40" t="s">
        <v>2442</v>
      </c>
      <c r="U62" s="39">
        <v>1.0</v>
      </c>
      <c r="V62" s="39">
        <v>6.0</v>
      </c>
      <c r="W62" s="39">
        <f t="shared" si="3"/>
        <v>7</v>
      </c>
    </row>
    <row r="63" ht="15.75" customHeight="1">
      <c r="A63" s="39">
        <v>81.0</v>
      </c>
      <c r="B63" s="40" t="s">
        <v>307</v>
      </c>
      <c r="C63" s="40" t="s">
        <v>1281</v>
      </c>
      <c r="D63" s="41">
        <v>4.5</v>
      </c>
      <c r="E63" s="41">
        <v>10.0</v>
      </c>
      <c r="F63" s="39" t="str">
        <f t="shared" si="1"/>
        <v>Available</v>
      </c>
      <c r="G63" s="39">
        <v>2007.0</v>
      </c>
      <c r="H63" s="40" t="s">
        <v>1942</v>
      </c>
      <c r="I63" s="40" t="s">
        <v>2034</v>
      </c>
      <c r="J63" s="40" t="s">
        <v>2386</v>
      </c>
      <c r="K63" s="40" t="s">
        <v>2169</v>
      </c>
      <c r="L63" s="42" t="s">
        <v>2424</v>
      </c>
      <c r="M63" s="42" t="s">
        <v>2600</v>
      </c>
      <c r="N63" s="42" t="s">
        <v>1282</v>
      </c>
      <c r="O63" s="43" t="s">
        <v>1681</v>
      </c>
      <c r="P63" s="40" t="s">
        <v>2033</v>
      </c>
      <c r="Q63" s="40" t="str">
        <f t="shared" si="2"/>
        <v>Available</v>
      </c>
      <c r="R63" s="40" t="s">
        <v>2601</v>
      </c>
      <c r="S63" s="40" t="s">
        <v>2602</v>
      </c>
      <c r="T63" s="40" t="s">
        <v>1544</v>
      </c>
      <c r="U63" s="39">
        <v>4.0</v>
      </c>
      <c r="V63" s="39">
        <v>5.0</v>
      </c>
      <c r="W63" s="39">
        <f t="shared" si="3"/>
        <v>9</v>
      </c>
    </row>
    <row r="64" ht="15.75" customHeight="1">
      <c r="A64" s="39">
        <v>80.0</v>
      </c>
      <c r="B64" s="40" t="s">
        <v>302</v>
      </c>
      <c r="C64" s="40" t="s">
        <v>1277</v>
      </c>
      <c r="D64" s="39"/>
      <c r="E64" s="39"/>
      <c r="F64" s="39" t="str">
        <f t="shared" si="1"/>
        <v>Unavailable</v>
      </c>
      <c r="G64" s="39">
        <v>2009.0</v>
      </c>
      <c r="H64" s="40" t="s">
        <v>1942</v>
      </c>
      <c r="I64" s="40" t="s">
        <v>2032</v>
      </c>
      <c r="J64" s="40" t="s">
        <v>2386</v>
      </c>
      <c r="K64" s="40" t="s">
        <v>2303</v>
      </c>
      <c r="L64" s="42" t="s">
        <v>2399</v>
      </c>
      <c r="M64" s="42" t="s">
        <v>2603</v>
      </c>
      <c r="N64" s="42" t="s">
        <v>1280</v>
      </c>
      <c r="O64" s="43" t="s">
        <v>1678</v>
      </c>
      <c r="P64" s="40"/>
      <c r="Q64" s="40" t="str">
        <f t="shared" si="2"/>
        <v>Unavailable</v>
      </c>
      <c r="R64" s="40" t="s">
        <v>2604</v>
      </c>
      <c r="S64" s="40" t="s">
        <v>2605</v>
      </c>
      <c r="T64" s="40" t="s">
        <v>1677</v>
      </c>
      <c r="U64" s="39">
        <v>1.0</v>
      </c>
      <c r="V64" s="39">
        <v>2.0</v>
      </c>
      <c r="W64" s="39">
        <f t="shared" si="3"/>
        <v>3</v>
      </c>
    </row>
    <row r="65" ht="15.75" customHeight="1">
      <c r="A65" s="39">
        <v>79.0</v>
      </c>
      <c r="B65" s="40" t="s">
        <v>292</v>
      </c>
      <c r="C65" s="40" t="s">
        <v>1275</v>
      </c>
      <c r="D65" s="41">
        <v>4.6</v>
      </c>
      <c r="E65" s="41">
        <v>58.0</v>
      </c>
      <c r="F65" s="39" t="str">
        <f t="shared" si="1"/>
        <v>Available</v>
      </c>
      <c r="G65" s="39">
        <v>2005.0</v>
      </c>
      <c r="H65" s="40" t="s">
        <v>1942</v>
      </c>
      <c r="I65" s="40" t="s">
        <v>2031</v>
      </c>
      <c r="J65" s="40" t="s">
        <v>2386</v>
      </c>
      <c r="K65" s="40" t="s">
        <v>2218</v>
      </c>
      <c r="L65" s="42" t="s">
        <v>2407</v>
      </c>
      <c r="M65" s="42" t="s">
        <v>2606</v>
      </c>
      <c r="N65" s="42" t="s">
        <v>1276</v>
      </c>
      <c r="O65" s="43" t="s">
        <v>1675</v>
      </c>
      <c r="P65" s="40" t="s">
        <v>2029</v>
      </c>
      <c r="Q65" s="40" t="str">
        <f t="shared" si="2"/>
        <v>Available</v>
      </c>
      <c r="R65" s="40" t="s">
        <v>2607</v>
      </c>
      <c r="S65" s="40" t="s">
        <v>2608</v>
      </c>
      <c r="T65" s="40" t="s">
        <v>2487</v>
      </c>
      <c r="U65" s="39">
        <v>13.0</v>
      </c>
      <c r="V65" s="39">
        <v>3.0</v>
      </c>
      <c r="W65" s="39">
        <f t="shared" si="3"/>
        <v>16</v>
      </c>
    </row>
    <row r="66" ht="15.75" customHeight="1">
      <c r="A66" s="39">
        <v>78.0</v>
      </c>
      <c r="B66" s="40" t="s">
        <v>285</v>
      </c>
      <c r="C66" s="40" t="s">
        <v>1271</v>
      </c>
      <c r="D66" s="39"/>
      <c r="E66" s="39"/>
      <c r="F66" s="39" t="str">
        <f t="shared" si="1"/>
        <v>Unavailable</v>
      </c>
      <c r="G66" s="39">
        <v>2020.0</v>
      </c>
      <c r="H66" s="40" t="s">
        <v>2021</v>
      </c>
      <c r="I66" s="40" t="s">
        <v>2028</v>
      </c>
      <c r="J66" s="40" t="s">
        <v>2386</v>
      </c>
      <c r="K66" s="46" t="s">
        <v>2232</v>
      </c>
      <c r="L66" s="42" t="s">
        <v>2609</v>
      </c>
      <c r="M66" s="42" t="s">
        <v>2610</v>
      </c>
      <c r="N66" s="42" t="s">
        <v>1274</v>
      </c>
      <c r="O66" s="43" t="s">
        <v>1672</v>
      </c>
      <c r="P66" s="40"/>
      <c r="Q66" s="40" t="str">
        <f t="shared" si="2"/>
        <v>Unavailable</v>
      </c>
      <c r="R66" s="40" t="s">
        <v>2611</v>
      </c>
      <c r="S66" s="40" t="s">
        <v>2612</v>
      </c>
      <c r="T66" s="40" t="s">
        <v>1497</v>
      </c>
      <c r="U66" s="39">
        <v>3.0</v>
      </c>
      <c r="V66" s="39">
        <v>0.0</v>
      </c>
      <c r="W66" s="39">
        <f t="shared" si="3"/>
        <v>3</v>
      </c>
    </row>
    <row r="67" ht="15.75" customHeight="1">
      <c r="A67" s="39">
        <v>77.0</v>
      </c>
      <c r="B67" s="40" t="s">
        <v>276</v>
      </c>
      <c r="C67" s="40" t="s">
        <v>1266</v>
      </c>
      <c r="D67" s="41">
        <v>4.8</v>
      </c>
      <c r="E67" s="41">
        <v>36.0</v>
      </c>
      <c r="F67" s="39" t="str">
        <f t="shared" si="1"/>
        <v>Available</v>
      </c>
      <c r="G67" s="39">
        <v>2017.0</v>
      </c>
      <c r="H67" s="40" t="s">
        <v>1998</v>
      </c>
      <c r="I67" s="40" t="s">
        <v>2027</v>
      </c>
      <c r="J67" s="40" t="s">
        <v>2386</v>
      </c>
      <c r="K67" s="40" t="s">
        <v>2187</v>
      </c>
      <c r="L67" s="42" t="s">
        <v>2306</v>
      </c>
      <c r="M67" s="42" t="s">
        <v>2613</v>
      </c>
      <c r="N67" s="42" t="s">
        <v>1269</v>
      </c>
      <c r="O67" s="43" t="s">
        <v>1670</v>
      </c>
      <c r="P67" s="40" t="s">
        <v>2025</v>
      </c>
      <c r="Q67" s="40" t="str">
        <f t="shared" si="2"/>
        <v>Available</v>
      </c>
      <c r="R67" s="40" t="s">
        <v>2614</v>
      </c>
      <c r="S67" s="40" t="s">
        <v>2615</v>
      </c>
      <c r="T67" s="40" t="s">
        <v>2616</v>
      </c>
      <c r="U67" s="39">
        <v>7.0</v>
      </c>
      <c r="V67" s="39">
        <v>1.0</v>
      </c>
      <c r="W67" s="39">
        <f t="shared" si="3"/>
        <v>8</v>
      </c>
    </row>
    <row r="68" ht="15.75" customHeight="1">
      <c r="A68" s="39">
        <v>76.0</v>
      </c>
      <c r="B68" s="40" t="s">
        <v>269</v>
      </c>
      <c r="C68" s="40" t="s">
        <v>1262</v>
      </c>
      <c r="D68" s="41">
        <v>5.0</v>
      </c>
      <c r="E68" s="41">
        <v>6.0</v>
      </c>
      <c r="F68" s="39" t="str">
        <f t="shared" si="1"/>
        <v>Available</v>
      </c>
      <c r="G68" s="39">
        <v>2010.0</v>
      </c>
      <c r="H68" s="40" t="s">
        <v>1972</v>
      </c>
      <c r="I68" s="40" t="s">
        <v>2024</v>
      </c>
      <c r="J68" s="40" t="s">
        <v>2386</v>
      </c>
      <c r="K68" s="40" t="s">
        <v>2259</v>
      </c>
      <c r="L68" s="42" t="s">
        <v>2476</v>
      </c>
      <c r="M68" s="42" t="s">
        <v>2617</v>
      </c>
      <c r="N68" s="42" t="s">
        <v>1265</v>
      </c>
      <c r="O68" s="43">
        <v>8.801711577032E12</v>
      </c>
      <c r="P68" s="40" t="s">
        <v>2022</v>
      </c>
      <c r="Q68" s="40" t="str">
        <f t="shared" si="2"/>
        <v>Available</v>
      </c>
      <c r="R68" s="40" t="s">
        <v>2618</v>
      </c>
      <c r="S68" s="40" t="s">
        <v>2619</v>
      </c>
      <c r="T68" s="40" t="s">
        <v>1501</v>
      </c>
      <c r="U68" s="39">
        <v>6.0</v>
      </c>
      <c r="V68" s="39">
        <v>1.0</v>
      </c>
      <c r="W68" s="39">
        <f t="shared" si="3"/>
        <v>7</v>
      </c>
    </row>
    <row r="69" ht="15.75" customHeight="1">
      <c r="A69" s="39">
        <v>75.0</v>
      </c>
      <c r="B69" s="40" t="s">
        <v>262</v>
      </c>
      <c r="C69" s="40" t="s">
        <v>1260</v>
      </c>
      <c r="D69" s="39"/>
      <c r="E69" s="39"/>
      <c r="F69" s="39" t="str">
        <f t="shared" si="1"/>
        <v>Unavailable</v>
      </c>
      <c r="G69" s="39">
        <v>2010.0</v>
      </c>
      <c r="H69" s="40" t="s">
        <v>1972</v>
      </c>
      <c r="I69" s="40" t="s">
        <v>2020</v>
      </c>
      <c r="J69" s="40" t="s">
        <v>2386</v>
      </c>
      <c r="K69" s="40" t="s">
        <v>2169</v>
      </c>
      <c r="L69" s="42" t="s">
        <v>2424</v>
      </c>
      <c r="M69" s="42" t="s">
        <v>2620</v>
      </c>
      <c r="N69" s="42" t="s">
        <v>1261</v>
      </c>
      <c r="O69" s="43">
        <v>8.801715005352E12</v>
      </c>
      <c r="P69" s="40" t="s">
        <v>2019</v>
      </c>
      <c r="Q69" s="40" t="str">
        <f t="shared" si="2"/>
        <v>Available</v>
      </c>
      <c r="R69" s="40" t="s">
        <v>2621</v>
      </c>
      <c r="S69" s="40" t="s">
        <v>2622</v>
      </c>
      <c r="T69" s="40" t="s">
        <v>1497</v>
      </c>
      <c r="U69" s="39">
        <v>2.0</v>
      </c>
      <c r="V69" s="39">
        <v>1.0</v>
      </c>
      <c r="W69" s="39">
        <f t="shared" si="3"/>
        <v>3</v>
      </c>
    </row>
    <row r="70" ht="15.75" customHeight="1">
      <c r="A70" s="39">
        <v>74.0</v>
      </c>
      <c r="B70" s="40" t="s">
        <v>256</v>
      </c>
      <c r="C70" s="40" t="s">
        <v>1256</v>
      </c>
      <c r="D70" s="39"/>
      <c r="E70" s="39"/>
      <c r="F70" s="39" t="str">
        <f t="shared" si="1"/>
        <v>Unavailable</v>
      </c>
      <c r="G70" s="39">
        <v>2014.0</v>
      </c>
      <c r="H70" s="40" t="s">
        <v>1972</v>
      </c>
      <c r="I70" s="40" t="s">
        <v>2017</v>
      </c>
      <c r="J70" s="40" t="s">
        <v>2386</v>
      </c>
      <c r="K70" s="40" t="s">
        <v>2173</v>
      </c>
      <c r="L70" s="42" t="s">
        <v>2412</v>
      </c>
      <c r="M70" s="42" t="s">
        <v>2623</v>
      </c>
      <c r="N70" s="42" t="s">
        <v>1259</v>
      </c>
      <c r="O70" s="43">
        <v>8.801819211608E12</v>
      </c>
      <c r="P70" s="40"/>
      <c r="Q70" s="40" t="str">
        <f t="shared" si="2"/>
        <v>Unavailable</v>
      </c>
      <c r="R70" s="40" t="s">
        <v>2624</v>
      </c>
      <c r="S70" s="40" t="s">
        <v>2625</v>
      </c>
      <c r="T70" s="40" t="s">
        <v>1501</v>
      </c>
      <c r="U70" s="39">
        <v>2.0</v>
      </c>
      <c r="V70" s="39">
        <v>0.0</v>
      </c>
      <c r="W70" s="39">
        <f t="shared" si="3"/>
        <v>2</v>
      </c>
    </row>
    <row r="71" ht="15.75" customHeight="1">
      <c r="A71" s="39">
        <v>73.0</v>
      </c>
      <c r="B71" s="40" t="s">
        <v>247</v>
      </c>
      <c r="C71" s="40" t="s">
        <v>1252</v>
      </c>
      <c r="D71" s="39"/>
      <c r="E71" s="39"/>
      <c r="F71" s="39" t="str">
        <f t="shared" si="1"/>
        <v>Unavailable</v>
      </c>
      <c r="G71" s="39">
        <v>1996.0</v>
      </c>
      <c r="H71" s="40" t="s">
        <v>1890</v>
      </c>
      <c r="I71" s="40" t="s">
        <v>2015</v>
      </c>
      <c r="J71" s="40" t="s">
        <v>2386</v>
      </c>
      <c r="K71" s="40" t="s">
        <v>2169</v>
      </c>
      <c r="L71" s="42" t="s">
        <v>2399</v>
      </c>
      <c r="M71" s="42" t="s">
        <v>2626</v>
      </c>
      <c r="N71" s="42" t="s">
        <v>1255</v>
      </c>
      <c r="O71" s="43" t="s">
        <v>1663</v>
      </c>
      <c r="P71" s="40"/>
      <c r="Q71" s="40" t="str">
        <f t="shared" si="2"/>
        <v>Unavailable</v>
      </c>
      <c r="R71" s="40" t="s">
        <v>2627</v>
      </c>
      <c r="S71" s="40" t="s">
        <v>2628</v>
      </c>
      <c r="T71" s="40" t="s">
        <v>2420</v>
      </c>
      <c r="U71" s="39">
        <v>3.0</v>
      </c>
      <c r="V71" s="39">
        <v>7.0</v>
      </c>
      <c r="W71" s="39">
        <f t="shared" si="3"/>
        <v>10</v>
      </c>
    </row>
    <row r="72" ht="15.75" customHeight="1">
      <c r="A72" s="39">
        <v>72.0</v>
      </c>
      <c r="B72" s="40" t="s">
        <v>242</v>
      </c>
      <c r="C72" s="40" t="s">
        <v>1248</v>
      </c>
      <c r="D72" s="39"/>
      <c r="E72" s="39"/>
      <c r="F72" s="39" t="str">
        <f t="shared" si="1"/>
        <v>Unavailable</v>
      </c>
      <c r="G72" s="39">
        <v>2010.0</v>
      </c>
      <c r="H72" s="40" t="s">
        <v>1972</v>
      </c>
      <c r="I72" s="40" t="s">
        <v>2012</v>
      </c>
      <c r="J72" s="40" t="s">
        <v>2386</v>
      </c>
      <c r="K72" s="40" t="s">
        <v>2165</v>
      </c>
      <c r="L72" s="42" t="s">
        <v>2476</v>
      </c>
      <c r="M72" s="42" t="s">
        <v>2629</v>
      </c>
      <c r="N72" s="42" t="s">
        <v>1251</v>
      </c>
      <c r="O72" s="43" t="s">
        <v>1660</v>
      </c>
      <c r="P72" s="40"/>
      <c r="Q72" s="40" t="str">
        <f t="shared" si="2"/>
        <v>Unavailable</v>
      </c>
      <c r="R72" s="40" t="s">
        <v>2630</v>
      </c>
      <c r="S72" s="40" t="s">
        <v>2631</v>
      </c>
      <c r="T72" s="40" t="s">
        <v>1501</v>
      </c>
      <c r="U72" s="39">
        <v>2.0</v>
      </c>
      <c r="V72" s="39">
        <v>3.0</v>
      </c>
      <c r="W72" s="39">
        <f t="shared" si="3"/>
        <v>5</v>
      </c>
    </row>
    <row r="73" ht="15.75" customHeight="1">
      <c r="A73" s="39">
        <v>71.0</v>
      </c>
      <c r="B73" s="40" t="s">
        <v>237</v>
      </c>
      <c r="C73" s="40" t="s">
        <v>1244</v>
      </c>
      <c r="D73" s="39"/>
      <c r="E73" s="39"/>
      <c r="F73" s="39" t="str">
        <f t="shared" si="1"/>
        <v>Unavailable</v>
      </c>
      <c r="G73" s="39">
        <v>2003.0</v>
      </c>
      <c r="H73" s="40" t="s">
        <v>1918</v>
      </c>
      <c r="I73" s="40" t="s">
        <v>2011</v>
      </c>
      <c r="J73" s="40" t="s">
        <v>2386</v>
      </c>
      <c r="K73" s="40" t="s">
        <v>2173</v>
      </c>
      <c r="L73" s="42" t="s">
        <v>2306</v>
      </c>
      <c r="M73" s="42" t="s">
        <v>2632</v>
      </c>
      <c r="N73" s="42" t="s">
        <v>1247</v>
      </c>
      <c r="O73" s="43" t="s">
        <v>1658</v>
      </c>
      <c r="P73" s="40"/>
      <c r="Q73" s="40" t="str">
        <f t="shared" si="2"/>
        <v>Unavailable</v>
      </c>
      <c r="R73" s="40" t="s">
        <v>2633</v>
      </c>
      <c r="S73" s="40" t="s">
        <v>2634</v>
      </c>
      <c r="T73" s="40" t="s">
        <v>1497</v>
      </c>
      <c r="U73" s="39">
        <v>1.0</v>
      </c>
      <c r="V73" s="39">
        <v>3.0</v>
      </c>
      <c r="W73" s="39">
        <f t="shared" si="3"/>
        <v>4</v>
      </c>
    </row>
    <row r="74" ht="15.75" customHeight="1">
      <c r="A74" s="39">
        <v>70.0</v>
      </c>
      <c r="B74" s="40" t="s">
        <v>232</v>
      </c>
      <c r="C74" s="40" t="s">
        <v>1239</v>
      </c>
      <c r="D74" s="39"/>
      <c r="E74" s="39"/>
      <c r="F74" s="39" t="str">
        <f t="shared" si="1"/>
        <v>Unavailable</v>
      </c>
      <c r="G74" s="39">
        <v>2019.0</v>
      </c>
      <c r="H74" s="40" t="s">
        <v>1998</v>
      </c>
      <c r="I74" s="40" t="s">
        <v>2009</v>
      </c>
      <c r="J74" s="40" t="s">
        <v>2386</v>
      </c>
      <c r="K74" s="40" t="s">
        <v>2210</v>
      </c>
      <c r="L74" s="42" t="s">
        <v>2407</v>
      </c>
      <c r="M74" s="44" t="s">
        <v>2635</v>
      </c>
      <c r="N74" s="42" t="s">
        <v>1242</v>
      </c>
      <c r="O74" s="43" t="s">
        <v>1656</v>
      </c>
      <c r="P74" s="40"/>
      <c r="Q74" s="40" t="str">
        <f t="shared" si="2"/>
        <v>Unavailable</v>
      </c>
      <c r="R74" s="40" t="s">
        <v>2636</v>
      </c>
      <c r="S74" s="40" t="s">
        <v>2637</v>
      </c>
      <c r="T74" s="40" t="s">
        <v>1501</v>
      </c>
      <c r="U74" s="39">
        <v>1.0</v>
      </c>
      <c r="V74" s="39">
        <v>0.0</v>
      </c>
      <c r="W74" s="39">
        <f t="shared" si="3"/>
        <v>1</v>
      </c>
    </row>
    <row r="75" ht="15.75" customHeight="1">
      <c r="A75" s="39">
        <v>69.0</v>
      </c>
      <c r="B75" s="40" t="s">
        <v>223</v>
      </c>
      <c r="C75" s="40" t="s">
        <v>1234</v>
      </c>
      <c r="D75" s="41">
        <v>4.7</v>
      </c>
      <c r="E75" s="41">
        <v>13.0</v>
      </c>
      <c r="F75" s="39" t="str">
        <f t="shared" si="1"/>
        <v>Available</v>
      </c>
      <c r="G75" s="39">
        <v>2017.0</v>
      </c>
      <c r="H75" s="40" t="s">
        <v>1998</v>
      </c>
      <c r="I75" s="40" t="s">
        <v>2008</v>
      </c>
      <c r="J75" s="40" t="s">
        <v>2386</v>
      </c>
      <c r="K75" s="40" t="s">
        <v>2169</v>
      </c>
      <c r="L75" s="42" t="s">
        <v>2399</v>
      </c>
      <c r="M75" s="42" t="s">
        <v>2638</v>
      </c>
      <c r="N75" s="42" t="s">
        <v>1237</v>
      </c>
      <c r="O75" s="43" t="s">
        <v>1654</v>
      </c>
      <c r="P75" s="40" t="s">
        <v>2006</v>
      </c>
      <c r="Q75" s="40" t="str">
        <f t="shared" si="2"/>
        <v>Available</v>
      </c>
      <c r="R75" s="40" t="s">
        <v>2639</v>
      </c>
      <c r="S75" s="40" t="s">
        <v>2640</v>
      </c>
      <c r="T75" s="40" t="s">
        <v>1544</v>
      </c>
      <c r="U75" s="39">
        <v>5.0</v>
      </c>
      <c r="V75" s="39">
        <v>1.0</v>
      </c>
      <c r="W75" s="39">
        <f t="shared" si="3"/>
        <v>6</v>
      </c>
    </row>
    <row r="76" ht="15.75" customHeight="1">
      <c r="A76" s="39">
        <v>68.0</v>
      </c>
      <c r="B76" s="40" t="s">
        <v>217</v>
      </c>
      <c r="C76" s="40" t="s">
        <v>1230</v>
      </c>
      <c r="D76" s="41">
        <v>5.0</v>
      </c>
      <c r="E76" s="41">
        <v>1.0</v>
      </c>
      <c r="F76" s="39" t="str">
        <f t="shared" si="1"/>
        <v>Available</v>
      </c>
      <c r="G76" s="39">
        <v>2017.0</v>
      </c>
      <c r="H76" s="40" t="s">
        <v>1998</v>
      </c>
      <c r="I76" s="40" t="s">
        <v>2004</v>
      </c>
      <c r="J76" s="46" t="s">
        <v>2386</v>
      </c>
      <c r="K76" s="40" t="s">
        <v>2284</v>
      </c>
      <c r="L76" s="42" t="s">
        <v>2641</v>
      </c>
      <c r="M76" s="42" t="s">
        <v>2642</v>
      </c>
      <c r="N76" s="42" t="s">
        <v>1233</v>
      </c>
      <c r="O76" s="43">
        <v>8.801812807687E12</v>
      </c>
      <c r="P76" s="40" t="s">
        <v>2003</v>
      </c>
      <c r="Q76" s="40" t="str">
        <f t="shared" si="2"/>
        <v>Available</v>
      </c>
      <c r="R76" s="40" t="s">
        <v>2643</v>
      </c>
      <c r="S76" s="40" t="s">
        <v>2644</v>
      </c>
      <c r="T76" s="40" t="s">
        <v>2442</v>
      </c>
      <c r="U76" s="39">
        <v>1.0</v>
      </c>
      <c r="V76" s="39">
        <v>4.0</v>
      </c>
      <c r="W76" s="39">
        <f t="shared" si="3"/>
        <v>5</v>
      </c>
    </row>
    <row r="77" ht="15.75" customHeight="1">
      <c r="A77" s="39">
        <v>67.0</v>
      </c>
      <c r="B77" s="40" t="s">
        <v>210</v>
      </c>
      <c r="C77" s="40" t="s">
        <v>1228</v>
      </c>
      <c r="D77" s="39"/>
      <c r="E77" s="39"/>
      <c r="F77" s="39" t="str">
        <f t="shared" si="1"/>
        <v>Unavailable</v>
      </c>
      <c r="G77" s="39">
        <v>2009.0</v>
      </c>
      <c r="H77" s="40" t="s">
        <v>1942</v>
      </c>
      <c r="I77" s="40" t="s">
        <v>2002</v>
      </c>
      <c r="J77" s="40" t="s">
        <v>2386</v>
      </c>
      <c r="K77" s="40" t="s">
        <v>2173</v>
      </c>
      <c r="L77" s="42" t="s">
        <v>2306</v>
      </c>
      <c r="M77" s="42" t="s">
        <v>2645</v>
      </c>
      <c r="N77" s="42" t="s">
        <v>1229</v>
      </c>
      <c r="O77" s="43" t="s">
        <v>1650</v>
      </c>
      <c r="P77" s="40" t="s">
        <v>2001</v>
      </c>
      <c r="Q77" s="40" t="str">
        <f t="shared" si="2"/>
        <v>Available</v>
      </c>
      <c r="R77" s="40" t="s">
        <v>2646</v>
      </c>
      <c r="S77" s="40" t="s">
        <v>2647</v>
      </c>
      <c r="T77" s="40" t="s">
        <v>2442</v>
      </c>
      <c r="U77" s="39">
        <v>1.0</v>
      </c>
      <c r="V77" s="39">
        <v>4.0</v>
      </c>
      <c r="W77" s="39">
        <f t="shared" si="3"/>
        <v>5</v>
      </c>
    </row>
    <row r="78" ht="15.75" customHeight="1">
      <c r="A78" s="39">
        <v>66.0</v>
      </c>
      <c r="B78" s="40" t="s">
        <v>205</v>
      </c>
      <c r="C78" s="40" t="s">
        <v>1224</v>
      </c>
      <c r="D78" s="39"/>
      <c r="E78" s="39"/>
      <c r="F78" s="39" t="str">
        <f t="shared" si="1"/>
        <v>Unavailable</v>
      </c>
      <c r="G78" s="39">
        <v>1999.0</v>
      </c>
      <c r="H78" s="40" t="s">
        <v>1890</v>
      </c>
      <c r="I78" s="40" t="s">
        <v>1999</v>
      </c>
      <c r="J78" s="46" t="s">
        <v>2449</v>
      </c>
      <c r="K78" s="46" t="s">
        <v>2648</v>
      </c>
      <c r="L78" s="42" t="s">
        <v>2451</v>
      </c>
      <c r="M78" s="42" t="s">
        <v>2649</v>
      </c>
      <c r="N78" s="42" t="s">
        <v>1227</v>
      </c>
      <c r="O78" s="43" t="s">
        <v>1648</v>
      </c>
      <c r="P78" s="40"/>
      <c r="Q78" s="40" t="str">
        <f t="shared" si="2"/>
        <v>Unavailable</v>
      </c>
      <c r="R78" s="40" t="s">
        <v>2650</v>
      </c>
      <c r="S78" s="40" t="s">
        <v>2651</v>
      </c>
      <c r="T78" s="40" t="s">
        <v>1501</v>
      </c>
      <c r="U78" s="39">
        <v>3.0</v>
      </c>
      <c r="V78" s="39">
        <v>2.0</v>
      </c>
      <c r="W78" s="39">
        <f t="shared" si="3"/>
        <v>5</v>
      </c>
    </row>
    <row r="79" ht="15.75" customHeight="1">
      <c r="A79" s="39">
        <v>65.0</v>
      </c>
      <c r="B79" s="40" t="s">
        <v>199</v>
      </c>
      <c r="C79" s="40" t="s">
        <v>1220</v>
      </c>
      <c r="D79" s="39"/>
      <c r="E79" s="39"/>
      <c r="F79" s="39" t="str">
        <f t="shared" si="1"/>
        <v>Unavailable</v>
      </c>
      <c r="G79" s="39">
        <v>2011.0</v>
      </c>
      <c r="H79" s="40" t="s">
        <v>1972</v>
      </c>
      <c r="I79" s="40" t="s">
        <v>1997</v>
      </c>
      <c r="J79" s="40" t="s">
        <v>2386</v>
      </c>
      <c r="K79" s="40" t="s">
        <v>2161</v>
      </c>
      <c r="L79" s="42" t="s">
        <v>2416</v>
      </c>
      <c r="M79" s="42" t="s">
        <v>2652</v>
      </c>
      <c r="N79" s="42" t="s">
        <v>1223</v>
      </c>
      <c r="O79" s="43">
        <v>8.801970112299E12</v>
      </c>
      <c r="P79" s="40"/>
      <c r="Q79" s="40" t="str">
        <f t="shared" si="2"/>
        <v>Unavailable</v>
      </c>
      <c r="R79" s="40" t="s">
        <v>2653</v>
      </c>
      <c r="S79" s="40" t="s">
        <v>2654</v>
      </c>
      <c r="T79" s="40" t="s">
        <v>1501</v>
      </c>
      <c r="U79" s="39">
        <v>2.0</v>
      </c>
      <c r="V79" s="39">
        <v>4.0</v>
      </c>
      <c r="W79" s="39">
        <f t="shared" si="3"/>
        <v>6</v>
      </c>
    </row>
    <row r="80" ht="15.75" customHeight="1">
      <c r="A80" s="39">
        <v>64.0</v>
      </c>
      <c r="B80" s="40" t="s">
        <v>192</v>
      </c>
      <c r="C80" s="40" t="s">
        <v>1218</v>
      </c>
      <c r="D80" s="41">
        <v>5.0</v>
      </c>
      <c r="E80" s="41">
        <v>1.0</v>
      </c>
      <c r="F80" s="39" t="str">
        <f t="shared" si="1"/>
        <v>Available</v>
      </c>
      <c r="G80" s="39">
        <v>2007.0</v>
      </c>
      <c r="H80" s="40" t="s">
        <v>1942</v>
      </c>
      <c r="I80" s="40" t="s">
        <v>1994</v>
      </c>
      <c r="J80" s="40" t="s">
        <v>2386</v>
      </c>
      <c r="K80" s="40" t="s">
        <v>2161</v>
      </c>
      <c r="L80" s="42" t="s">
        <v>2416</v>
      </c>
      <c r="M80" s="42" t="s">
        <v>2655</v>
      </c>
      <c r="N80" s="42" t="s">
        <v>1219</v>
      </c>
      <c r="O80" s="43" t="s">
        <v>1645</v>
      </c>
      <c r="P80" s="40" t="s">
        <v>1992</v>
      </c>
      <c r="Q80" s="40" t="str">
        <f t="shared" si="2"/>
        <v>Available</v>
      </c>
      <c r="R80" s="40" t="s">
        <v>2656</v>
      </c>
      <c r="S80" s="40" t="s">
        <v>2657</v>
      </c>
      <c r="T80" s="40" t="s">
        <v>1522</v>
      </c>
      <c r="U80" s="39">
        <v>2.0</v>
      </c>
      <c r="V80" s="39">
        <v>12.0</v>
      </c>
      <c r="W80" s="39">
        <f t="shared" si="3"/>
        <v>14</v>
      </c>
    </row>
    <row r="81" ht="15.75" customHeight="1">
      <c r="A81" s="39">
        <v>63.0</v>
      </c>
      <c r="B81" s="40" t="s">
        <v>186</v>
      </c>
      <c r="C81" s="40" t="s">
        <v>1213</v>
      </c>
      <c r="D81" s="39"/>
      <c r="E81" s="39"/>
      <c r="F81" s="39" t="str">
        <f t="shared" si="1"/>
        <v>Unavailable</v>
      </c>
      <c r="G81" s="39">
        <v>1999.0</v>
      </c>
      <c r="H81" s="40" t="s">
        <v>1890</v>
      </c>
      <c r="I81" s="40" t="s">
        <v>1991</v>
      </c>
      <c r="J81" s="40" t="s">
        <v>2386</v>
      </c>
      <c r="K81" s="40" t="s">
        <v>2187</v>
      </c>
      <c r="L81" s="42" t="s">
        <v>2476</v>
      </c>
      <c r="M81" s="42" t="s">
        <v>2658</v>
      </c>
      <c r="N81" s="42" t="s">
        <v>1216</v>
      </c>
      <c r="O81" s="43" t="s">
        <v>1642</v>
      </c>
      <c r="P81" s="40" t="s">
        <v>1990</v>
      </c>
      <c r="Q81" s="40" t="str">
        <f t="shared" si="2"/>
        <v>Available</v>
      </c>
      <c r="R81" s="40" t="s">
        <v>2659</v>
      </c>
      <c r="S81" s="40" t="s">
        <v>2660</v>
      </c>
      <c r="T81" s="40" t="s">
        <v>1501</v>
      </c>
      <c r="U81" s="39">
        <v>3.0</v>
      </c>
      <c r="V81" s="39">
        <v>1.0</v>
      </c>
      <c r="W81" s="39">
        <f t="shared" si="3"/>
        <v>4</v>
      </c>
    </row>
    <row r="82" ht="15.75" customHeight="1">
      <c r="A82" s="39">
        <v>62.0</v>
      </c>
      <c r="B82" s="40" t="s">
        <v>180</v>
      </c>
      <c r="C82" s="40" t="s">
        <v>1208</v>
      </c>
      <c r="D82" s="39"/>
      <c r="E82" s="39"/>
      <c r="F82" s="39" t="str">
        <f t="shared" si="1"/>
        <v>Unavailable</v>
      </c>
      <c r="G82" s="39">
        <v>2010.0</v>
      </c>
      <c r="H82" s="40" t="s">
        <v>1972</v>
      </c>
      <c r="I82" s="40" t="s">
        <v>1988</v>
      </c>
      <c r="J82" s="40" t="s">
        <v>2386</v>
      </c>
      <c r="K82" s="40" t="s">
        <v>2210</v>
      </c>
      <c r="L82" s="42" t="s">
        <v>2407</v>
      </c>
      <c r="M82" s="42" t="s">
        <v>2661</v>
      </c>
      <c r="N82" s="42" t="s">
        <v>1211</v>
      </c>
      <c r="O82" s="43" t="s">
        <v>1640</v>
      </c>
      <c r="P82" s="40"/>
      <c r="Q82" s="40" t="str">
        <f t="shared" si="2"/>
        <v>Unavailable</v>
      </c>
      <c r="R82" s="40" t="s">
        <v>2662</v>
      </c>
      <c r="S82" s="40" t="s">
        <v>2663</v>
      </c>
      <c r="T82" s="40" t="s">
        <v>1497</v>
      </c>
      <c r="U82" s="39">
        <v>10.0</v>
      </c>
      <c r="V82" s="39">
        <v>3.0</v>
      </c>
      <c r="W82" s="39">
        <f t="shared" si="3"/>
        <v>13</v>
      </c>
    </row>
    <row r="83" ht="15.75" customHeight="1">
      <c r="A83" s="39">
        <v>61.0</v>
      </c>
      <c r="B83" s="40" t="s">
        <v>175</v>
      </c>
      <c r="C83" s="40" t="s">
        <v>1204</v>
      </c>
      <c r="D83" s="41">
        <v>4.8</v>
      </c>
      <c r="E83" s="41">
        <v>8.0</v>
      </c>
      <c r="F83" s="39" t="str">
        <f t="shared" si="1"/>
        <v>Available</v>
      </c>
      <c r="G83" s="39">
        <v>2009.0</v>
      </c>
      <c r="H83" s="40" t="s">
        <v>1942</v>
      </c>
      <c r="I83" s="40" t="s">
        <v>1986</v>
      </c>
      <c r="J83" s="40" t="s">
        <v>2386</v>
      </c>
      <c r="K83" s="40" t="s">
        <v>2279</v>
      </c>
      <c r="L83" s="42" t="s">
        <v>2391</v>
      </c>
      <c r="M83" s="42" t="s">
        <v>2664</v>
      </c>
      <c r="N83" s="42" t="s">
        <v>1207</v>
      </c>
      <c r="O83" s="43" t="s">
        <v>1638</v>
      </c>
      <c r="P83" s="40"/>
      <c r="Q83" s="40" t="str">
        <f t="shared" si="2"/>
        <v>Unavailable</v>
      </c>
      <c r="R83" s="40" t="s">
        <v>2665</v>
      </c>
      <c r="S83" s="40" t="s">
        <v>2666</v>
      </c>
      <c r="T83" s="40" t="s">
        <v>2487</v>
      </c>
      <c r="U83" s="39">
        <v>3.0</v>
      </c>
      <c r="V83" s="39">
        <v>2.0</v>
      </c>
      <c r="W83" s="39">
        <f t="shared" si="3"/>
        <v>5</v>
      </c>
    </row>
    <row r="84" ht="15.75" customHeight="1">
      <c r="A84" s="39">
        <v>60.0</v>
      </c>
      <c r="B84" s="40" t="s">
        <v>169</v>
      </c>
      <c r="C84" s="40" t="s">
        <v>1200</v>
      </c>
      <c r="D84" s="39"/>
      <c r="E84" s="39"/>
      <c r="F84" s="39" t="str">
        <f t="shared" si="1"/>
        <v>Unavailable</v>
      </c>
      <c r="G84" s="39">
        <v>1989.0</v>
      </c>
      <c r="H84" s="40" t="s">
        <v>1847</v>
      </c>
      <c r="I84" s="40" t="s">
        <v>1984</v>
      </c>
      <c r="J84" s="40" t="s">
        <v>2386</v>
      </c>
      <c r="K84" s="40" t="s">
        <v>2173</v>
      </c>
      <c r="L84" s="42" t="s">
        <v>2412</v>
      </c>
      <c r="M84" s="42" t="s">
        <v>2667</v>
      </c>
      <c r="N84" s="42" t="s">
        <v>1203</v>
      </c>
      <c r="O84" s="43" t="s">
        <v>1635</v>
      </c>
      <c r="P84" s="40"/>
      <c r="Q84" s="40" t="str">
        <f t="shared" si="2"/>
        <v>Unavailable</v>
      </c>
      <c r="R84" s="40" t="s">
        <v>2668</v>
      </c>
      <c r="S84" s="40" t="s">
        <v>2669</v>
      </c>
      <c r="T84" s="40" t="s">
        <v>1497</v>
      </c>
      <c r="U84" s="39">
        <v>6.0</v>
      </c>
      <c r="V84" s="39">
        <v>9.0</v>
      </c>
      <c r="W84" s="39">
        <f t="shared" si="3"/>
        <v>15</v>
      </c>
    </row>
    <row r="85" ht="15.75" customHeight="1">
      <c r="A85" s="39">
        <v>59.0</v>
      </c>
      <c r="B85" s="40" t="s">
        <v>162</v>
      </c>
      <c r="C85" s="40" t="s">
        <v>1195</v>
      </c>
      <c r="D85" s="39"/>
      <c r="E85" s="39"/>
      <c r="F85" s="39" t="str">
        <f t="shared" si="1"/>
        <v>Unavailable</v>
      </c>
      <c r="G85" s="39">
        <v>2014.0</v>
      </c>
      <c r="H85" s="40" t="s">
        <v>1972</v>
      </c>
      <c r="I85" s="40" t="s">
        <v>1982</v>
      </c>
      <c r="J85" s="40" t="s">
        <v>2386</v>
      </c>
      <c r="K85" s="40" t="s">
        <v>2169</v>
      </c>
      <c r="L85" s="42" t="s">
        <v>2424</v>
      </c>
      <c r="M85" s="42" t="s">
        <v>2670</v>
      </c>
      <c r="N85" s="42" t="s">
        <v>1198</v>
      </c>
      <c r="O85" s="43" t="s">
        <v>1633</v>
      </c>
      <c r="P85" s="40" t="s">
        <v>1981</v>
      </c>
      <c r="Q85" s="40" t="str">
        <f t="shared" si="2"/>
        <v>Available</v>
      </c>
      <c r="R85" s="40" t="s">
        <v>2671</v>
      </c>
      <c r="S85" s="40" t="s">
        <v>2672</v>
      </c>
      <c r="T85" s="40" t="s">
        <v>2487</v>
      </c>
      <c r="U85" s="39">
        <v>0.0</v>
      </c>
      <c r="V85" s="39">
        <v>0.0</v>
      </c>
      <c r="W85" s="39">
        <f t="shared" si="3"/>
        <v>0</v>
      </c>
    </row>
    <row r="86" ht="15.75" customHeight="1">
      <c r="A86" s="39">
        <v>58.0</v>
      </c>
      <c r="B86" s="40" t="s">
        <v>154</v>
      </c>
      <c r="C86" s="40" t="s">
        <v>1191</v>
      </c>
      <c r="D86" s="41">
        <v>4.0</v>
      </c>
      <c r="E86" s="41">
        <v>2.0</v>
      </c>
      <c r="F86" s="39" t="str">
        <f t="shared" si="1"/>
        <v>Available</v>
      </c>
      <c r="G86" s="39">
        <v>1995.0</v>
      </c>
      <c r="H86" s="40" t="s">
        <v>1890</v>
      </c>
      <c r="I86" s="40" t="s">
        <v>1979</v>
      </c>
      <c r="J86" s="40" t="s">
        <v>2386</v>
      </c>
      <c r="K86" s="40" t="s">
        <v>2169</v>
      </c>
      <c r="L86" s="42" t="s">
        <v>2673</v>
      </c>
      <c r="M86" s="42" t="s">
        <v>2674</v>
      </c>
      <c r="N86" s="42" t="s">
        <v>1194</v>
      </c>
      <c r="O86" s="43" t="s">
        <v>1630</v>
      </c>
      <c r="P86" s="40" t="s">
        <v>1978</v>
      </c>
      <c r="Q86" s="40" t="str">
        <f t="shared" si="2"/>
        <v>Available</v>
      </c>
      <c r="R86" s="40" t="s">
        <v>2671</v>
      </c>
      <c r="S86" s="40" t="s">
        <v>2672</v>
      </c>
      <c r="T86" s="40" t="s">
        <v>1504</v>
      </c>
      <c r="U86" s="39">
        <v>0.0</v>
      </c>
      <c r="V86" s="39">
        <v>0.0</v>
      </c>
      <c r="W86" s="39">
        <f t="shared" si="3"/>
        <v>0</v>
      </c>
    </row>
    <row r="87" ht="15.75" customHeight="1">
      <c r="A87" s="39">
        <v>57.0</v>
      </c>
      <c r="B87" s="40" t="s">
        <v>147</v>
      </c>
      <c r="C87" s="40" t="s">
        <v>1187</v>
      </c>
      <c r="D87" s="41">
        <v>5.0</v>
      </c>
      <c r="E87" s="41">
        <v>3.0</v>
      </c>
      <c r="F87" s="39" t="str">
        <f t="shared" si="1"/>
        <v>Available</v>
      </c>
      <c r="G87" s="39">
        <v>2004.0</v>
      </c>
      <c r="H87" s="40" t="s">
        <v>1918</v>
      </c>
      <c r="I87" s="40" t="s">
        <v>1977</v>
      </c>
      <c r="J87" s="40" t="s">
        <v>2386</v>
      </c>
      <c r="K87" s="40" t="s">
        <v>2173</v>
      </c>
      <c r="L87" s="44" t="s">
        <v>2306</v>
      </c>
      <c r="M87" s="42" t="s">
        <v>2675</v>
      </c>
      <c r="N87" s="42" t="s">
        <v>1190</v>
      </c>
      <c r="O87" s="43" t="s">
        <v>1627</v>
      </c>
      <c r="P87" s="40" t="s">
        <v>1976</v>
      </c>
      <c r="Q87" s="40" t="str">
        <f t="shared" si="2"/>
        <v>Available</v>
      </c>
      <c r="R87" s="40" t="s">
        <v>2676</v>
      </c>
      <c r="S87" s="40" t="s">
        <v>2677</v>
      </c>
      <c r="T87" s="40" t="s">
        <v>1501</v>
      </c>
      <c r="U87" s="39">
        <v>1.0</v>
      </c>
      <c r="V87" s="39">
        <v>2.0</v>
      </c>
      <c r="W87" s="39">
        <f t="shared" si="3"/>
        <v>3</v>
      </c>
    </row>
    <row r="88" ht="15.75" customHeight="1">
      <c r="A88" s="39">
        <v>56.0</v>
      </c>
      <c r="B88" s="40" t="s">
        <v>139</v>
      </c>
      <c r="C88" s="40" t="s">
        <v>1185</v>
      </c>
      <c r="D88" s="41">
        <v>4.9</v>
      </c>
      <c r="E88" s="41">
        <v>17.0</v>
      </c>
      <c r="F88" s="39" t="str">
        <f t="shared" si="1"/>
        <v>Available</v>
      </c>
      <c r="G88" s="39">
        <v>2008.0</v>
      </c>
      <c r="H88" s="40" t="s">
        <v>1942</v>
      </c>
      <c r="I88" s="40" t="s">
        <v>1974</v>
      </c>
      <c r="J88" s="40" t="s">
        <v>2386</v>
      </c>
      <c r="K88" s="40" t="s">
        <v>2173</v>
      </c>
      <c r="L88" s="42" t="s">
        <v>2306</v>
      </c>
      <c r="M88" s="42" t="s">
        <v>2678</v>
      </c>
      <c r="N88" s="42" t="s">
        <v>1186</v>
      </c>
      <c r="O88" s="43" t="s">
        <v>1624</v>
      </c>
      <c r="P88" s="40" t="s">
        <v>1973</v>
      </c>
      <c r="Q88" s="40" t="str">
        <f t="shared" si="2"/>
        <v>Available</v>
      </c>
      <c r="R88" s="40" t="s">
        <v>2679</v>
      </c>
      <c r="S88" s="40" t="s">
        <v>2680</v>
      </c>
      <c r="T88" s="40" t="s">
        <v>1544</v>
      </c>
      <c r="U88" s="39">
        <v>3.0</v>
      </c>
      <c r="V88" s="39">
        <v>2.0</v>
      </c>
      <c r="W88" s="39">
        <f t="shared" si="3"/>
        <v>5</v>
      </c>
    </row>
    <row r="89" ht="15.75" customHeight="1">
      <c r="A89" s="39">
        <v>55.0</v>
      </c>
      <c r="B89" s="40" t="s">
        <v>131</v>
      </c>
      <c r="C89" s="40" t="s">
        <v>1181</v>
      </c>
      <c r="D89" s="41">
        <v>5.0</v>
      </c>
      <c r="E89" s="41">
        <v>1.0</v>
      </c>
      <c r="F89" s="39" t="str">
        <f t="shared" si="1"/>
        <v>Available</v>
      </c>
      <c r="G89" s="39">
        <v>2014.0</v>
      </c>
      <c r="H89" s="40" t="s">
        <v>1972</v>
      </c>
      <c r="I89" s="40" t="s">
        <v>1971</v>
      </c>
      <c r="J89" s="40" t="s">
        <v>2386</v>
      </c>
      <c r="K89" s="40" t="s">
        <v>2259</v>
      </c>
      <c r="L89" s="42" t="s">
        <v>2476</v>
      </c>
      <c r="M89" s="42" t="s">
        <v>2681</v>
      </c>
      <c r="N89" s="42" t="s">
        <v>1184</v>
      </c>
      <c r="O89" s="43" t="s">
        <v>1621</v>
      </c>
      <c r="P89" s="40"/>
      <c r="Q89" s="40" t="str">
        <f t="shared" si="2"/>
        <v>Unavailable</v>
      </c>
      <c r="R89" s="40" t="s">
        <v>2682</v>
      </c>
      <c r="S89" s="40" t="s">
        <v>2683</v>
      </c>
      <c r="T89" s="40" t="s">
        <v>2503</v>
      </c>
      <c r="U89" s="39">
        <v>3.0</v>
      </c>
      <c r="V89" s="39">
        <v>1.0</v>
      </c>
      <c r="W89" s="39">
        <f t="shared" si="3"/>
        <v>4</v>
      </c>
    </row>
    <row r="90" ht="15.75" customHeight="1">
      <c r="A90" s="39">
        <v>54.0</v>
      </c>
      <c r="B90" s="40" t="s">
        <v>124</v>
      </c>
      <c r="C90" s="40" t="s">
        <v>1177</v>
      </c>
      <c r="D90" s="41">
        <v>5.0</v>
      </c>
      <c r="E90" s="41">
        <v>4.0</v>
      </c>
      <c r="F90" s="39" t="str">
        <f t="shared" si="1"/>
        <v>Available</v>
      </c>
      <c r="G90" s="39">
        <v>2014.0</v>
      </c>
      <c r="H90" s="40" t="s">
        <v>1972</v>
      </c>
      <c r="I90" s="40" t="s">
        <v>1969</v>
      </c>
      <c r="J90" s="40" t="s">
        <v>2386</v>
      </c>
      <c r="K90" s="40" t="s">
        <v>2165</v>
      </c>
      <c r="L90" s="44" t="s">
        <v>2476</v>
      </c>
      <c r="M90" s="42" t="s">
        <v>2684</v>
      </c>
      <c r="N90" s="42" t="s">
        <v>1180</v>
      </c>
      <c r="O90" s="43" t="s">
        <v>1618</v>
      </c>
      <c r="P90" s="40" t="s">
        <v>1967</v>
      </c>
      <c r="Q90" s="40" t="str">
        <f t="shared" si="2"/>
        <v>Available</v>
      </c>
      <c r="R90" s="40" t="s">
        <v>2685</v>
      </c>
      <c r="S90" s="40" t="s">
        <v>2686</v>
      </c>
      <c r="T90" s="40" t="s">
        <v>2442</v>
      </c>
      <c r="U90" s="39">
        <v>1.0</v>
      </c>
      <c r="V90" s="39">
        <v>2.0</v>
      </c>
      <c r="W90" s="39">
        <f t="shared" si="3"/>
        <v>3</v>
      </c>
    </row>
    <row r="91" ht="15.75" customHeight="1">
      <c r="A91" s="39">
        <v>53.0</v>
      </c>
      <c r="B91" s="40" t="s">
        <v>117</v>
      </c>
      <c r="C91" s="40" t="s">
        <v>1175</v>
      </c>
      <c r="D91" s="41">
        <v>4.8</v>
      </c>
      <c r="E91" s="41">
        <v>13.0</v>
      </c>
      <c r="F91" s="39" t="str">
        <f t="shared" si="1"/>
        <v>Available</v>
      </c>
      <c r="G91" s="39">
        <v>2015.0</v>
      </c>
      <c r="H91" s="40" t="s">
        <v>1998</v>
      </c>
      <c r="I91" s="40" t="s">
        <v>1966</v>
      </c>
      <c r="J91" s="40" t="s">
        <v>2386</v>
      </c>
      <c r="K91" s="40" t="s">
        <v>2173</v>
      </c>
      <c r="L91" s="42" t="s">
        <v>2306</v>
      </c>
      <c r="M91" s="42" t="s">
        <v>2687</v>
      </c>
      <c r="N91" s="42" t="s">
        <v>1176</v>
      </c>
      <c r="O91" s="43">
        <v>8.801818064118E12</v>
      </c>
      <c r="P91" s="40" t="s">
        <v>1964</v>
      </c>
      <c r="Q91" s="40" t="str">
        <f t="shared" si="2"/>
        <v>Available</v>
      </c>
      <c r="R91" s="40" t="s">
        <v>2688</v>
      </c>
      <c r="S91" s="40" t="s">
        <v>2689</v>
      </c>
      <c r="T91" s="40" t="s">
        <v>1501</v>
      </c>
      <c r="U91" s="39">
        <v>4.0</v>
      </c>
      <c r="V91" s="39">
        <v>5.0</v>
      </c>
      <c r="W91" s="39">
        <f t="shared" si="3"/>
        <v>9</v>
      </c>
    </row>
    <row r="92" ht="15.75" customHeight="1">
      <c r="A92" s="39">
        <v>52.0</v>
      </c>
      <c r="B92" s="40" t="s">
        <v>111</v>
      </c>
      <c r="C92" s="40" t="s">
        <v>1170</v>
      </c>
      <c r="D92" s="41">
        <v>4.8</v>
      </c>
      <c r="E92" s="41">
        <v>51.0</v>
      </c>
      <c r="F92" s="39" t="str">
        <f t="shared" si="1"/>
        <v>Available</v>
      </c>
      <c r="G92" s="39">
        <v>2005.0</v>
      </c>
      <c r="H92" s="40" t="s">
        <v>1942</v>
      </c>
      <c r="I92" s="40" t="s">
        <v>1962</v>
      </c>
      <c r="J92" s="40" t="s">
        <v>2386</v>
      </c>
      <c r="K92" s="40" t="s">
        <v>2187</v>
      </c>
      <c r="L92" s="42" t="s">
        <v>2344</v>
      </c>
      <c r="M92" s="42" t="s">
        <v>2690</v>
      </c>
      <c r="N92" s="42" t="s">
        <v>1173</v>
      </c>
      <c r="O92" s="43" t="s">
        <v>1614</v>
      </c>
      <c r="P92" s="40"/>
      <c r="Q92" s="40" t="str">
        <f t="shared" si="2"/>
        <v>Unavailable</v>
      </c>
      <c r="R92" s="40" t="s">
        <v>2691</v>
      </c>
      <c r="S92" s="40" t="s">
        <v>2692</v>
      </c>
      <c r="T92" s="40" t="s">
        <v>2420</v>
      </c>
      <c r="U92" s="39">
        <v>3.0</v>
      </c>
      <c r="V92" s="39">
        <v>3.0</v>
      </c>
      <c r="W92" s="39">
        <f t="shared" si="3"/>
        <v>6</v>
      </c>
    </row>
    <row r="93" ht="15.75" customHeight="1">
      <c r="A93" s="39">
        <v>51.0</v>
      </c>
      <c r="B93" s="40" t="s">
        <v>104</v>
      </c>
      <c r="C93" s="40" t="s">
        <v>1168</v>
      </c>
      <c r="D93" s="41">
        <v>4.4</v>
      </c>
      <c r="E93" s="41">
        <v>29.0</v>
      </c>
      <c r="F93" s="39" t="str">
        <f t="shared" si="1"/>
        <v>Available</v>
      </c>
      <c r="G93" s="39">
        <v>1977.0</v>
      </c>
      <c r="H93" s="40" t="s">
        <v>1824</v>
      </c>
      <c r="I93" s="40" t="s">
        <v>1960</v>
      </c>
      <c r="J93" s="40" t="s">
        <v>2386</v>
      </c>
      <c r="K93" s="40" t="s">
        <v>2200</v>
      </c>
      <c r="L93" s="42" t="s">
        <v>2403</v>
      </c>
      <c r="M93" s="42" t="s">
        <v>2693</v>
      </c>
      <c r="N93" s="42" t="s">
        <v>1169</v>
      </c>
      <c r="O93" s="43" t="s">
        <v>1611</v>
      </c>
      <c r="P93" s="40" t="s">
        <v>1958</v>
      </c>
      <c r="Q93" s="40" t="str">
        <f t="shared" si="2"/>
        <v>Available</v>
      </c>
      <c r="R93" s="40" t="s">
        <v>2694</v>
      </c>
      <c r="S93" s="40" t="s">
        <v>2695</v>
      </c>
      <c r="T93" s="40" t="s">
        <v>1522</v>
      </c>
      <c r="U93" s="39">
        <v>6.0</v>
      </c>
      <c r="V93" s="39">
        <v>12.0</v>
      </c>
      <c r="W93" s="39">
        <f t="shared" si="3"/>
        <v>18</v>
      </c>
    </row>
    <row r="94" ht="15.75" customHeight="1">
      <c r="A94" s="39">
        <v>50.0</v>
      </c>
      <c r="B94" s="40" t="s">
        <v>96</v>
      </c>
      <c r="C94" s="40" t="s">
        <v>1166</v>
      </c>
      <c r="D94" s="41">
        <v>4.2</v>
      </c>
      <c r="E94" s="41">
        <v>19.0</v>
      </c>
      <c r="F94" s="39" t="str">
        <f t="shared" si="1"/>
        <v>Available</v>
      </c>
      <c r="G94" s="39">
        <v>1998.0</v>
      </c>
      <c r="H94" s="40" t="s">
        <v>1890</v>
      </c>
      <c r="I94" s="40" t="s">
        <v>1956</v>
      </c>
      <c r="J94" s="40" t="s">
        <v>2386</v>
      </c>
      <c r="K94" s="40" t="s">
        <v>2264</v>
      </c>
      <c r="L94" s="42" t="s">
        <v>2407</v>
      </c>
      <c r="M94" s="42" t="s">
        <v>2696</v>
      </c>
      <c r="N94" s="42" t="s">
        <v>1167</v>
      </c>
      <c r="O94" s="43" t="s">
        <v>1609</v>
      </c>
      <c r="P94" s="40" t="s">
        <v>1954</v>
      </c>
      <c r="Q94" s="40" t="str">
        <f t="shared" si="2"/>
        <v>Available</v>
      </c>
      <c r="R94" s="40" t="s">
        <v>2697</v>
      </c>
      <c r="S94" s="40" t="s">
        <v>2698</v>
      </c>
      <c r="T94" s="40" t="s">
        <v>1497</v>
      </c>
      <c r="U94" s="39">
        <v>7.0</v>
      </c>
      <c r="V94" s="39">
        <v>5.0</v>
      </c>
      <c r="W94" s="39">
        <f t="shared" si="3"/>
        <v>12</v>
      </c>
    </row>
    <row r="95" ht="15.75" customHeight="1">
      <c r="A95" s="39">
        <v>49.0</v>
      </c>
      <c r="B95" s="40" t="s">
        <v>90</v>
      </c>
      <c r="C95" s="40" t="s">
        <v>1161</v>
      </c>
      <c r="D95" s="41">
        <v>5.0</v>
      </c>
      <c r="E95" s="41">
        <v>2.0</v>
      </c>
      <c r="F95" s="39" t="str">
        <f t="shared" si="1"/>
        <v>Available</v>
      </c>
      <c r="G95" s="39">
        <v>1992.0</v>
      </c>
      <c r="H95" s="40" t="s">
        <v>1870</v>
      </c>
      <c r="I95" s="40" t="s">
        <v>1953</v>
      </c>
      <c r="J95" s="40" t="s">
        <v>2386</v>
      </c>
      <c r="K95" s="40" t="s">
        <v>2161</v>
      </c>
      <c r="L95" s="42" t="s">
        <v>2504</v>
      </c>
      <c r="M95" s="42" t="s">
        <v>2699</v>
      </c>
      <c r="N95" s="42" t="s">
        <v>1164</v>
      </c>
      <c r="O95" s="43" t="s">
        <v>1606</v>
      </c>
      <c r="P95" s="40"/>
      <c r="Q95" s="40" t="str">
        <f t="shared" si="2"/>
        <v>Unavailable</v>
      </c>
      <c r="R95" s="40" t="s">
        <v>2700</v>
      </c>
      <c r="S95" s="40" t="s">
        <v>2701</v>
      </c>
      <c r="T95" s="40" t="s">
        <v>1497</v>
      </c>
      <c r="U95" s="39">
        <v>2.0</v>
      </c>
      <c r="V95" s="39">
        <v>7.0</v>
      </c>
      <c r="W95" s="39">
        <f t="shared" si="3"/>
        <v>9</v>
      </c>
    </row>
    <row r="96" ht="15.75" customHeight="1">
      <c r="A96" s="39">
        <v>48.0</v>
      </c>
      <c r="B96" s="40" t="s">
        <v>84</v>
      </c>
      <c r="C96" s="40" t="s">
        <v>1156</v>
      </c>
      <c r="D96" s="41">
        <v>4.7</v>
      </c>
      <c r="E96" s="41">
        <v>17.0</v>
      </c>
      <c r="F96" s="39" t="str">
        <f t="shared" si="1"/>
        <v>Available</v>
      </c>
      <c r="G96" s="41">
        <v>1978.0</v>
      </c>
      <c r="H96" s="40" t="s">
        <v>1824</v>
      </c>
      <c r="I96" s="40" t="s">
        <v>1950</v>
      </c>
      <c r="J96" s="40" t="s">
        <v>2386</v>
      </c>
      <c r="K96" s="46" t="s">
        <v>2702</v>
      </c>
      <c r="L96" s="42" t="s">
        <v>2391</v>
      </c>
      <c r="M96" s="42" t="s">
        <v>2703</v>
      </c>
      <c r="N96" s="42" t="s">
        <v>1159</v>
      </c>
      <c r="O96" s="43" t="s">
        <v>1604</v>
      </c>
      <c r="P96" s="45" t="s">
        <v>2704</v>
      </c>
      <c r="Q96" s="40" t="str">
        <f t="shared" si="2"/>
        <v>Available</v>
      </c>
      <c r="R96" s="40" t="s">
        <v>2705</v>
      </c>
      <c r="S96" s="40" t="s">
        <v>2706</v>
      </c>
      <c r="T96" s="40" t="s">
        <v>2442</v>
      </c>
      <c r="U96" s="39">
        <v>1.0</v>
      </c>
      <c r="V96" s="39">
        <v>3.0</v>
      </c>
      <c r="W96" s="39">
        <f t="shared" si="3"/>
        <v>4</v>
      </c>
    </row>
    <row r="97" ht="15.75" customHeight="1">
      <c r="A97" s="39">
        <v>47.0</v>
      </c>
      <c r="B97" s="40" t="s">
        <v>76</v>
      </c>
      <c r="C97" s="40" t="s">
        <v>1154</v>
      </c>
      <c r="D97" s="41">
        <v>4.0</v>
      </c>
      <c r="E97" s="41">
        <v>3.0</v>
      </c>
      <c r="F97" s="39" t="str">
        <f t="shared" si="1"/>
        <v>Available</v>
      </c>
      <c r="G97" s="39">
        <v>1978.0</v>
      </c>
      <c r="H97" s="40" t="s">
        <v>1824</v>
      </c>
      <c r="I97" s="40" t="s">
        <v>1949</v>
      </c>
      <c r="J97" s="40" t="s">
        <v>2386</v>
      </c>
      <c r="K97" s="40" t="s">
        <v>2259</v>
      </c>
      <c r="L97" s="42" t="s">
        <v>2476</v>
      </c>
      <c r="M97" s="42" t="s">
        <v>2707</v>
      </c>
      <c r="N97" s="42" t="s">
        <v>1155</v>
      </c>
      <c r="O97" s="43" t="s">
        <v>1601</v>
      </c>
      <c r="P97" s="40" t="s">
        <v>1947</v>
      </c>
      <c r="Q97" s="40" t="str">
        <f t="shared" si="2"/>
        <v>Available</v>
      </c>
      <c r="R97" s="40" t="s">
        <v>2708</v>
      </c>
      <c r="S97" s="40" t="s">
        <v>2709</v>
      </c>
      <c r="T97" s="40" t="s">
        <v>1497</v>
      </c>
      <c r="U97" s="39">
        <v>2.0</v>
      </c>
      <c r="V97" s="39">
        <v>17.0</v>
      </c>
      <c r="W97" s="39">
        <f t="shared" si="3"/>
        <v>19</v>
      </c>
    </row>
    <row r="98" ht="15.75" customHeight="1">
      <c r="A98" s="39">
        <v>46.0</v>
      </c>
      <c r="B98" s="40" t="s">
        <v>67</v>
      </c>
      <c r="C98" s="40" t="s">
        <v>1151</v>
      </c>
      <c r="D98" s="41">
        <v>4.7</v>
      </c>
      <c r="E98" s="41">
        <v>68.0</v>
      </c>
      <c r="F98" s="39" t="str">
        <f t="shared" si="1"/>
        <v>Available</v>
      </c>
      <c r="G98" s="39">
        <v>2009.0</v>
      </c>
      <c r="H98" s="40" t="s">
        <v>1942</v>
      </c>
      <c r="I98" s="40" t="s">
        <v>1945</v>
      </c>
      <c r="J98" s="40" t="s">
        <v>2386</v>
      </c>
      <c r="K98" s="40" t="s">
        <v>2200</v>
      </c>
      <c r="L98" s="42" t="s">
        <v>2431</v>
      </c>
      <c r="M98" s="42" t="s">
        <v>2710</v>
      </c>
      <c r="N98" s="42" t="s">
        <v>1152</v>
      </c>
      <c r="O98" s="43" t="s">
        <v>1598</v>
      </c>
      <c r="P98" s="40" t="s">
        <v>1943</v>
      </c>
      <c r="Q98" s="40" t="str">
        <f t="shared" si="2"/>
        <v>Available</v>
      </c>
      <c r="R98" s="40" t="s">
        <v>2711</v>
      </c>
      <c r="S98" s="40" t="s">
        <v>2712</v>
      </c>
      <c r="T98" s="40" t="s">
        <v>1497</v>
      </c>
      <c r="U98" s="39">
        <v>7.0</v>
      </c>
      <c r="V98" s="39">
        <v>3.0</v>
      </c>
      <c r="W98" s="39">
        <f t="shared" si="3"/>
        <v>10</v>
      </c>
    </row>
    <row r="99" ht="15.75" customHeight="1">
      <c r="A99" s="39">
        <v>45.0</v>
      </c>
      <c r="B99" s="40" t="s">
        <v>61</v>
      </c>
      <c r="C99" s="40" t="s">
        <v>1147</v>
      </c>
      <c r="D99" s="39"/>
      <c r="E99" s="39"/>
      <c r="F99" s="39" t="str">
        <f t="shared" si="1"/>
        <v>Unavailable</v>
      </c>
      <c r="G99" s="39">
        <v>2018.0</v>
      </c>
      <c r="H99" s="40" t="s">
        <v>1998</v>
      </c>
      <c r="I99" s="40" t="s">
        <v>1941</v>
      </c>
      <c r="J99" s="40" t="s">
        <v>2386</v>
      </c>
      <c r="K99" s="40" t="s">
        <v>2210</v>
      </c>
      <c r="L99" s="42" t="s">
        <v>2407</v>
      </c>
      <c r="M99" s="42" t="s">
        <v>2713</v>
      </c>
      <c r="N99" s="42" t="s">
        <v>1150</v>
      </c>
      <c r="O99" s="43">
        <v>8.801819272915E12</v>
      </c>
      <c r="P99" s="40"/>
      <c r="Q99" s="40" t="str">
        <f t="shared" si="2"/>
        <v>Unavailable</v>
      </c>
      <c r="R99" s="40" t="s">
        <v>2714</v>
      </c>
      <c r="S99" s="40" t="s">
        <v>2715</v>
      </c>
      <c r="T99" s="40" t="s">
        <v>1544</v>
      </c>
      <c r="U99" s="39">
        <v>1.0</v>
      </c>
      <c r="V99" s="39">
        <v>0.0</v>
      </c>
      <c r="W99" s="39">
        <f t="shared" si="3"/>
        <v>1</v>
      </c>
    </row>
    <row r="100" ht="15.75" customHeight="1">
      <c r="A100" s="39">
        <v>44.0</v>
      </c>
      <c r="B100" s="40" t="s">
        <v>54</v>
      </c>
      <c r="C100" s="40" t="s">
        <v>1143</v>
      </c>
      <c r="D100" s="41">
        <v>4.8</v>
      </c>
      <c r="E100" s="41">
        <v>10.0</v>
      </c>
      <c r="F100" s="39" t="str">
        <f t="shared" si="1"/>
        <v>Available</v>
      </c>
      <c r="G100" s="39">
        <v>1986.0</v>
      </c>
      <c r="H100" s="40" t="s">
        <v>1847</v>
      </c>
      <c r="I100" s="40" t="s">
        <v>1939</v>
      </c>
      <c r="J100" s="40" t="s">
        <v>2386</v>
      </c>
      <c r="K100" s="40" t="s">
        <v>2218</v>
      </c>
      <c r="L100" s="42" t="s">
        <v>2407</v>
      </c>
      <c r="M100" s="42" t="s">
        <v>2716</v>
      </c>
      <c r="N100" s="42" t="s">
        <v>1146</v>
      </c>
      <c r="O100" s="43">
        <v>8.801671119933E12</v>
      </c>
      <c r="P100" s="40"/>
      <c r="Q100" s="40" t="str">
        <f t="shared" si="2"/>
        <v>Unavailable</v>
      </c>
      <c r="R100" s="40" t="s">
        <v>2717</v>
      </c>
      <c r="S100" s="40" t="s">
        <v>2718</v>
      </c>
      <c r="T100" s="40" t="s">
        <v>1497</v>
      </c>
      <c r="U100" s="39">
        <v>7.0</v>
      </c>
      <c r="V100" s="39">
        <v>0.0</v>
      </c>
      <c r="W100" s="39">
        <f t="shared" si="3"/>
        <v>7</v>
      </c>
    </row>
    <row r="101" ht="15.75" customHeight="1">
      <c r="A101" s="39">
        <v>43.0</v>
      </c>
      <c r="B101" s="40" t="s">
        <v>2719</v>
      </c>
      <c r="C101" s="40" t="s">
        <v>1138</v>
      </c>
      <c r="D101" s="41">
        <v>4.2</v>
      </c>
      <c r="E101" s="41">
        <v>6.0</v>
      </c>
      <c r="F101" s="39" t="str">
        <f t="shared" si="1"/>
        <v>Available</v>
      </c>
      <c r="G101" s="39">
        <v>2012.0</v>
      </c>
      <c r="H101" s="40" t="s">
        <v>1972</v>
      </c>
      <c r="I101" s="40" t="s">
        <v>1937</v>
      </c>
      <c r="J101" s="40" t="s">
        <v>2386</v>
      </c>
      <c r="K101" s="40" t="s">
        <v>2249</v>
      </c>
      <c r="L101" s="42" t="s">
        <v>2412</v>
      </c>
      <c r="M101" s="42" t="s">
        <v>2720</v>
      </c>
      <c r="N101" s="42" t="s">
        <v>1141</v>
      </c>
      <c r="O101" s="43" t="s">
        <v>1592</v>
      </c>
      <c r="P101" s="40"/>
      <c r="Q101" s="40" t="str">
        <f t="shared" si="2"/>
        <v>Unavailable</v>
      </c>
      <c r="R101" s="40" t="s">
        <v>2721</v>
      </c>
      <c r="S101" s="40" t="s">
        <v>2722</v>
      </c>
      <c r="T101" s="40" t="s">
        <v>1497</v>
      </c>
      <c r="U101" s="39">
        <v>2.0</v>
      </c>
      <c r="V101" s="39">
        <v>1.0</v>
      </c>
      <c r="W101" s="39">
        <f t="shared" si="3"/>
        <v>3</v>
      </c>
    </row>
    <row r="102" ht="15.75" customHeight="1">
      <c r="A102" s="39">
        <v>42.0</v>
      </c>
      <c r="B102" s="40" t="s">
        <v>2723</v>
      </c>
      <c r="C102" s="40" t="s">
        <v>1136</v>
      </c>
      <c r="D102" s="39"/>
      <c r="E102" s="39"/>
      <c r="F102" s="39" t="str">
        <f t="shared" si="1"/>
        <v>Unavailable</v>
      </c>
      <c r="G102" s="39">
        <v>2009.0</v>
      </c>
      <c r="H102" s="40" t="s">
        <v>1942</v>
      </c>
      <c r="I102" s="40" t="s">
        <v>1935</v>
      </c>
      <c r="J102" s="40" t="s">
        <v>2386</v>
      </c>
      <c r="K102" s="40" t="s">
        <v>2232</v>
      </c>
      <c r="L102" s="42" t="s">
        <v>2724</v>
      </c>
      <c r="M102" s="42" t="s">
        <v>2725</v>
      </c>
      <c r="N102" s="42" t="s">
        <v>1137</v>
      </c>
      <c r="O102" s="43" t="s">
        <v>1590</v>
      </c>
      <c r="P102" s="40" t="s">
        <v>1934</v>
      </c>
      <c r="Q102" s="40" t="str">
        <f t="shared" si="2"/>
        <v>Available</v>
      </c>
      <c r="R102" s="40" t="s">
        <v>2726</v>
      </c>
      <c r="S102" s="40" t="s">
        <v>2727</v>
      </c>
      <c r="T102" s="40" t="s">
        <v>1501</v>
      </c>
      <c r="U102" s="39">
        <v>2.0</v>
      </c>
      <c r="V102" s="39">
        <v>2.0</v>
      </c>
      <c r="W102" s="39">
        <f t="shared" si="3"/>
        <v>4</v>
      </c>
    </row>
    <row r="103" ht="15.75" customHeight="1">
      <c r="A103" s="39">
        <v>41.0</v>
      </c>
      <c r="B103" s="40" t="s">
        <v>32</v>
      </c>
      <c r="C103" s="40" t="s">
        <v>1132</v>
      </c>
      <c r="D103" s="39"/>
      <c r="E103" s="39"/>
      <c r="F103" s="39" t="str">
        <f t="shared" si="1"/>
        <v>Unavailable</v>
      </c>
      <c r="G103" s="39">
        <v>2013.0</v>
      </c>
      <c r="H103" s="40" t="s">
        <v>1972</v>
      </c>
      <c r="I103" s="40" t="s">
        <v>1933</v>
      </c>
      <c r="J103" s="40" t="s">
        <v>2386</v>
      </c>
      <c r="K103" s="40" t="s">
        <v>2165</v>
      </c>
      <c r="L103" s="42" t="s">
        <v>2476</v>
      </c>
      <c r="M103" s="42" t="s">
        <v>2728</v>
      </c>
      <c r="N103" s="42" t="s">
        <v>1135</v>
      </c>
      <c r="O103" s="43" t="s">
        <v>1588</v>
      </c>
      <c r="P103" s="40"/>
      <c r="Q103" s="40" t="str">
        <f t="shared" si="2"/>
        <v>Unavailable</v>
      </c>
      <c r="R103" s="40" t="s">
        <v>2729</v>
      </c>
      <c r="S103" s="40" t="s">
        <v>2730</v>
      </c>
      <c r="T103" s="40" t="s">
        <v>1501</v>
      </c>
      <c r="U103" s="39">
        <v>2.0</v>
      </c>
      <c r="V103" s="39">
        <v>2.0</v>
      </c>
      <c r="W103" s="39">
        <f t="shared" si="3"/>
        <v>4</v>
      </c>
    </row>
    <row r="104" ht="15.75" customHeight="1">
      <c r="A104" s="39">
        <v>40.0</v>
      </c>
      <c r="B104" s="40" t="s">
        <v>25</v>
      </c>
      <c r="C104" s="40" t="s">
        <v>1130</v>
      </c>
      <c r="D104" s="39"/>
      <c r="E104" s="39"/>
      <c r="F104" s="39" t="str">
        <f t="shared" si="1"/>
        <v>Unavailable</v>
      </c>
      <c r="G104" s="39">
        <v>2008.0</v>
      </c>
      <c r="H104" s="40" t="s">
        <v>1942</v>
      </c>
      <c r="I104" s="40" t="s">
        <v>1931</v>
      </c>
      <c r="J104" s="46" t="s">
        <v>2386</v>
      </c>
      <c r="K104" s="40" t="s">
        <v>2200</v>
      </c>
      <c r="L104" s="44" t="s">
        <v>2431</v>
      </c>
      <c r="M104" s="42" t="s">
        <v>2731</v>
      </c>
      <c r="N104" s="42" t="s">
        <v>1131</v>
      </c>
      <c r="O104" s="43" t="s">
        <v>1585</v>
      </c>
      <c r="P104" s="40" t="s">
        <v>1930</v>
      </c>
      <c r="Q104" s="40" t="str">
        <f t="shared" si="2"/>
        <v>Available</v>
      </c>
      <c r="R104" s="40" t="s">
        <v>2732</v>
      </c>
      <c r="S104" s="40" t="s">
        <v>2733</v>
      </c>
      <c r="T104" s="40" t="s">
        <v>1522</v>
      </c>
      <c r="U104" s="39">
        <v>2.0</v>
      </c>
      <c r="V104" s="39">
        <v>3.0</v>
      </c>
      <c r="W104" s="39">
        <f t="shared" si="3"/>
        <v>5</v>
      </c>
    </row>
    <row r="105" ht="15.75" customHeight="1">
      <c r="A105" s="39">
        <v>39.0</v>
      </c>
      <c r="B105" s="40" t="s">
        <v>17</v>
      </c>
      <c r="C105" s="40" t="s">
        <v>1128</v>
      </c>
      <c r="D105" s="41">
        <v>4.6</v>
      </c>
      <c r="E105" s="41">
        <v>36.0</v>
      </c>
      <c r="F105" s="39" t="str">
        <f t="shared" si="1"/>
        <v>Available</v>
      </c>
      <c r="G105" s="39">
        <v>2005.0</v>
      </c>
      <c r="H105" s="40" t="s">
        <v>1942</v>
      </c>
      <c r="I105" s="40" t="s">
        <v>1929</v>
      </c>
      <c r="J105" s="40" t="s">
        <v>2386</v>
      </c>
      <c r="K105" s="40" t="s">
        <v>2169</v>
      </c>
      <c r="L105" s="42" t="s">
        <v>2424</v>
      </c>
      <c r="M105" s="42" t="s">
        <v>2734</v>
      </c>
      <c r="N105" s="42" t="s">
        <v>1129</v>
      </c>
      <c r="O105" s="43" t="s">
        <v>1583</v>
      </c>
      <c r="P105" s="40" t="s">
        <v>1927</v>
      </c>
      <c r="Q105" s="40" t="str">
        <f t="shared" si="2"/>
        <v>Available</v>
      </c>
      <c r="R105" s="40" t="s">
        <v>2735</v>
      </c>
      <c r="S105" s="40" t="s">
        <v>2736</v>
      </c>
      <c r="T105" s="40" t="s">
        <v>1501</v>
      </c>
      <c r="U105" s="39">
        <v>7.0</v>
      </c>
      <c r="V105" s="39">
        <v>9.0</v>
      </c>
      <c r="W105" s="39">
        <f t="shared" si="3"/>
        <v>16</v>
      </c>
    </row>
    <row r="106" ht="15.75" customHeight="1">
      <c r="A106" s="39">
        <v>38.0</v>
      </c>
      <c r="B106" s="40" t="s">
        <v>11</v>
      </c>
      <c r="C106" s="40" t="s">
        <v>1124</v>
      </c>
      <c r="D106" s="39"/>
      <c r="E106" s="39"/>
      <c r="F106" s="39" t="str">
        <f t="shared" si="1"/>
        <v>Unavailable</v>
      </c>
      <c r="G106" s="39">
        <v>2013.0</v>
      </c>
      <c r="H106" s="40" t="s">
        <v>1972</v>
      </c>
      <c r="I106" s="40" t="s">
        <v>1925</v>
      </c>
      <c r="J106" s="40" t="s">
        <v>2386</v>
      </c>
      <c r="K106" s="40" t="s">
        <v>2161</v>
      </c>
      <c r="L106" s="42" t="s">
        <v>2416</v>
      </c>
      <c r="M106" s="42" t="s">
        <v>2737</v>
      </c>
      <c r="N106" s="42" t="s">
        <v>1127</v>
      </c>
      <c r="O106" s="43" t="s">
        <v>1580</v>
      </c>
      <c r="P106" s="40"/>
      <c r="Q106" s="40" t="str">
        <f t="shared" si="2"/>
        <v>Unavailable</v>
      </c>
      <c r="R106" s="40" t="s">
        <v>2738</v>
      </c>
      <c r="S106" s="40" t="s">
        <v>2739</v>
      </c>
      <c r="T106" s="40" t="s">
        <v>1522</v>
      </c>
      <c r="U106" s="39">
        <v>5.0</v>
      </c>
      <c r="V106" s="39">
        <v>15.0</v>
      </c>
      <c r="W106" s="39">
        <f t="shared" si="3"/>
        <v>20</v>
      </c>
    </row>
    <row r="107" ht="15.75" customHeight="1">
      <c r="A107" s="39">
        <v>37.0</v>
      </c>
      <c r="B107" s="40" t="s">
        <v>2</v>
      </c>
      <c r="C107" s="40" t="s">
        <v>1122</v>
      </c>
      <c r="D107" s="39"/>
      <c r="E107" s="39"/>
      <c r="F107" s="39" t="str">
        <f t="shared" si="1"/>
        <v>Unavailable</v>
      </c>
      <c r="G107" s="39">
        <v>1988.0</v>
      </c>
      <c r="H107" s="40" t="s">
        <v>1847</v>
      </c>
      <c r="I107" s="40" t="s">
        <v>1923</v>
      </c>
      <c r="J107" s="40" t="s">
        <v>2386</v>
      </c>
      <c r="K107" s="40" t="s">
        <v>2239</v>
      </c>
      <c r="L107" s="42" t="s">
        <v>2529</v>
      </c>
      <c r="M107" s="42" t="s">
        <v>2740</v>
      </c>
      <c r="N107" s="42" t="s">
        <v>1123</v>
      </c>
      <c r="O107" s="43" t="s">
        <v>1578</v>
      </c>
      <c r="P107" s="40" t="s">
        <v>1921</v>
      </c>
      <c r="Q107" s="40" t="str">
        <f t="shared" si="2"/>
        <v>Available</v>
      </c>
      <c r="R107" s="40" t="s">
        <v>2741</v>
      </c>
      <c r="S107" s="40" t="s">
        <v>2742</v>
      </c>
      <c r="T107" s="40" t="s">
        <v>1522</v>
      </c>
      <c r="U107" s="39">
        <v>1.0</v>
      </c>
      <c r="V107" s="39">
        <v>6.0</v>
      </c>
      <c r="W107" s="39">
        <f t="shared" si="3"/>
        <v>7</v>
      </c>
    </row>
    <row r="108" ht="15.75" customHeight="1">
      <c r="A108" s="39">
        <v>36.0</v>
      </c>
      <c r="B108" s="40" t="s">
        <v>915</v>
      </c>
      <c r="C108" s="40" t="s">
        <v>1121</v>
      </c>
      <c r="D108" s="39"/>
      <c r="E108" s="39"/>
      <c r="F108" s="39" t="str">
        <f t="shared" si="1"/>
        <v>Unavailable</v>
      </c>
      <c r="G108" s="39">
        <v>2017.0</v>
      </c>
      <c r="H108" s="40" t="s">
        <v>1998</v>
      </c>
      <c r="I108" s="40" t="s">
        <v>1917</v>
      </c>
      <c r="J108" s="40" t="s">
        <v>2386</v>
      </c>
      <c r="K108" s="40" t="s">
        <v>2173</v>
      </c>
      <c r="L108" s="42" t="s">
        <v>2724</v>
      </c>
      <c r="M108" s="42" t="s">
        <v>2743</v>
      </c>
      <c r="N108" s="42" t="s">
        <v>1120</v>
      </c>
      <c r="O108" s="43" t="s">
        <v>1574</v>
      </c>
      <c r="P108" s="40"/>
      <c r="Q108" s="40" t="str">
        <f t="shared" si="2"/>
        <v>Unavailable</v>
      </c>
      <c r="R108" s="40" t="s">
        <v>2744</v>
      </c>
      <c r="S108" s="40" t="s">
        <v>2745</v>
      </c>
      <c r="T108" s="40" t="s">
        <v>2420</v>
      </c>
      <c r="U108" s="39">
        <v>4.0</v>
      </c>
      <c r="V108" s="39">
        <v>0.0</v>
      </c>
      <c r="W108" s="39">
        <f t="shared" si="3"/>
        <v>4</v>
      </c>
    </row>
    <row r="109" ht="15.75" customHeight="1">
      <c r="A109" s="39">
        <v>35.0</v>
      </c>
      <c r="B109" s="40" t="s">
        <v>910</v>
      </c>
      <c r="C109" s="40" t="s">
        <v>1117</v>
      </c>
      <c r="D109" s="39"/>
      <c r="E109" s="39"/>
      <c r="F109" s="39" t="str">
        <f t="shared" si="1"/>
        <v>Unavailable</v>
      </c>
      <c r="G109" s="39">
        <v>2017.0</v>
      </c>
      <c r="H109" s="40" t="s">
        <v>1998</v>
      </c>
      <c r="I109" s="40" t="s">
        <v>1917</v>
      </c>
      <c r="J109" s="40" t="s">
        <v>2386</v>
      </c>
      <c r="K109" s="40" t="s">
        <v>2173</v>
      </c>
      <c r="L109" s="42" t="s">
        <v>2724</v>
      </c>
      <c r="M109" s="42" t="s">
        <v>2743</v>
      </c>
      <c r="N109" s="42" t="s">
        <v>1120</v>
      </c>
      <c r="O109" s="43" t="s">
        <v>1574</v>
      </c>
      <c r="P109" s="40"/>
      <c r="Q109" s="40" t="str">
        <f t="shared" si="2"/>
        <v>Unavailable</v>
      </c>
      <c r="R109" s="40" t="s">
        <v>2746</v>
      </c>
      <c r="S109" s="40" t="s">
        <v>2747</v>
      </c>
      <c r="T109" s="40" t="s">
        <v>1501</v>
      </c>
      <c r="U109" s="39">
        <v>3.0</v>
      </c>
      <c r="V109" s="39">
        <v>0.0</v>
      </c>
      <c r="W109" s="39">
        <f t="shared" si="3"/>
        <v>3</v>
      </c>
    </row>
    <row r="110" ht="15.75" customHeight="1">
      <c r="A110" s="39">
        <v>34.0</v>
      </c>
      <c r="B110" s="40" t="s">
        <v>905</v>
      </c>
      <c r="C110" s="46" t="s">
        <v>2748</v>
      </c>
      <c r="D110" s="39"/>
      <c r="E110" s="39"/>
      <c r="F110" s="39" t="str">
        <f t="shared" si="1"/>
        <v>Unavailable</v>
      </c>
      <c r="G110" s="39">
        <v>2009.0</v>
      </c>
      <c r="H110" s="40" t="s">
        <v>1942</v>
      </c>
      <c r="I110" s="40" t="s">
        <v>1914</v>
      </c>
      <c r="J110" s="40" t="s">
        <v>2386</v>
      </c>
      <c r="K110" s="40" t="s">
        <v>2210</v>
      </c>
      <c r="L110" s="42" t="s">
        <v>2387</v>
      </c>
      <c r="M110" s="42" t="s">
        <v>2749</v>
      </c>
      <c r="N110" s="42" t="s">
        <v>1116</v>
      </c>
      <c r="O110" s="43" t="s">
        <v>1572</v>
      </c>
      <c r="P110" s="40" t="s">
        <v>1913</v>
      </c>
      <c r="Q110" s="40" t="str">
        <f t="shared" si="2"/>
        <v>Available</v>
      </c>
      <c r="R110" s="40" t="s">
        <v>2750</v>
      </c>
      <c r="S110" s="40" t="s">
        <v>2751</v>
      </c>
      <c r="T110" s="40" t="s">
        <v>1501</v>
      </c>
      <c r="U110" s="39">
        <v>0.0</v>
      </c>
      <c r="V110" s="39">
        <v>0.0</v>
      </c>
      <c r="W110" s="39">
        <f t="shared" si="3"/>
        <v>0</v>
      </c>
    </row>
    <row r="111" ht="15.75" customHeight="1">
      <c r="A111" s="39">
        <v>33.0</v>
      </c>
      <c r="B111" s="40" t="s">
        <v>900</v>
      </c>
      <c r="C111" s="40" t="s">
        <v>1110</v>
      </c>
      <c r="D111" s="41">
        <v>5.0</v>
      </c>
      <c r="E111" s="41">
        <v>1.0</v>
      </c>
      <c r="F111" s="39" t="str">
        <f t="shared" si="1"/>
        <v>Available</v>
      </c>
      <c r="G111" s="41">
        <v>2010.0</v>
      </c>
      <c r="H111" s="40" t="s">
        <v>1972</v>
      </c>
      <c r="I111" s="40" t="s">
        <v>1912</v>
      </c>
      <c r="J111" s="40" t="s">
        <v>2386</v>
      </c>
      <c r="K111" s="40" t="s">
        <v>2236</v>
      </c>
      <c r="L111" s="42" t="s">
        <v>2752</v>
      </c>
      <c r="M111" s="42" t="s">
        <v>2753</v>
      </c>
      <c r="N111" s="42" t="s">
        <v>1113</v>
      </c>
      <c r="O111" s="43" t="s">
        <v>1570</v>
      </c>
      <c r="P111" s="40"/>
      <c r="Q111" s="40" t="str">
        <f t="shared" si="2"/>
        <v>Unavailable</v>
      </c>
      <c r="R111" s="40" t="s">
        <v>2754</v>
      </c>
      <c r="S111" s="40" t="s">
        <v>2755</v>
      </c>
      <c r="T111" s="40" t="s">
        <v>1501</v>
      </c>
      <c r="U111" s="39">
        <v>0.0</v>
      </c>
      <c r="V111" s="39">
        <v>0.0</v>
      </c>
      <c r="W111" s="39">
        <f t="shared" si="3"/>
        <v>0</v>
      </c>
    </row>
    <row r="112" ht="15.75" customHeight="1">
      <c r="A112" s="39">
        <v>32.0</v>
      </c>
      <c r="B112" s="40" t="s">
        <v>893</v>
      </c>
      <c r="C112" s="40" t="s">
        <v>1106</v>
      </c>
      <c r="D112" s="41">
        <v>5.0</v>
      </c>
      <c r="E112" s="41">
        <v>3.0</v>
      </c>
      <c r="F112" s="39" t="str">
        <f t="shared" si="1"/>
        <v>Available</v>
      </c>
      <c r="G112" s="39">
        <v>2014.0</v>
      </c>
      <c r="H112" s="40" t="s">
        <v>1972</v>
      </c>
      <c r="I112" s="40" t="s">
        <v>1909</v>
      </c>
      <c r="J112" s="40" t="s">
        <v>2386</v>
      </c>
      <c r="K112" s="40" t="s">
        <v>2173</v>
      </c>
      <c r="L112" s="42" t="s">
        <v>2175</v>
      </c>
      <c r="M112" s="42" t="s">
        <v>2756</v>
      </c>
      <c r="N112" s="42" t="s">
        <v>1109</v>
      </c>
      <c r="O112" s="43" t="s">
        <v>1568</v>
      </c>
      <c r="P112" s="40"/>
      <c r="Q112" s="40" t="str">
        <f t="shared" si="2"/>
        <v>Unavailable</v>
      </c>
      <c r="R112" s="40" t="s">
        <v>2757</v>
      </c>
      <c r="S112" s="40" t="s">
        <v>2758</v>
      </c>
      <c r="T112" s="40" t="s">
        <v>1544</v>
      </c>
      <c r="U112" s="39">
        <v>4.0</v>
      </c>
      <c r="V112" s="39">
        <v>0.0</v>
      </c>
      <c r="W112" s="39">
        <f t="shared" si="3"/>
        <v>4</v>
      </c>
    </row>
    <row r="113" ht="15.75" customHeight="1">
      <c r="A113" s="39">
        <v>31.0</v>
      </c>
      <c r="B113" s="40" t="s">
        <v>887</v>
      </c>
      <c r="C113" s="40" t="s">
        <v>1102</v>
      </c>
      <c r="D113" s="39"/>
      <c r="E113" s="39"/>
      <c r="F113" s="39" t="str">
        <f t="shared" si="1"/>
        <v>Unavailable</v>
      </c>
      <c r="G113" s="39">
        <v>1985.0</v>
      </c>
      <c r="H113" s="40" t="s">
        <v>1847</v>
      </c>
      <c r="I113" s="40" t="s">
        <v>1907</v>
      </c>
      <c r="J113" s="40" t="s">
        <v>2386</v>
      </c>
      <c r="K113" s="40" t="s">
        <v>2232</v>
      </c>
      <c r="L113" s="42" t="s">
        <v>2724</v>
      </c>
      <c r="M113" s="42" t="s">
        <v>2759</v>
      </c>
      <c r="N113" s="42" t="s">
        <v>1105</v>
      </c>
      <c r="O113" s="43" t="s">
        <v>1565</v>
      </c>
      <c r="P113" s="40"/>
      <c r="Q113" s="40" t="str">
        <f t="shared" si="2"/>
        <v>Unavailable</v>
      </c>
      <c r="R113" s="40" t="s">
        <v>2760</v>
      </c>
      <c r="S113" s="40" t="s">
        <v>2761</v>
      </c>
      <c r="T113" s="40" t="s">
        <v>1497</v>
      </c>
      <c r="U113" s="39">
        <v>2.0</v>
      </c>
      <c r="V113" s="39">
        <v>0.0</v>
      </c>
      <c r="W113" s="39">
        <f t="shared" si="3"/>
        <v>2</v>
      </c>
    </row>
    <row r="114" ht="15.75" customHeight="1">
      <c r="A114" s="39">
        <v>30.0</v>
      </c>
      <c r="B114" s="40" t="s">
        <v>880</v>
      </c>
      <c r="C114" s="40" t="s">
        <v>1097</v>
      </c>
      <c r="D114" s="41">
        <v>5.0</v>
      </c>
      <c r="E114" s="41">
        <v>7.0</v>
      </c>
      <c r="F114" s="39" t="str">
        <f t="shared" si="1"/>
        <v>Available</v>
      </c>
      <c r="G114" s="39">
        <v>2017.0</v>
      </c>
      <c r="H114" s="40" t="s">
        <v>1998</v>
      </c>
      <c r="I114" s="40" t="s">
        <v>1904</v>
      </c>
      <c r="J114" s="40" t="s">
        <v>2386</v>
      </c>
      <c r="K114" s="40" t="s">
        <v>2157</v>
      </c>
      <c r="L114" s="42" t="s">
        <v>2762</v>
      </c>
      <c r="M114" s="42" t="s">
        <v>2763</v>
      </c>
      <c r="N114" s="42" t="s">
        <v>1100</v>
      </c>
      <c r="O114" s="43" t="s">
        <v>1563</v>
      </c>
      <c r="P114" s="40" t="s">
        <v>1902</v>
      </c>
      <c r="Q114" s="40" t="str">
        <f t="shared" si="2"/>
        <v>Available</v>
      </c>
      <c r="R114" s="40" t="s">
        <v>2764</v>
      </c>
      <c r="S114" s="40" t="s">
        <v>2765</v>
      </c>
      <c r="T114" s="40" t="s">
        <v>2766</v>
      </c>
      <c r="U114" s="39">
        <v>3.0</v>
      </c>
      <c r="V114" s="39">
        <v>0.0</v>
      </c>
      <c r="W114" s="39">
        <f t="shared" si="3"/>
        <v>3</v>
      </c>
    </row>
    <row r="115" ht="15.75" customHeight="1">
      <c r="A115" s="39">
        <v>29.0</v>
      </c>
      <c r="B115" s="40" t="s">
        <v>876</v>
      </c>
      <c r="C115" s="46" t="s">
        <v>2767</v>
      </c>
      <c r="D115" s="41">
        <v>4.6</v>
      </c>
      <c r="E115" s="41">
        <v>16.0</v>
      </c>
      <c r="F115" s="39" t="str">
        <f t="shared" si="1"/>
        <v>Available</v>
      </c>
      <c r="G115" s="39">
        <v>2004.0</v>
      </c>
      <c r="H115" s="40" t="s">
        <v>1918</v>
      </c>
      <c r="I115" s="40" t="s">
        <v>1901</v>
      </c>
      <c r="J115" s="40" t="s">
        <v>2386</v>
      </c>
      <c r="K115" s="40" t="s">
        <v>2225</v>
      </c>
      <c r="L115" s="42" t="s">
        <v>2344</v>
      </c>
      <c r="M115" s="42" t="s">
        <v>2768</v>
      </c>
      <c r="N115" s="42" t="s">
        <v>1096</v>
      </c>
      <c r="O115" s="43" t="s">
        <v>1560</v>
      </c>
      <c r="P115" s="40"/>
      <c r="Q115" s="40" t="str">
        <f t="shared" si="2"/>
        <v>Unavailable</v>
      </c>
      <c r="R115" s="40" t="s">
        <v>2769</v>
      </c>
      <c r="S115" s="40" t="s">
        <v>2770</v>
      </c>
      <c r="T115" s="40" t="s">
        <v>1501</v>
      </c>
      <c r="U115" s="39">
        <v>2.0</v>
      </c>
      <c r="V115" s="39">
        <v>1.0</v>
      </c>
      <c r="W115" s="39">
        <f t="shared" si="3"/>
        <v>3</v>
      </c>
    </row>
    <row r="116" ht="15.75" customHeight="1">
      <c r="A116" s="39">
        <v>28.0</v>
      </c>
      <c r="B116" s="40" t="s">
        <v>870</v>
      </c>
      <c r="C116" s="40" t="s">
        <v>1090</v>
      </c>
      <c r="D116" s="41">
        <v>5.0</v>
      </c>
      <c r="E116" s="41">
        <v>3.0</v>
      </c>
      <c r="F116" s="39" t="str">
        <f t="shared" si="1"/>
        <v>Available</v>
      </c>
      <c r="G116" s="39">
        <v>2013.0</v>
      </c>
      <c r="H116" s="40" t="s">
        <v>1972</v>
      </c>
      <c r="I116" s="40" t="s">
        <v>1898</v>
      </c>
      <c r="J116" s="40" t="s">
        <v>2386</v>
      </c>
      <c r="K116" s="40" t="s">
        <v>2232</v>
      </c>
      <c r="L116" s="42" t="s">
        <v>2724</v>
      </c>
      <c r="M116" s="42" t="s">
        <v>2771</v>
      </c>
      <c r="N116" s="42" t="s">
        <v>1093</v>
      </c>
      <c r="O116" s="43" t="s">
        <v>1558</v>
      </c>
      <c r="P116" s="40" t="s">
        <v>1897</v>
      </c>
      <c r="Q116" s="40" t="str">
        <f t="shared" si="2"/>
        <v>Available</v>
      </c>
      <c r="R116" s="40" t="s">
        <v>2772</v>
      </c>
      <c r="S116" s="40" t="s">
        <v>2773</v>
      </c>
      <c r="T116" s="40" t="s">
        <v>1501</v>
      </c>
      <c r="U116" s="39">
        <v>2.0</v>
      </c>
      <c r="V116" s="39">
        <v>2.0</v>
      </c>
      <c r="W116" s="39">
        <f t="shared" si="3"/>
        <v>4</v>
      </c>
    </row>
    <row r="117" ht="15.75" customHeight="1">
      <c r="A117" s="39">
        <v>27.0</v>
      </c>
      <c r="B117" s="40" t="s">
        <v>864</v>
      </c>
      <c r="C117" s="40" t="s">
        <v>1085</v>
      </c>
      <c r="D117" s="41">
        <v>4.4</v>
      </c>
      <c r="E117" s="41">
        <v>9.0</v>
      </c>
      <c r="F117" s="39" t="str">
        <f t="shared" si="1"/>
        <v>Available</v>
      </c>
      <c r="G117" s="39">
        <v>2016.0</v>
      </c>
      <c r="H117" s="40" t="s">
        <v>1998</v>
      </c>
      <c r="I117" s="40" t="s">
        <v>1896</v>
      </c>
      <c r="J117" s="40" t="s">
        <v>2386</v>
      </c>
      <c r="K117" s="40" t="s">
        <v>2169</v>
      </c>
      <c r="L117" s="42" t="s">
        <v>2399</v>
      </c>
      <c r="M117" s="42" t="s">
        <v>2774</v>
      </c>
      <c r="N117" s="42" t="s">
        <v>1088</v>
      </c>
      <c r="O117" s="43" t="s">
        <v>1555</v>
      </c>
      <c r="P117" s="40" t="s">
        <v>1894</v>
      </c>
      <c r="Q117" s="40" t="str">
        <f t="shared" si="2"/>
        <v>Available</v>
      </c>
      <c r="R117" s="40" t="s">
        <v>2775</v>
      </c>
      <c r="S117" s="40" t="s">
        <v>2776</v>
      </c>
      <c r="T117" s="40" t="s">
        <v>1544</v>
      </c>
      <c r="U117" s="39">
        <v>2.0</v>
      </c>
      <c r="V117" s="39">
        <v>3.0</v>
      </c>
      <c r="W117" s="39">
        <f t="shared" si="3"/>
        <v>5</v>
      </c>
    </row>
    <row r="118" ht="15.75" customHeight="1">
      <c r="A118" s="39">
        <v>26.0</v>
      </c>
      <c r="B118" s="40" t="s">
        <v>857</v>
      </c>
      <c r="C118" s="40" t="s">
        <v>1082</v>
      </c>
      <c r="D118" s="41">
        <v>5.0</v>
      </c>
      <c r="E118" s="41">
        <v>10.0</v>
      </c>
      <c r="F118" s="39" t="str">
        <f t="shared" si="1"/>
        <v>Available</v>
      </c>
      <c r="G118" s="39">
        <v>2017.0</v>
      </c>
      <c r="H118" s="40" t="s">
        <v>1998</v>
      </c>
      <c r="I118" s="40" t="s">
        <v>1889</v>
      </c>
      <c r="J118" s="40" t="s">
        <v>2386</v>
      </c>
      <c r="K118" s="40" t="s">
        <v>2173</v>
      </c>
      <c r="L118" s="42" t="s">
        <v>2175</v>
      </c>
      <c r="M118" s="42" t="s">
        <v>2777</v>
      </c>
      <c r="N118" s="42" t="s">
        <v>1083</v>
      </c>
      <c r="O118" s="43">
        <v>8.8024102181E11</v>
      </c>
      <c r="P118" s="40" t="s">
        <v>1891</v>
      </c>
      <c r="Q118" s="40" t="str">
        <f t="shared" si="2"/>
        <v>Available</v>
      </c>
      <c r="R118" s="40" t="s">
        <v>2778</v>
      </c>
      <c r="S118" s="40" t="s">
        <v>2779</v>
      </c>
      <c r="T118" s="40" t="s">
        <v>2487</v>
      </c>
      <c r="U118" s="39">
        <v>6.0</v>
      </c>
      <c r="V118" s="39">
        <v>2.0</v>
      </c>
      <c r="W118" s="39">
        <f t="shared" si="3"/>
        <v>8</v>
      </c>
    </row>
    <row r="119" ht="15.75" customHeight="1">
      <c r="A119" s="41">
        <v>25.0</v>
      </c>
      <c r="B119" s="40" t="s">
        <v>852</v>
      </c>
      <c r="C119" s="46" t="s">
        <v>1077</v>
      </c>
      <c r="D119" s="41"/>
      <c r="E119" s="41"/>
      <c r="F119" s="39" t="str">
        <f t="shared" si="1"/>
        <v>Unavailable</v>
      </c>
      <c r="G119" s="41">
        <v>2015.0</v>
      </c>
      <c r="H119" s="40" t="s">
        <v>1998</v>
      </c>
      <c r="I119" s="40" t="s">
        <v>854</v>
      </c>
      <c r="J119" s="46" t="s">
        <v>2386</v>
      </c>
      <c r="K119" s="46" t="s">
        <v>2173</v>
      </c>
      <c r="L119" s="44" t="s">
        <v>2175</v>
      </c>
      <c r="M119" s="42" t="s">
        <v>2777</v>
      </c>
      <c r="N119" s="46" t="s">
        <v>2780</v>
      </c>
      <c r="O119" s="47">
        <f>+880241021810</f>
        <v>880241021810</v>
      </c>
      <c r="P119" s="40"/>
      <c r="Q119" s="40" t="str">
        <f t="shared" si="2"/>
        <v>Unavailable</v>
      </c>
      <c r="R119" s="46" t="s">
        <v>2781</v>
      </c>
      <c r="S119" s="46" t="s">
        <v>2779</v>
      </c>
      <c r="T119" s="46" t="s">
        <v>2782</v>
      </c>
      <c r="U119" s="41">
        <v>4.0</v>
      </c>
      <c r="V119" s="41">
        <v>2.0</v>
      </c>
      <c r="W119" s="41">
        <v>6.0</v>
      </c>
    </row>
    <row r="120" ht="15.75" customHeight="1">
      <c r="A120" s="39">
        <v>24.0</v>
      </c>
      <c r="B120" s="40" t="s">
        <v>845</v>
      </c>
      <c r="C120" s="40" t="s">
        <v>1075</v>
      </c>
      <c r="D120" s="41">
        <v>4.8</v>
      </c>
      <c r="E120" s="41">
        <v>4.0</v>
      </c>
      <c r="F120" s="39" t="str">
        <f t="shared" si="1"/>
        <v>Available</v>
      </c>
      <c r="G120" s="39">
        <v>2014.0</v>
      </c>
      <c r="H120" s="40" t="s">
        <v>1972</v>
      </c>
      <c r="I120" s="40" t="s">
        <v>1887</v>
      </c>
      <c r="J120" s="40" t="s">
        <v>2386</v>
      </c>
      <c r="K120" s="40" t="s">
        <v>2218</v>
      </c>
      <c r="L120" s="44" t="s">
        <v>2387</v>
      </c>
      <c r="M120" s="42" t="s">
        <v>2783</v>
      </c>
      <c r="N120" s="42" t="s">
        <v>1076</v>
      </c>
      <c r="O120" s="43">
        <v>8.801911386561E12</v>
      </c>
      <c r="P120" s="40" t="s">
        <v>1885</v>
      </c>
      <c r="Q120" s="40" t="str">
        <f t="shared" si="2"/>
        <v>Available</v>
      </c>
      <c r="R120" s="40" t="s">
        <v>2784</v>
      </c>
      <c r="S120" s="40" t="s">
        <v>2785</v>
      </c>
      <c r="T120" s="40" t="s">
        <v>1497</v>
      </c>
      <c r="U120" s="39">
        <v>1.0</v>
      </c>
      <c r="V120" s="39">
        <v>0.0</v>
      </c>
      <c r="W120" s="39">
        <f t="shared" ref="W120:W143" si="4">U120+V120</f>
        <v>1</v>
      </c>
    </row>
    <row r="121" ht="15.75" customHeight="1">
      <c r="A121" s="39">
        <v>23.0</v>
      </c>
      <c r="B121" s="40" t="s">
        <v>839</v>
      </c>
      <c r="C121" s="40" t="s">
        <v>1071</v>
      </c>
      <c r="D121" s="39"/>
      <c r="E121" s="39"/>
      <c r="F121" s="39" t="str">
        <f t="shared" si="1"/>
        <v>Unavailable</v>
      </c>
      <c r="G121" s="39">
        <v>2018.0</v>
      </c>
      <c r="H121" s="40" t="s">
        <v>1998</v>
      </c>
      <c r="I121" s="40" t="s">
        <v>1884</v>
      </c>
      <c r="J121" s="40" t="s">
        <v>2386</v>
      </c>
      <c r="K121" s="40" t="s">
        <v>2173</v>
      </c>
      <c r="L121" s="40" t="s">
        <v>2175</v>
      </c>
      <c r="M121" s="42" t="s">
        <v>2786</v>
      </c>
      <c r="N121" s="42" t="s">
        <v>1074</v>
      </c>
      <c r="O121" s="43">
        <v>8.801716897632E12</v>
      </c>
      <c r="P121" s="40"/>
      <c r="Q121" s="40" t="str">
        <f t="shared" si="2"/>
        <v>Unavailable</v>
      </c>
      <c r="R121" s="40" t="s">
        <v>2787</v>
      </c>
      <c r="S121" s="40" t="s">
        <v>2788</v>
      </c>
      <c r="T121" s="40" t="s">
        <v>1504</v>
      </c>
      <c r="U121" s="39">
        <v>3.0</v>
      </c>
      <c r="V121" s="39">
        <v>0.0</v>
      </c>
      <c r="W121" s="39">
        <f t="shared" si="4"/>
        <v>3</v>
      </c>
    </row>
    <row r="122" ht="15.75" customHeight="1">
      <c r="A122" s="39">
        <v>22.0</v>
      </c>
      <c r="B122" s="40" t="s">
        <v>833</v>
      </c>
      <c r="C122" s="40" t="s">
        <v>1067</v>
      </c>
      <c r="D122" s="41">
        <v>4.5</v>
      </c>
      <c r="E122" s="41">
        <v>6.0</v>
      </c>
      <c r="F122" s="39" t="str">
        <f t="shared" si="1"/>
        <v>Available</v>
      </c>
      <c r="G122" s="39">
        <v>1995.0</v>
      </c>
      <c r="H122" s="40" t="s">
        <v>1890</v>
      </c>
      <c r="I122" s="40" t="s">
        <v>1881</v>
      </c>
      <c r="J122" s="40" t="s">
        <v>2386</v>
      </c>
      <c r="K122" s="40" t="s">
        <v>2200</v>
      </c>
      <c r="L122" s="42" t="s">
        <v>2403</v>
      </c>
      <c r="M122" s="42" t="s">
        <v>2789</v>
      </c>
      <c r="N122" s="42" t="s">
        <v>2790</v>
      </c>
      <c r="O122" s="43" t="s">
        <v>1548</v>
      </c>
      <c r="P122" s="40"/>
      <c r="Q122" s="40" t="str">
        <f t="shared" si="2"/>
        <v>Unavailable</v>
      </c>
      <c r="R122" s="40" t="s">
        <v>2791</v>
      </c>
      <c r="S122" s="40" t="s">
        <v>2792</v>
      </c>
      <c r="T122" s="40" t="s">
        <v>1497</v>
      </c>
      <c r="U122" s="39">
        <v>2.0</v>
      </c>
      <c r="V122" s="39">
        <v>5.0</v>
      </c>
      <c r="W122" s="39">
        <f t="shared" si="4"/>
        <v>7</v>
      </c>
    </row>
    <row r="123" ht="15.75" customHeight="1">
      <c r="A123" s="39">
        <v>21.0</v>
      </c>
      <c r="B123" s="40" t="s">
        <v>827</v>
      </c>
      <c r="C123" s="40" t="s">
        <v>1062</v>
      </c>
      <c r="D123" s="39"/>
      <c r="E123" s="39"/>
      <c r="F123" s="39" t="str">
        <f t="shared" si="1"/>
        <v>Unavailable</v>
      </c>
      <c r="G123" s="39">
        <v>2010.0</v>
      </c>
      <c r="H123" s="40" t="s">
        <v>1972</v>
      </c>
      <c r="I123" s="40" t="s">
        <v>1879</v>
      </c>
      <c r="J123" s="40" t="s">
        <v>2386</v>
      </c>
      <c r="K123" s="40" t="s">
        <v>2173</v>
      </c>
      <c r="L123" s="42" t="s">
        <v>2344</v>
      </c>
      <c r="M123" s="42" t="s">
        <v>2793</v>
      </c>
      <c r="N123" s="42" t="s">
        <v>1065</v>
      </c>
      <c r="O123" s="43">
        <v>8.801712228469E12</v>
      </c>
      <c r="P123" s="40"/>
      <c r="Q123" s="40" t="str">
        <f t="shared" si="2"/>
        <v>Unavailable</v>
      </c>
      <c r="R123" s="40" t="s">
        <v>2794</v>
      </c>
      <c r="S123" s="40" t="s">
        <v>2795</v>
      </c>
      <c r="T123" s="40" t="s">
        <v>1501</v>
      </c>
      <c r="U123" s="39">
        <v>3.0</v>
      </c>
      <c r="V123" s="39">
        <v>0.0</v>
      </c>
      <c r="W123" s="39">
        <f t="shared" si="4"/>
        <v>3</v>
      </c>
    </row>
    <row r="124" ht="15.75" customHeight="1">
      <c r="A124" s="39">
        <v>20.0</v>
      </c>
      <c r="B124" s="40" t="s">
        <v>822</v>
      </c>
      <c r="C124" s="40" t="s">
        <v>1058</v>
      </c>
      <c r="D124" s="41">
        <v>5.0</v>
      </c>
      <c r="E124" s="41">
        <v>3.0</v>
      </c>
      <c r="F124" s="39" t="str">
        <f t="shared" si="1"/>
        <v>Available</v>
      </c>
      <c r="G124" s="39">
        <v>2014.0</v>
      </c>
      <c r="H124" s="40" t="s">
        <v>1972</v>
      </c>
      <c r="I124" s="40" t="s">
        <v>1876</v>
      </c>
      <c r="J124" s="40" t="s">
        <v>2386</v>
      </c>
      <c r="K124" s="40" t="s">
        <v>2165</v>
      </c>
      <c r="L124" s="42" t="s">
        <v>2796</v>
      </c>
      <c r="M124" s="42" t="s">
        <v>2797</v>
      </c>
      <c r="N124" s="42" t="s">
        <v>1061</v>
      </c>
      <c r="O124" s="43">
        <v>8.801679224304E12</v>
      </c>
      <c r="P124" s="40"/>
      <c r="Q124" s="40" t="str">
        <f t="shared" si="2"/>
        <v>Unavailable</v>
      </c>
      <c r="R124" s="40" t="s">
        <v>2798</v>
      </c>
      <c r="S124" s="40" t="s">
        <v>2799</v>
      </c>
      <c r="T124" s="40" t="s">
        <v>1544</v>
      </c>
      <c r="U124" s="39">
        <v>1.0</v>
      </c>
      <c r="V124" s="39">
        <v>0.0</v>
      </c>
      <c r="W124" s="39">
        <f t="shared" si="4"/>
        <v>1</v>
      </c>
    </row>
    <row r="125" ht="15.75" customHeight="1">
      <c r="A125" s="39">
        <v>19.0</v>
      </c>
      <c r="B125" s="40" t="s">
        <v>816</v>
      </c>
      <c r="C125" s="40" t="s">
        <v>1055</v>
      </c>
      <c r="D125" s="39"/>
      <c r="E125" s="39"/>
      <c r="F125" s="39" t="str">
        <f t="shared" si="1"/>
        <v>Unavailable</v>
      </c>
      <c r="G125" s="39">
        <v>2018.0</v>
      </c>
      <c r="H125" s="40" t="s">
        <v>1998</v>
      </c>
      <c r="I125" s="40" t="s">
        <v>1875</v>
      </c>
      <c r="J125" s="40" t="s">
        <v>2386</v>
      </c>
      <c r="K125" s="40" t="s">
        <v>2210</v>
      </c>
      <c r="L125" s="42" t="s">
        <v>2387</v>
      </c>
      <c r="M125" s="42" t="s">
        <v>2800</v>
      </c>
      <c r="N125" s="42" t="s">
        <v>1056</v>
      </c>
      <c r="O125" s="43">
        <v>8.801799586501E12</v>
      </c>
      <c r="P125" s="40" t="s">
        <v>1874</v>
      </c>
      <c r="Q125" s="40" t="str">
        <f t="shared" si="2"/>
        <v>Available</v>
      </c>
      <c r="R125" s="40" t="s">
        <v>2801</v>
      </c>
      <c r="S125" s="40" t="s">
        <v>2802</v>
      </c>
      <c r="T125" s="40" t="s">
        <v>1501</v>
      </c>
      <c r="U125" s="39">
        <v>1.0</v>
      </c>
      <c r="V125" s="39">
        <v>0.0</v>
      </c>
      <c r="W125" s="39">
        <f t="shared" si="4"/>
        <v>1</v>
      </c>
    </row>
    <row r="126" ht="15.75" customHeight="1">
      <c r="A126" s="39">
        <v>18.0</v>
      </c>
      <c r="B126" s="40" t="s">
        <v>811</v>
      </c>
      <c r="C126" s="40" t="s">
        <v>1050</v>
      </c>
      <c r="D126" s="39"/>
      <c r="E126" s="39"/>
      <c r="F126" s="39" t="str">
        <f t="shared" si="1"/>
        <v>Unavailable</v>
      </c>
      <c r="G126" s="39">
        <v>1996.0</v>
      </c>
      <c r="H126" s="40" t="s">
        <v>1890</v>
      </c>
      <c r="I126" s="40" t="s">
        <v>1872</v>
      </c>
      <c r="J126" s="40" t="s">
        <v>2386</v>
      </c>
      <c r="K126" s="40" t="s">
        <v>2210</v>
      </c>
      <c r="L126" s="42" t="s">
        <v>2387</v>
      </c>
      <c r="M126" s="42" t="s">
        <v>2803</v>
      </c>
      <c r="N126" s="42" t="s">
        <v>1053</v>
      </c>
      <c r="O126" s="43" t="s">
        <v>1540</v>
      </c>
      <c r="P126" s="40"/>
      <c r="Q126" s="40" t="str">
        <f t="shared" si="2"/>
        <v>Unavailable</v>
      </c>
      <c r="R126" s="40" t="s">
        <v>2804</v>
      </c>
      <c r="S126" s="40" t="s">
        <v>2805</v>
      </c>
      <c r="T126" s="40" t="s">
        <v>1497</v>
      </c>
      <c r="U126" s="39">
        <v>1.0</v>
      </c>
      <c r="V126" s="39">
        <v>0.0</v>
      </c>
      <c r="W126" s="39">
        <f t="shared" si="4"/>
        <v>1</v>
      </c>
    </row>
    <row r="127" ht="15.75" customHeight="1">
      <c r="A127" s="39">
        <v>17.0</v>
      </c>
      <c r="B127" s="40" t="s">
        <v>805</v>
      </c>
      <c r="C127" s="40" t="s">
        <v>1048</v>
      </c>
      <c r="D127" s="39"/>
      <c r="E127" s="39"/>
      <c r="F127" s="39" t="str">
        <f t="shared" si="1"/>
        <v>Unavailable</v>
      </c>
      <c r="G127" s="39">
        <v>2010.0</v>
      </c>
      <c r="H127" s="40" t="s">
        <v>1972</v>
      </c>
      <c r="I127" s="40" t="s">
        <v>1869</v>
      </c>
      <c r="J127" s="46" t="s">
        <v>2449</v>
      </c>
      <c r="K127" s="40" t="s">
        <v>2207</v>
      </c>
      <c r="L127" s="44" t="s">
        <v>2806</v>
      </c>
      <c r="M127" s="42" t="s">
        <v>2807</v>
      </c>
      <c r="N127" s="42" t="s">
        <v>1049</v>
      </c>
      <c r="O127" s="43">
        <v>8.801737280617E12</v>
      </c>
      <c r="P127" s="40" t="s">
        <v>1867</v>
      </c>
      <c r="Q127" s="40" t="str">
        <f t="shared" si="2"/>
        <v>Available</v>
      </c>
      <c r="R127" s="40" t="s">
        <v>2808</v>
      </c>
      <c r="S127" s="40" t="s">
        <v>2809</v>
      </c>
      <c r="T127" s="40" t="s">
        <v>2442</v>
      </c>
      <c r="U127" s="39">
        <v>2.0</v>
      </c>
      <c r="V127" s="39">
        <v>2.0</v>
      </c>
      <c r="W127" s="39">
        <f t="shared" si="4"/>
        <v>4</v>
      </c>
    </row>
    <row r="128" ht="15.75" customHeight="1">
      <c r="A128" s="39">
        <v>16.0</v>
      </c>
      <c r="B128" s="40" t="s">
        <v>799</v>
      </c>
      <c r="C128" s="40" t="s">
        <v>1044</v>
      </c>
      <c r="D128" s="41">
        <v>4.0</v>
      </c>
      <c r="E128" s="41">
        <v>4.0</v>
      </c>
      <c r="F128" s="39" t="str">
        <f t="shared" si="1"/>
        <v>Available</v>
      </c>
      <c r="G128" s="39">
        <v>2009.0</v>
      </c>
      <c r="H128" s="40" t="s">
        <v>1942</v>
      </c>
      <c r="I128" s="40" t="s">
        <v>1865</v>
      </c>
      <c r="J128" s="40" t="s">
        <v>2386</v>
      </c>
      <c r="K128" s="40" t="s">
        <v>2161</v>
      </c>
      <c r="L128" s="44" t="s">
        <v>2504</v>
      </c>
      <c r="M128" s="42" t="s">
        <v>2810</v>
      </c>
      <c r="N128" s="42" t="s">
        <v>1047</v>
      </c>
      <c r="O128" s="43" t="s">
        <v>1536</v>
      </c>
      <c r="P128" s="40"/>
      <c r="Q128" s="40" t="str">
        <f t="shared" si="2"/>
        <v>Unavailable</v>
      </c>
      <c r="R128" s="40" t="s">
        <v>2811</v>
      </c>
      <c r="S128" s="40" t="s">
        <v>2812</v>
      </c>
      <c r="T128" s="40" t="s">
        <v>1501</v>
      </c>
      <c r="U128" s="39">
        <v>3.0</v>
      </c>
      <c r="V128" s="39">
        <v>3.0</v>
      </c>
      <c r="W128" s="39">
        <f t="shared" si="4"/>
        <v>6</v>
      </c>
    </row>
    <row r="129" ht="15.75" customHeight="1">
      <c r="A129" s="39">
        <v>15.0</v>
      </c>
      <c r="B129" s="40" t="s">
        <v>794</v>
      </c>
      <c r="C129" s="40" t="s">
        <v>1040</v>
      </c>
      <c r="D129" s="39"/>
      <c r="E129" s="39"/>
      <c r="F129" s="39" t="str">
        <f t="shared" si="1"/>
        <v>Unavailable</v>
      </c>
      <c r="G129" s="39">
        <v>2010.0</v>
      </c>
      <c r="H129" s="40" t="s">
        <v>1972</v>
      </c>
      <c r="I129" s="40" t="s">
        <v>1863</v>
      </c>
      <c r="J129" s="46" t="s">
        <v>2449</v>
      </c>
      <c r="K129" s="46" t="s">
        <v>2648</v>
      </c>
      <c r="L129" s="42" t="s">
        <v>2451</v>
      </c>
      <c r="M129" s="42" t="s">
        <v>2813</v>
      </c>
      <c r="N129" s="42" t="s">
        <v>1043</v>
      </c>
      <c r="O129" s="43" t="s">
        <v>1534</v>
      </c>
      <c r="P129" s="46"/>
      <c r="Q129" s="40" t="str">
        <f t="shared" si="2"/>
        <v>Unavailable</v>
      </c>
      <c r="R129" s="40" t="s">
        <v>2814</v>
      </c>
      <c r="S129" s="40" t="s">
        <v>2815</v>
      </c>
      <c r="T129" s="40" t="s">
        <v>1526</v>
      </c>
      <c r="U129" s="39">
        <v>1.0</v>
      </c>
      <c r="V129" s="39">
        <v>4.0</v>
      </c>
      <c r="W129" s="39">
        <f t="shared" si="4"/>
        <v>5</v>
      </c>
    </row>
    <row r="130" ht="15.75" customHeight="1">
      <c r="A130" s="39">
        <v>14.0</v>
      </c>
      <c r="B130" s="40" t="s">
        <v>788</v>
      </c>
      <c r="C130" s="40" t="s">
        <v>1038</v>
      </c>
      <c r="D130" s="41"/>
      <c r="E130" s="41"/>
      <c r="F130" s="39" t="str">
        <f t="shared" si="1"/>
        <v>Unavailable</v>
      </c>
      <c r="G130" s="41">
        <v>2010.0</v>
      </c>
      <c r="H130" s="40" t="s">
        <v>1972</v>
      </c>
      <c r="I130" s="40" t="s">
        <v>1861</v>
      </c>
      <c r="J130" s="40" t="s">
        <v>2386</v>
      </c>
      <c r="K130" s="40" t="s">
        <v>2200</v>
      </c>
      <c r="L130" s="42" t="s">
        <v>2399</v>
      </c>
      <c r="M130" s="42" t="s">
        <v>2816</v>
      </c>
      <c r="N130" s="42" t="s">
        <v>1039</v>
      </c>
      <c r="O130" s="43" t="s">
        <v>1532</v>
      </c>
      <c r="P130" s="40" t="s">
        <v>1860</v>
      </c>
      <c r="Q130" s="40" t="str">
        <f t="shared" si="2"/>
        <v>Available</v>
      </c>
      <c r="R130" s="40" t="s">
        <v>2817</v>
      </c>
      <c r="S130" s="40" t="s">
        <v>2818</v>
      </c>
      <c r="T130" s="40" t="s">
        <v>1497</v>
      </c>
      <c r="U130" s="39">
        <v>1.0</v>
      </c>
      <c r="V130" s="39">
        <v>5.0</v>
      </c>
      <c r="W130" s="39">
        <f t="shared" si="4"/>
        <v>6</v>
      </c>
    </row>
    <row r="131" ht="15.75" customHeight="1">
      <c r="A131" s="39">
        <v>13.0</v>
      </c>
      <c r="B131" s="40" t="s">
        <v>783</v>
      </c>
      <c r="C131" s="46" t="s">
        <v>2819</v>
      </c>
      <c r="D131" s="41">
        <v>4.6</v>
      </c>
      <c r="E131" s="41">
        <v>16.0</v>
      </c>
      <c r="F131" s="39" t="str">
        <f t="shared" si="1"/>
        <v>Available</v>
      </c>
      <c r="G131" s="39">
        <v>2004.0</v>
      </c>
      <c r="H131" s="40" t="s">
        <v>1918</v>
      </c>
      <c r="I131" s="40" t="s">
        <v>1859</v>
      </c>
      <c r="J131" s="40" t="s">
        <v>2386</v>
      </c>
      <c r="K131" s="40" t="s">
        <v>2197</v>
      </c>
      <c r="L131" s="42" t="s">
        <v>2344</v>
      </c>
      <c r="M131" s="42" t="s">
        <v>2820</v>
      </c>
      <c r="N131" s="42" t="s">
        <v>1037</v>
      </c>
      <c r="O131" s="43" t="s">
        <v>1530</v>
      </c>
      <c r="P131" s="45" t="s">
        <v>2821</v>
      </c>
      <c r="Q131" s="40" t="str">
        <f t="shared" si="2"/>
        <v>Available</v>
      </c>
      <c r="R131" s="40" t="s">
        <v>2769</v>
      </c>
      <c r="S131" s="40" t="s">
        <v>2770</v>
      </c>
      <c r="T131" s="40" t="s">
        <v>2442</v>
      </c>
      <c r="U131" s="39">
        <v>1.0</v>
      </c>
      <c r="V131" s="39">
        <v>4.0</v>
      </c>
      <c r="W131" s="39">
        <f t="shared" si="4"/>
        <v>5</v>
      </c>
    </row>
    <row r="132" ht="15.75" customHeight="1">
      <c r="A132" s="39">
        <v>12.0</v>
      </c>
      <c r="B132" s="40" t="s">
        <v>776</v>
      </c>
      <c r="C132" s="40" t="s">
        <v>1031</v>
      </c>
      <c r="D132" s="39"/>
      <c r="E132" s="39"/>
      <c r="F132" s="39" t="str">
        <f t="shared" si="1"/>
        <v>Unavailable</v>
      </c>
      <c r="G132" s="39">
        <v>1997.0</v>
      </c>
      <c r="H132" s="40" t="s">
        <v>1890</v>
      </c>
      <c r="I132" s="40" t="s">
        <v>1856</v>
      </c>
      <c r="J132" s="40" t="s">
        <v>2386</v>
      </c>
      <c r="K132" s="40" t="s">
        <v>2165</v>
      </c>
      <c r="L132" s="42" t="s">
        <v>2796</v>
      </c>
      <c r="M132" s="42" t="s">
        <v>2822</v>
      </c>
      <c r="N132" s="42" t="s">
        <v>1032</v>
      </c>
      <c r="O132" s="43" t="s">
        <v>1527</v>
      </c>
      <c r="P132" s="40" t="s">
        <v>1854</v>
      </c>
      <c r="Q132" s="40" t="str">
        <f t="shared" si="2"/>
        <v>Available</v>
      </c>
      <c r="R132" s="40" t="s">
        <v>2823</v>
      </c>
      <c r="S132" s="40" t="s">
        <v>2824</v>
      </c>
      <c r="T132" s="40" t="s">
        <v>1526</v>
      </c>
      <c r="U132" s="39">
        <v>2.0</v>
      </c>
      <c r="V132" s="39">
        <v>6.0</v>
      </c>
      <c r="W132" s="39">
        <f t="shared" si="4"/>
        <v>8</v>
      </c>
    </row>
    <row r="133" ht="15.75" customHeight="1">
      <c r="A133" s="39">
        <v>11.0</v>
      </c>
      <c r="B133" s="40" t="s">
        <v>770</v>
      </c>
      <c r="C133" s="46" t="s">
        <v>2825</v>
      </c>
      <c r="D133" s="39"/>
      <c r="E133" s="39"/>
      <c r="F133" s="39" t="str">
        <f t="shared" si="1"/>
        <v>Unavailable</v>
      </c>
      <c r="G133" s="39">
        <v>2009.0</v>
      </c>
      <c r="H133" s="40" t="s">
        <v>1942</v>
      </c>
      <c r="I133" s="40" t="s">
        <v>1853</v>
      </c>
      <c r="J133" s="40" t="s">
        <v>2386</v>
      </c>
      <c r="K133" s="40" t="s">
        <v>2210</v>
      </c>
      <c r="L133" s="42" t="s">
        <v>2387</v>
      </c>
      <c r="M133" s="42" t="s">
        <v>2826</v>
      </c>
      <c r="N133" s="42" t="s">
        <v>1029</v>
      </c>
      <c r="O133" s="43"/>
      <c r="P133" s="45" t="s">
        <v>2827</v>
      </c>
      <c r="Q133" s="40" t="str">
        <f t="shared" si="2"/>
        <v>Available</v>
      </c>
      <c r="R133" s="40" t="s">
        <v>2828</v>
      </c>
      <c r="S133" s="40" t="s">
        <v>2751</v>
      </c>
      <c r="T133" s="40" t="s">
        <v>1522</v>
      </c>
      <c r="U133" s="39">
        <v>4.0</v>
      </c>
      <c r="V133" s="39">
        <v>2.0</v>
      </c>
      <c r="W133" s="39">
        <f t="shared" si="4"/>
        <v>6</v>
      </c>
    </row>
    <row r="134" ht="15.75" customHeight="1">
      <c r="A134" s="39">
        <v>10.0</v>
      </c>
      <c r="B134" s="40" t="s">
        <v>765</v>
      </c>
      <c r="C134" s="40" t="s">
        <v>1023</v>
      </c>
      <c r="D134" s="39"/>
      <c r="E134" s="39"/>
      <c r="F134" s="39" t="str">
        <f t="shared" si="1"/>
        <v>Unavailable</v>
      </c>
      <c r="G134" s="39">
        <v>1996.0</v>
      </c>
      <c r="H134" s="40" t="s">
        <v>1890</v>
      </c>
      <c r="I134" s="40" t="s">
        <v>1849</v>
      </c>
      <c r="J134" s="40" t="s">
        <v>2386</v>
      </c>
      <c r="K134" s="40" t="s">
        <v>2187</v>
      </c>
      <c r="L134" s="42" t="s">
        <v>2796</v>
      </c>
      <c r="M134" s="42" t="s">
        <v>2829</v>
      </c>
      <c r="N134" s="42" t="s">
        <v>1026</v>
      </c>
      <c r="O134" s="43" t="s">
        <v>1523</v>
      </c>
      <c r="P134" s="40"/>
      <c r="Q134" s="40" t="str">
        <f t="shared" si="2"/>
        <v>Unavailable</v>
      </c>
      <c r="R134" s="40" t="s">
        <v>2830</v>
      </c>
      <c r="S134" s="40" t="s">
        <v>2831</v>
      </c>
      <c r="T134" s="40" t="s">
        <v>1522</v>
      </c>
      <c r="U134" s="39">
        <v>3.0</v>
      </c>
      <c r="V134" s="39">
        <v>1.0</v>
      </c>
      <c r="W134" s="39">
        <f t="shared" si="4"/>
        <v>4</v>
      </c>
    </row>
    <row r="135" ht="15.75" customHeight="1">
      <c r="A135" s="39">
        <v>9.0</v>
      </c>
      <c r="B135" s="40" t="s">
        <v>760</v>
      </c>
      <c r="C135" s="40" t="s">
        <v>1019</v>
      </c>
      <c r="D135" s="41">
        <v>5.0</v>
      </c>
      <c r="E135" s="41">
        <v>5.0</v>
      </c>
      <c r="F135" s="39" t="str">
        <f t="shared" si="1"/>
        <v>Available</v>
      </c>
      <c r="G135" s="39">
        <v>1998.0</v>
      </c>
      <c r="H135" s="40" t="s">
        <v>1890</v>
      </c>
      <c r="I135" s="40" t="s">
        <v>1846</v>
      </c>
      <c r="J135" s="40" t="s">
        <v>2386</v>
      </c>
      <c r="K135" s="40" t="s">
        <v>2187</v>
      </c>
      <c r="L135" s="42" t="s">
        <v>2796</v>
      </c>
      <c r="M135" s="42" t="s">
        <v>2832</v>
      </c>
      <c r="N135" s="42" t="s">
        <v>1022</v>
      </c>
      <c r="O135" s="43" t="s">
        <v>1520</v>
      </c>
      <c r="P135" s="40"/>
      <c r="Q135" s="40" t="str">
        <f t="shared" si="2"/>
        <v>Unavailable</v>
      </c>
      <c r="R135" s="40" t="s">
        <v>2833</v>
      </c>
      <c r="S135" s="40" t="s">
        <v>2834</v>
      </c>
      <c r="T135" s="40" t="s">
        <v>1497</v>
      </c>
      <c r="U135" s="39">
        <v>1.0</v>
      </c>
      <c r="V135" s="39">
        <v>5.0</v>
      </c>
      <c r="W135" s="39">
        <f t="shared" si="4"/>
        <v>6</v>
      </c>
    </row>
    <row r="136" ht="15.75" customHeight="1">
      <c r="A136" s="39">
        <v>8.0</v>
      </c>
      <c r="B136" s="40" t="s">
        <v>753</v>
      </c>
      <c r="C136" s="40" t="s">
        <v>1015</v>
      </c>
      <c r="D136" s="41">
        <v>5.0</v>
      </c>
      <c r="E136" s="41">
        <v>5.0</v>
      </c>
      <c r="F136" s="39" t="str">
        <f t="shared" si="1"/>
        <v>Available</v>
      </c>
      <c r="G136" s="39">
        <v>2010.0</v>
      </c>
      <c r="H136" s="40" t="s">
        <v>1972</v>
      </c>
      <c r="I136" s="40" t="s">
        <v>1843</v>
      </c>
      <c r="J136" s="40" t="s">
        <v>2386</v>
      </c>
      <c r="K136" s="42" t="s">
        <v>2200</v>
      </c>
      <c r="L136" s="42" t="s">
        <v>2403</v>
      </c>
      <c r="M136" s="42" t="s">
        <v>2835</v>
      </c>
      <c r="N136" s="42" t="s">
        <v>1018</v>
      </c>
      <c r="O136" s="43" t="s">
        <v>1518</v>
      </c>
      <c r="P136" s="40"/>
      <c r="Q136" s="40" t="str">
        <f t="shared" si="2"/>
        <v>Unavailable</v>
      </c>
      <c r="R136" s="40" t="s">
        <v>2836</v>
      </c>
      <c r="S136" s="40" t="s">
        <v>2837</v>
      </c>
      <c r="T136" s="40" t="s">
        <v>2420</v>
      </c>
      <c r="U136" s="39">
        <v>4.0</v>
      </c>
      <c r="V136" s="39">
        <v>1.0</v>
      </c>
      <c r="W136" s="39">
        <f t="shared" si="4"/>
        <v>5</v>
      </c>
    </row>
    <row r="137" ht="15.75" customHeight="1">
      <c r="A137" s="39">
        <v>7.0</v>
      </c>
      <c r="B137" s="40" t="s">
        <v>744</v>
      </c>
      <c r="C137" s="40" t="s">
        <v>1012</v>
      </c>
      <c r="D137" s="41">
        <v>4.8</v>
      </c>
      <c r="E137" s="41">
        <v>28.0</v>
      </c>
      <c r="F137" s="39" t="str">
        <f t="shared" si="1"/>
        <v>Available</v>
      </c>
      <c r="G137" s="39">
        <v>2012.0</v>
      </c>
      <c r="H137" s="40" t="s">
        <v>1972</v>
      </c>
      <c r="I137" s="40" t="s">
        <v>1841</v>
      </c>
      <c r="J137" s="40" t="s">
        <v>2386</v>
      </c>
      <c r="K137" s="40" t="s">
        <v>2179</v>
      </c>
      <c r="L137" s="42" t="s">
        <v>2344</v>
      </c>
      <c r="M137" s="42" t="s">
        <v>2838</v>
      </c>
      <c r="N137" s="42" t="s">
        <v>1013</v>
      </c>
      <c r="O137" s="43" t="s">
        <v>1515</v>
      </c>
      <c r="P137" s="40" t="s">
        <v>1839</v>
      </c>
      <c r="Q137" s="40" t="str">
        <f t="shared" si="2"/>
        <v>Available</v>
      </c>
      <c r="R137" s="40" t="s">
        <v>2839</v>
      </c>
      <c r="S137" s="40" t="s">
        <v>2840</v>
      </c>
      <c r="T137" s="40" t="s">
        <v>2487</v>
      </c>
      <c r="U137" s="39">
        <v>6.0</v>
      </c>
      <c r="V137" s="39">
        <v>3.0</v>
      </c>
      <c r="W137" s="39">
        <f t="shared" si="4"/>
        <v>9</v>
      </c>
    </row>
    <row r="138" ht="15.75" customHeight="1">
      <c r="A138" s="39">
        <v>6.0</v>
      </c>
      <c r="B138" s="40" t="s">
        <v>738</v>
      </c>
      <c r="C138" s="40" t="s">
        <v>1008</v>
      </c>
      <c r="D138" s="39"/>
      <c r="E138" s="39"/>
      <c r="F138" s="39" t="str">
        <f t="shared" si="1"/>
        <v>Unavailable</v>
      </c>
      <c r="G138" s="39">
        <v>2012.0</v>
      </c>
      <c r="H138" s="40" t="s">
        <v>1972</v>
      </c>
      <c r="I138" s="40" t="s">
        <v>1837</v>
      </c>
      <c r="J138" s="40" t="s">
        <v>2386</v>
      </c>
      <c r="K138" s="40" t="s">
        <v>2173</v>
      </c>
      <c r="L138" s="42" t="s">
        <v>2175</v>
      </c>
      <c r="M138" s="42" t="s">
        <v>2841</v>
      </c>
      <c r="N138" s="42" t="s">
        <v>1011</v>
      </c>
      <c r="O138" s="43" t="s">
        <v>1512</v>
      </c>
      <c r="P138" s="45" t="s">
        <v>2842</v>
      </c>
      <c r="Q138" s="40" t="str">
        <f t="shared" si="2"/>
        <v>Available</v>
      </c>
      <c r="R138" s="40" t="s">
        <v>2843</v>
      </c>
      <c r="S138" s="40" t="s">
        <v>2844</v>
      </c>
      <c r="T138" s="40" t="s">
        <v>2503</v>
      </c>
      <c r="U138" s="39">
        <v>3.0</v>
      </c>
      <c r="V138" s="39">
        <v>2.0</v>
      </c>
      <c r="W138" s="39">
        <f t="shared" si="4"/>
        <v>5</v>
      </c>
    </row>
    <row r="139" ht="15.75" customHeight="1">
      <c r="A139" s="39">
        <v>5.0</v>
      </c>
      <c r="B139" s="40" t="s">
        <v>731</v>
      </c>
      <c r="C139" s="40" t="s">
        <v>1005</v>
      </c>
      <c r="D139" s="41">
        <v>5.0</v>
      </c>
      <c r="E139" s="41">
        <v>1.0</v>
      </c>
      <c r="F139" s="39" t="str">
        <f t="shared" si="1"/>
        <v>Available</v>
      </c>
      <c r="G139" s="39">
        <v>1982.0</v>
      </c>
      <c r="H139" s="40" t="s">
        <v>1836</v>
      </c>
      <c r="I139" s="40" t="s">
        <v>1835</v>
      </c>
      <c r="J139" s="40" t="s">
        <v>2386</v>
      </c>
      <c r="K139" s="40" t="s">
        <v>2173</v>
      </c>
      <c r="L139" s="42" t="s">
        <v>2175</v>
      </c>
      <c r="M139" s="42" t="s">
        <v>2845</v>
      </c>
      <c r="N139" s="42" t="s">
        <v>1006</v>
      </c>
      <c r="O139" s="43" t="s">
        <v>1509</v>
      </c>
      <c r="P139" s="40" t="s">
        <v>1194</v>
      </c>
      <c r="Q139" s="40" t="str">
        <f t="shared" si="2"/>
        <v>Available</v>
      </c>
      <c r="R139" s="40" t="s">
        <v>2846</v>
      </c>
      <c r="S139" s="40" t="s">
        <v>2745</v>
      </c>
      <c r="T139" s="40" t="s">
        <v>1501</v>
      </c>
      <c r="U139" s="39">
        <v>5.0</v>
      </c>
      <c r="V139" s="39">
        <v>3.0</v>
      </c>
      <c r="W139" s="39">
        <f t="shared" si="4"/>
        <v>8</v>
      </c>
    </row>
    <row r="140" ht="15.75" customHeight="1">
      <c r="A140" s="39">
        <v>4.0</v>
      </c>
      <c r="B140" s="40" t="s">
        <v>725</v>
      </c>
      <c r="C140" s="40" t="s">
        <v>1000</v>
      </c>
      <c r="D140" s="41">
        <v>5.0</v>
      </c>
      <c r="E140" s="41">
        <v>15.0</v>
      </c>
      <c r="F140" s="39" t="str">
        <f t="shared" si="1"/>
        <v>Available</v>
      </c>
      <c r="G140" s="39">
        <v>2006.0</v>
      </c>
      <c r="H140" s="40" t="s">
        <v>1942</v>
      </c>
      <c r="I140" s="40" t="s">
        <v>1832</v>
      </c>
      <c r="J140" s="40" t="s">
        <v>2386</v>
      </c>
      <c r="K140" s="40" t="s">
        <v>2169</v>
      </c>
      <c r="L140" s="44" t="s">
        <v>2399</v>
      </c>
      <c r="M140" s="42" t="s">
        <v>2847</v>
      </c>
      <c r="N140" s="42" t="s">
        <v>1003</v>
      </c>
      <c r="O140" s="43" t="s">
        <v>1507</v>
      </c>
      <c r="P140" s="40"/>
      <c r="Q140" s="40" t="str">
        <f t="shared" si="2"/>
        <v>Unavailable</v>
      </c>
      <c r="R140" s="40" t="s">
        <v>2848</v>
      </c>
      <c r="S140" s="40" t="s">
        <v>2849</v>
      </c>
      <c r="T140" s="40" t="s">
        <v>1501</v>
      </c>
      <c r="U140" s="39">
        <v>1.0</v>
      </c>
      <c r="V140" s="39">
        <v>3.0</v>
      </c>
      <c r="W140" s="39">
        <f t="shared" si="4"/>
        <v>4</v>
      </c>
    </row>
    <row r="141" ht="15.75" customHeight="1">
      <c r="A141" s="39">
        <v>3.0</v>
      </c>
      <c r="B141" s="40" t="s">
        <v>719</v>
      </c>
      <c r="C141" s="40" t="s">
        <v>998</v>
      </c>
      <c r="D141" s="39"/>
      <c r="E141" s="39"/>
      <c r="F141" s="39" t="str">
        <f t="shared" si="1"/>
        <v>Unavailable</v>
      </c>
      <c r="G141" s="39">
        <v>2008.0</v>
      </c>
      <c r="H141" s="40" t="s">
        <v>1942</v>
      </c>
      <c r="I141" s="40" t="s">
        <v>1830</v>
      </c>
      <c r="J141" s="40" t="s">
        <v>2386</v>
      </c>
      <c r="K141" s="40" t="s">
        <v>2165</v>
      </c>
      <c r="L141" s="42" t="s">
        <v>2796</v>
      </c>
      <c r="M141" s="42" t="s">
        <v>2850</v>
      </c>
      <c r="N141" s="42" t="s">
        <v>999</v>
      </c>
      <c r="O141" s="43" t="s">
        <v>1505</v>
      </c>
      <c r="P141" s="40" t="s">
        <v>1828</v>
      </c>
      <c r="Q141" s="40" t="str">
        <f t="shared" si="2"/>
        <v>Available</v>
      </c>
      <c r="R141" s="40" t="s">
        <v>2851</v>
      </c>
      <c r="S141" s="40" t="s">
        <v>2852</v>
      </c>
      <c r="T141" s="40" t="s">
        <v>1504</v>
      </c>
      <c r="U141" s="39">
        <v>1.0</v>
      </c>
      <c r="V141" s="39">
        <v>7.0</v>
      </c>
      <c r="W141" s="39">
        <f t="shared" si="4"/>
        <v>8</v>
      </c>
    </row>
    <row r="142" ht="15.75" customHeight="1">
      <c r="A142" s="39">
        <v>2.0</v>
      </c>
      <c r="B142" s="40" t="s">
        <v>713</v>
      </c>
      <c r="C142" s="40" t="s">
        <v>993</v>
      </c>
      <c r="D142" s="39"/>
      <c r="E142" s="39"/>
      <c r="F142" s="39" t="str">
        <f t="shared" si="1"/>
        <v>Unavailable</v>
      </c>
      <c r="G142" s="39">
        <v>2005.0</v>
      </c>
      <c r="H142" s="40" t="s">
        <v>1942</v>
      </c>
      <c r="I142" s="40" t="s">
        <v>1826</v>
      </c>
      <c r="J142" s="40" t="s">
        <v>2386</v>
      </c>
      <c r="K142" s="40" t="s">
        <v>2161</v>
      </c>
      <c r="L142" s="42" t="s">
        <v>2504</v>
      </c>
      <c r="M142" s="42" t="s">
        <v>2853</v>
      </c>
      <c r="N142" s="42" t="s">
        <v>996</v>
      </c>
      <c r="O142" s="43" t="s">
        <v>1502</v>
      </c>
      <c r="P142" s="40"/>
      <c r="Q142" s="40" t="str">
        <f t="shared" si="2"/>
        <v>Unavailable</v>
      </c>
      <c r="R142" s="40" t="s">
        <v>2854</v>
      </c>
      <c r="S142" s="40" t="s">
        <v>2855</v>
      </c>
      <c r="T142" s="40" t="s">
        <v>1501</v>
      </c>
      <c r="U142" s="39">
        <v>4.0</v>
      </c>
      <c r="V142" s="39">
        <v>1.0</v>
      </c>
      <c r="W142" s="39">
        <f t="shared" si="4"/>
        <v>5</v>
      </c>
    </row>
    <row r="143" ht="15.75" customHeight="1">
      <c r="A143" s="39">
        <v>1.0</v>
      </c>
      <c r="B143" s="40" t="s">
        <v>707</v>
      </c>
      <c r="C143" s="40" t="s">
        <v>989</v>
      </c>
      <c r="D143" s="41">
        <v>3.8</v>
      </c>
      <c r="E143" s="41">
        <v>4.0</v>
      </c>
      <c r="F143" s="39" t="str">
        <f t="shared" si="1"/>
        <v>Available</v>
      </c>
      <c r="G143" s="39">
        <v>1996.0</v>
      </c>
      <c r="H143" s="40" t="s">
        <v>1890</v>
      </c>
      <c r="I143" s="40" t="s">
        <v>1823</v>
      </c>
      <c r="J143" s="40" t="s">
        <v>2386</v>
      </c>
      <c r="K143" s="40" t="s">
        <v>2157</v>
      </c>
      <c r="L143" s="42" t="s">
        <v>2762</v>
      </c>
      <c r="M143" s="42" t="s">
        <v>2856</v>
      </c>
      <c r="N143" s="42" t="s">
        <v>990</v>
      </c>
      <c r="O143" s="43" t="s">
        <v>1499</v>
      </c>
      <c r="P143" s="40" t="s">
        <v>1821</v>
      </c>
      <c r="Q143" s="40" t="str">
        <f t="shared" si="2"/>
        <v>Available</v>
      </c>
      <c r="R143" s="40" t="s">
        <v>2857</v>
      </c>
      <c r="S143" s="40" t="s">
        <v>2858</v>
      </c>
      <c r="T143" s="40" t="s">
        <v>1497</v>
      </c>
      <c r="U143" s="39">
        <v>3.0</v>
      </c>
      <c r="V143" s="39">
        <v>2.0</v>
      </c>
      <c r="W143" s="39">
        <f t="shared" si="4"/>
        <v>5</v>
      </c>
    </row>
    <row r="144" ht="15.75" customHeight="1">
      <c r="C144" s="18"/>
      <c r="D144" s="18"/>
      <c r="E144" s="18"/>
      <c r="F144" s="18"/>
      <c r="G144" s="18"/>
      <c r="H144" s="2"/>
      <c r="I144" s="2"/>
      <c r="J144" s="48"/>
      <c r="K144" s="49"/>
      <c r="L144" s="49"/>
      <c r="M144" s="49"/>
      <c r="O144" s="50"/>
      <c r="U144" s="51"/>
      <c r="V144" s="51"/>
      <c r="W144" s="51"/>
    </row>
    <row r="145" ht="15.75" customHeight="1">
      <c r="O145" s="50"/>
    </row>
    <row r="146" ht="15.75" customHeight="1">
      <c r="O146" s="50"/>
    </row>
    <row r="147" ht="15.75" customHeight="1">
      <c r="O147" s="50"/>
    </row>
    <row r="148" ht="15.75" customHeight="1">
      <c r="O148" s="50"/>
    </row>
    <row r="149" ht="15.75" customHeight="1">
      <c r="O149" s="50"/>
    </row>
    <row r="150" ht="15.75" customHeight="1">
      <c r="O150" s="50"/>
    </row>
    <row r="151" ht="15.75" customHeight="1">
      <c r="O151" s="50"/>
    </row>
    <row r="152" ht="15.75" customHeight="1">
      <c r="O152" s="50"/>
    </row>
    <row r="153" ht="15.75" customHeight="1">
      <c r="O153" s="50"/>
    </row>
    <row r="154" ht="15.75" customHeight="1">
      <c r="O154" s="50"/>
    </row>
    <row r="155" ht="15.75" customHeight="1">
      <c r="O155" s="50"/>
    </row>
    <row r="156" ht="15.75" customHeight="1">
      <c r="O156" s="50"/>
    </row>
    <row r="157" ht="15.75" customHeight="1">
      <c r="O157" s="50"/>
    </row>
    <row r="158" ht="15.75" customHeight="1">
      <c r="O158" s="50"/>
    </row>
    <row r="159" ht="15.75" customHeight="1">
      <c r="O159" s="50"/>
    </row>
    <row r="160" ht="15.75" customHeight="1">
      <c r="O160" s="50"/>
    </row>
    <row r="161" ht="15.75" customHeight="1">
      <c r="O161" s="50"/>
    </row>
    <row r="162" ht="15.75" customHeight="1">
      <c r="O162" s="50"/>
    </row>
    <row r="163" ht="15.75" customHeight="1">
      <c r="O163" s="50"/>
    </row>
    <row r="164" ht="15.75" customHeight="1">
      <c r="O164" s="50"/>
    </row>
    <row r="165" ht="15.75" customHeight="1">
      <c r="O165" s="50"/>
    </row>
    <row r="166" ht="15.75" customHeight="1">
      <c r="O166" s="50"/>
    </row>
    <row r="167" ht="15.75" customHeight="1">
      <c r="O167" s="50"/>
    </row>
    <row r="168" ht="15.75" customHeight="1">
      <c r="O168" s="50"/>
    </row>
    <row r="169" ht="15.75" customHeight="1">
      <c r="O169" s="50"/>
    </row>
    <row r="170" ht="15.75" customHeight="1">
      <c r="O170" s="50"/>
    </row>
    <row r="171" ht="15.75" customHeight="1">
      <c r="O171" s="50"/>
    </row>
    <row r="172" ht="15.75" customHeight="1">
      <c r="O172" s="50"/>
    </row>
    <row r="173" ht="15.75" customHeight="1">
      <c r="O173" s="50"/>
    </row>
    <row r="174" ht="15.75" customHeight="1">
      <c r="O174" s="50"/>
    </row>
    <row r="175" ht="15.75" customHeight="1">
      <c r="O175" s="50"/>
    </row>
    <row r="176" ht="15.75" customHeight="1">
      <c r="O176" s="50"/>
    </row>
    <row r="177" ht="15.75" customHeight="1">
      <c r="O177" s="50"/>
    </row>
    <row r="178" ht="15.75" customHeight="1">
      <c r="O178" s="50"/>
    </row>
    <row r="179" ht="15.75" customHeight="1">
      <c r="O179" s="50"/>
    </row>
    <row r="180" ht="15.75" customHeight="1">
      <c r="O180" s="50"/>
    </row>
    <row r="181" ht="15.75" customHeight="1">
      <c r="O181" s="50"/>
    </row>
    <row r="182" ht="15.75" customHeight="1">
      <c r="O182" s="50"/>
    </row>
    <row r="183" ht="15.75" customHeight="1">
      <c r="O183" s="50"/>
    </row>
    <row r="184" ht="15.75" customHeight="1">
      <c r="O184" s="50"/>
    </row>
    <row r="185" ht="15.75" customHeight="1">
      <c r="O185" s="50"/>
    </row>
    <row r="186" ht="15.75" customHeight="1">
      <c r="O186" s="50"/>
    </row>
    <row r="187" ht="15.75" customHeight="1">
      <c r="O187" s="50"/>
    </row>
    <row r="188" ht="15.75" customHeight="1">
      <c r="O188" s="50"/>
    </row>
    <row r="189" ht="15.75" customHeight="1">
      <c r="O189" s="50"/>
    </row>
    <row r="190" ht="15.75" customHeight="1">
      <c r="O190" s="50"/>
    </row>
    <row r="191" ht="15.75" customHeight="1">
      <c r="O191" s="50"/>
    </row>
    <row r="192" ht="15.75" customHeight="1">
      <c r="O192" s="50"/>
    </row>
    <row r="193" ht="15.75" customHeight="1">
      <c r="O193" s="50"/>
    </row>
    <row r="194" ht="15.75" customHeight="1">
      <c r="O194" s="50"/>
    </row>
    <row r="195" ht="15.75" customHeight="1">
      <c r="O195" s="50"/>
    </row>
    <row r="196" ht="15.75" customHeight="1">
      <c r="O196" s="50"/>
    </row>
    <row r="197" ht="15.75" customHeight="1">
      <c r="O197" s="50"/>
    </row>
    <row r="198" ht="15.75" customHeight="1">
      <c r="O198" s="50"/>
    </row>
    <row r="199" ht="15.75" customHeight="1">
      <c r="O199" s="50"/>
    </row>
    <row r="200" ht="15.75" customHeight="1">
      <c r="O200" s="50"/>
    </row>
    <row r="201" ht="15.75" customHeight="1">
      <c r="O201" s="50"/>
    </row>
    <row r="202" ht="15.75" customHeight="1">
      <c r="O202" s="50"/>
    </row>
    <row r="203" ht="15.75" customHeight="1">
      <c r="O203" s="50"/>
    </row>
    <row r="204" ht="15.75" customHeight="1">
      <c r="O204" s="50"/>
    </row>
    <row r="205" ht="15.75" customHeight="1">
      <c r="O205" s="50"/>
    </row>
    <row r="206" ht="15.75" customHeight="1">
      <c r="O206" s="50"/>
    </row>
    <row r="207" ht="15.75" customHeight="1">
      <c r="O207" s="50"/>
    </row>
    <row r="208" ht="15.75" customHeight="1">
      <c r="O208" s="50"/>
    </row>
    <row r="209" ht="15.75" customHeight="1">
      <c r="O209" s="50"/>
    </row>
    <row r="210" ht="15.75" customHeight="1">
      <c r="O210" s="50"/>
    </row>
    <row r="211" ht="15.75" customHeight="1">
      <c r="O211" s="50"/>
    </row>
    <row r="212" ht="15.75" customHeight="1">
      <c r="O212" s="50"/>
    </row>
    <row r="213" ht="15.75" customHeight="1">
      <c r="O213" s="50"/>
    </row>
    <row r="214" ht="15.75" customHeight="1">
      <c r="O214" s="50"/>
    </row>
    <row r="215" ht="15.75" customHeight="1">
      <c r="O215" s="50"/>
    </row>
    <row r="216" ht="15.75" customHeight="1">
      <c r="O216" s="50"/>
    </row>
    <row r="217" ht="15.75" customHeight="1">
      <c r="O217" s="50"/>
    </row>
    <row r="218" ht="15.75" customHeight="1">
      <c r="O218" s="50"/>
    </row>
    <row r="219" ht="15.75" customHeight="1">
      <c r="O219" s="50"/>
    </row>
    <row r="220" ht="15.75" customHeight="1">
      <c r="O220" s="50"/>
    </row>
    <row r="221" ht="15.75" customHeight="1">
      <c r="O221" s="50"/>
    </row>
    <row r="222" ht="15.75" customHeight="1">
      <c r="O222" s="50"/>
    </row>
    <row r="223" ht="15.75" customHeight="1">
      <c r="O223" s="50"/>
    </row>
    <row r="224" ht="15.75" customHeight="1">
      <c r="O224" s="50"/>
    </row>
    <row r="225" ht="15.75" customHeight="1">
      <c r="O225" s="50"/>
    </row>
    <row r="226" ht="15.75" customHeight="1">
      <c r="O226" s="50"/>
    </row>
    <row r="227" ht="15.75" customHeight="1">
      <c r="O227" s="50"/>
    </row>
    <row r="228" ht="15.75" customHeight="1">
      <c r="O228" s="50"/>
    </row>
    <row r="229" ht="15.75" customHeight="1">
      <c r="O229" s="50"/>
    </row>
    <row r="230" ht="15.75" customHeight="1">
      <c r="O230" s="50"/>
    </row>
    <row r="231" ht="15.75" customHeight="1">
      <c r="O231" s="50"/>
    </row>
    <row r="232" ht="15.75" customHeight="1">
      <c r="O232" s="50"/>
    </row>
    <row r="233" ht="15.75" customHeight="1">
      <c r="O233" s="50"/>
    </row>
    <row r="234" ht="15.75" customHeight="1">
      <c r="O234" s="50"/>
    </row>
    <row r="235" ht="15.75" customHeight="1">
      <c r="O235" s="50"/>
    </row>
    <row r="236" ht="15.75" customHeight="1">
      <c r="O236" s="50"/>
    </row>
    <row r="237" ht="15.75" customHeight="1">
      <c r="O237" s="50"/>
    </row>
    <row r="238" ht="15.75" customHeight="1">
      <c r="O238" s="50"/>
    </row>
    <row r="239" ht="15.75" customHeight="1">
      <c r="O239" s="50"/>
    </row>
    <row r="240" ht="15.75" customHeight="1">
      <c r="O240" s="50"/>
    </row>
    <row r="241" ht="15.75" customHeight="1">
      <c r="O241" s="50"/>
    </row>
    <row r="242" ht="15.75" customHeight="1">
      <c r="O242" s="50"/>
    </row>
    <row r="243" ht="15.75" customHeight="1">
      <c r="O243" s="50"/>
    </row>
    <row r="244" ht="15.75" customHeight="1">
      <c r="O244" s="50"/>
    </row>
    <row r="245" ht="15.75" customHeight="1">
      <c r="O245" s="50"/>
    </row>
    <row r="246" ht="15.75" customHeight="1">
      <c r="O246" s="50"/>
    </row>
    <row r="247" ht="15.75" customHeight="1">
      <c r="O247" s="50"/>
    </row>
    <row r="248" ht="15.75" customHeight="1">
      <c r="O248" s="50"/>
    </row>
    <row r="249" ht="15.75" customHeight="1">
      <c r="O249" s="50"/>
    </row>
    <row r="250" ht="15.75" customHeight="1">
      <c r="O250" s="50"/>
    </row>
    <row r="251" ht="15.75" customHeight="1">
      <c r="O251" s="50"/>
    </row>
    <row r="252" ht="15.75" customHeight="1">
      <c r="O252" s="50"/>
    </row>
    <row r="253" ht="15.75" customHeight="1">
      <c r="O253" s="50"/>
    </row>
    <row r="254" ht="15.75" customHeight="1">
      <c r="O254" s="50"/>
    </row>
    <row r="255" ht="15.75" customHeight="1">
      <c r="O255" s="50"/>
    </row>
    <row r="256" ht="15.75" customHeight="1">
      <c r="O256" s="50"/>
    </row>
    <row r="257" ht="15.75" customHeight="1">
      <c r="O257" s="50"/>
    </row>
    <row r="258" ht="15.75" customHeight="1">
      <c r="O258" s="50"/>
    </row>
    <row r="259" ht="15.75" customHeight="1">
      <c r="O259" s="50"/>
    </row>
    <row r="260" ht="15.75" customHeight="1">
      <c r="O260" s="50"/>
    </row>
    <row r="261" ht="15.75" customHeight="1">
      <c r="O261" s="50"/>
    </row>
    <row r="262" ht="15.75" customHeight="1">
      <c r="O262" s="50"/>
    </row>
    <row r="263" ht="15.75" customHeight="1">
      <c r="O263" s="50"/>
    </row>
    <row r="264" ht="15.75" customHeight="1">
      <c r="O264" s="50"/>
    </row>
    <row r="265" ht="15.75" customHeight="1">
      <c r="O265" s="50"/>
    </row>
    <row r="266" ht="15.75" customHeight="1">
      <c r="O266" s="50"/>
    </row>
    <row r="267" ht="15.75" customHeight="1">
      <c r="O267" s="50"/>
    </row>
    <row r="268" ht="15.75" customHeight="1">
      <c r="O268" s="50"/>
    </row>
    <row r="269" ht="15.75" customHeight="1">
      <c r="O269" s="50"/>
    </row>
    <row r="270" ht="15.75" customHeight="1">
      <c r="O270" s="50"/>
    </row>
    <row r="271" ht="15.75" customHeight="1">
      <c r="O271" s="50"/>
    </row>
    <row r="272" ht="15.75" customHeight="1">
      <c r="O272" s="50"/>
    </row>
    <row r="273" ht="15.75" customHeight="1">
      <c r="O273" s="50"/>
    </row>
    <row r="274" ht="15.75" customHeight="1">
      <c r="O274" s="50"/>
    </row>
    <row r="275" ht="15.75" customHeight="1">
      <c r="O275" s="50"/>
    </row>
    <row r="276" ht="15.75" customHeight="1">
      <c r="O276" s="50"/>
    </row>
    <row r="277" ht="15.75" customHeight="1">
      <c r="O277" s="50"/>
    </row>
    <row r="278" ht="15.75" customHeight="1">
      <c r="O278" s="50"/>
    </row>
    <row r="279" ht="15.75" customHeight="1">
      <c r="O279" s="50"/>
    </row>
    <row r="280" ht="15.75" customHeight="1">
      <c r="O280" s="50"/>
    </row>
    <row r="281" ht="15.75" customHeight="1">
      <c r="O281" s="50"/>
    </row>
    <row r="282" ht="15.75" customHeight="1">
      <c r="O282" s="50"/>
    </row>
    <row r="283" ht="15.75" customHeight="1">
      <c r="O283" s="50"/>
    </row>
    <row r="284" ht="15.75" customHeight="1">
      <c r="O284" s="50"/>
    </row>
    <row r="285" ht="15.75" customHeight="1">
      <c r="O285" s="50"/>
    </row>
    <row r="286" ht="15.75" customHeight="1">
      <c r="O286" s="50"/>
    </row>
    <row r="287" ht="15.75" customHeight="1">
      <c r="O287" s="50"/>
    </row>
    <row r="288" ht="15.75" customHeight="1">
      <c r="O288" s="50"/>
    </row>
    <row r="289" ht="15.75" customHeight="1">
      <c r="O289" s="50"/>
    </row>
    <row r="290" ht="15.75" customHeight="1">
      <c r="O290" s="50"/>
    </row>
    <row r="291" ht="15.75" customHeight="1">
      <c r="O291" s="50"/>
    </row>
    <row r="292" ht="15.75" customHeight="1">
      <c r="O292" s="50"/>
    </row>
    <row r="293" ht="15.75" customHeight="1">
      <c r="O293" s="50"/>
    </row>
    <row r="294" ht="15.75" customHeight="1">
      <c r="O294" s="50"/>
    </row>
    <row r="295" ht="15.75" customHeight="1">
      <c r="O295" s="50"/>
    </row>
    <row r="296" ht="15.75" customHeight="1">
      <c r="O296" s="50"/>
    </row>
    <row r="297" ht="15.75" customHeight="1">
      <c r="O297" s="50"/>
    </row>
    <row r="298" ht="15.75" customHeight="1">
      <c r="O298" s="50"/>
    </row>
    <row r="299" ht="15.75" customHeight="1">
      <c r="O299" s="50"/>
    </row>
    <row r="300" ht="15.75" customHeight="1">
      <c r="O300" s="50"/>
    </row>
    <row r="301" ht="15.75" customHeight="1">
      <c r="O301" s="50"/>
    </row>
    <row r="302" ht="15.75" customHeight="1">
      <c r="O302" s="50"/>
    </row>
    <row r="303" ht="15.75" customHeight="1">
      <c r="O303" s="50"/>
    </row>
    <row r="304" ht="15.75" customHeight="1">
      <c r="O304" s="50"/>
    </row>
    <row r="305" ht="15.75" customHeight="1">
      <c r="O305" s="50"/>
    </row>
    <row r="306" ht="15.75" customHeight="1">
      <c r="O306" s="50"/>
    </row>
    <row r="307" ht="15.75" customHeight="1">
      <c r="O307" s="50"/>
    </row>
    <row r="308" ht="15.75" customHeight="1">
      <c r="O308" s="50"/>
    </row>
    <row r="309" ht="15.75" customHeight="1">
      <c r="O309" s="50"/>
    </row>
    <row r="310" ht="15.75" customHeight="1">
      <c r="O310" s="50"/>
    </row>
    <row r="311" ht="15.75" customHeight="1">
      <c r="O311" s="50"/>
    </row>
    <row r="312" ht="15.75" customHeight="1">
      <c r="O312" s="50"/>
    </row>
    <row r="313" ht="15.75" customHeight="1">
      <c r="O313" s="50"/>
    </row>
    <row r="314" ht="15.75" customHeight="1">
      <c r="O314" s="50"/>
    </row>
    <row r="315" ht="15.75" customHeight="1">
      <c r="O315" s="50"/>
    </row>
    <row r="316" ht="15.75" customHeight="1">
      <c r="O316" s="50"/>
    </row>
    <row r="317" ht="15.75" customHeight="1">
      <c r="O317" s="50"/>
    </row>
    <row r="318" ht="15.75" customHeight="1">
      <c r="O318" s="50"/>
    </row>
    <row r="319" ht="15.75" customHeight="1">
      <c r="O319" s="50"/>
    </row>
    <row r="320" ht="15.75" customHeight="1">
      <c r="O320" s="50"/>
    </row>
    <row r="321" ht="15.75" customHeight="1">
      <c r="O321" s="50"/>
    </row>
    <row r="322" ht="15.75" customHeight="1">
      <c r="O322" s="50"/>
    </row>
    <row r="323" ht="15.75" customHeight="1">
      <c r="O323" s="50"/>
    </row>
    <row r="324" ht="15.75" customHeight="1">
      <c r="O324" s="50"/>
    </row>
    <row r="325" ht="15.75" customHeight="1">
      <c r="O325" s="50"/>
    </row>
    <row r="326" ht="15.75" customHeight="1">
      <c r="O326" s="50"/>
    </row>
    <row r="327" ht="15.75" customHeight="1">
      <c r="O327" s="50"/>
    </row>
    <row r="328" ht="15.75" customHeight="1">
      <c r="O328" s="50"/>
    </row>
    <row r="329" ht="15.75" customHeight="1">
      <c r="O329" s="50"/>
    </row>
    <row r="330" ht="15.75" customHeight="1">
      <c r="O330" s="50"/>
    </row>
    <row r="331" ht="15.75" customHeight="1">
      <c r="O331" s="50"/>
    </row>
    <row r="332" ht="15.75" customHeight="1">
      <c r="O332" s="50"/>
    </row>
    <row r="333" ht="15.75" customHeight="1">
      <c r="O333" s="50"/>
    </row>
    <row r="334" ht="15.75" customHeight="1">
      <c r="O334" s="50"/>
    </row>
    <row r="335" ht="15.75" customHeight="1">
      <c r="O335" s="50"/>
    </row>
    <row r="336" ht="15.75" customHeight="1">
      <c r="O336" s="50"/>
    </row>
    <row r="337" ht="15.75" customHeight="1">
      <c r="O337" s="50"/>
    </row>
    <row r="338" ht="15.75" customHeight="1">
      <c r="O338" s="50"/>
    </row>
    <row r="339" ht="15.75" customHeight="1">
      <c r="O339" s="50"/>
    </row>
    <row r="340" ht="15.75" customHeight="1">
      <c r="O340" s="50"/>
    </row>
    <row r="341" ht="15.75" customHeight="1">
      <c r="O341" s="50"/>
    </row>
    <row r="342" ht="15.75" customHeight="1">
      <c r="O342" s="50"/>
    </row>
    <row r="343" ht="15.75" customHeight="1">
      <c r="O343" s="50"/>
    </row>
    <row r="344" ht="15.75" customHeight="1">
      <c r="O344" s="50"/>
    </row>
    <row r="345" ht="15.75" customHeight="1">
      <c r="O345" s="50"/>
    </row>
    <row r="346" ht="15.75" customHeight="1">
      <c r="O346" s="50"/>
    </row>
    <row r="347" ht="15.75" customHeight="1">
      <c r="O347" s="50"/>
    </row>
    <row r="348" ht="15.75" customHeight="1">
      <c r="O348" s="50"/>
    </row>
    <row r="349" ht="15.75" customHeight="1">
      <c r="O349" s="50"/>
    </row>
    <row r="350" ht="15.75" customHeight="1">
      <c r="O350" s="50"/>
    </row>
    <row r="351" ht="15.75" customHeight="1">
      <c r="O351" s="50"/>
    </row>
    <row r="352" ht="15.75" customHeight="1">
      <c r="O352" s="50"/>
    </row>
    <row r="353" ht="15.75" customHeight="1">
      <c r="O353" s="50"/>
    </row>
    <row r="354" ht="15.75" customHeight="1">
      <c r="O354" s="50"/>
    </row>
    <row r="355" ht="15.75" customHeight="1">
      <c r="O355" s="50"/>
    </row>
    <row r="356" ht="15.75" customHeight="1">
      <c r="O356" s="50"/>
    </row>
    <row r="357" ht="15.75" customHeight="1">
      <c r="O357" s="50"/>
    </row>
    <row r="358" ht="15.75" customHeight="1">
      <c r="O358" s="50"/>
    </row>
    <row r="359" ht="15.75" customHeight="1">
      <c r="O359" s="50"/>
    </row>
    <row r="360" ht="15.75" customHeight="1">
      <c r="O360" s="50"/>
    </row>
    <row r="361" ht="15.75" customHeight="1">
      <c r="O361" s="50"/>
    </row>
    <row r="362" ht="15.75" customHeight="1">
      <c r="O362" s="50"/>
    </row>
    <row r="363" ht="15.75" customHeight="1">
      <c r="O363" s="50"/>
    </row>
    <row r="364" ht="15.75" customHeight="1">
      <c r="O364" s="50"/>
    </row>
    <row r="365" ht="15.75" customHeight="1">
      <c r="O365" s="50"/>
    </row>
    <row r="366" ht="15.75" customHeight="1">
      <c r="O366" s="50"/>
    </row>
    <row r="367" ht="15.75" customHeight="1">
      <c r="O367" s="50"/>
    </row>
    <row r="368" ht="15.75" customHeight="1">
      <c r="O368" s="50"/>
    </row>
    <row r="369" ht="15.75" customHeight="1">
      <c r="O369" s="50"/>
    </row>
    <row r="370" ht="15.75" customHeight="1">
      <c r="O370" s="50"/>
    </row>
    <row r="371" ht="15.75" customHeight="1">
      <c r="O371" s="50"/>
    </row>
    <row r="372" ht="15.75" customHeight="1">
      <c r="O372" s="50"/>
    </row>
    <row r="373" ht="15.75" customHeight="1">
      <c r="O373" s="50"/>
    </row>
    <row r="374" ht="15.75" customHeight="1">
      <c r="O374" s="50"/>
    </row>
    <row r="375" ht="15.75" customHeight="1">
      <c r="O375" s="50"/>
    </row>
    <row r="376" ht="15.75" customHeight="1">
      <c r="O376" s="50"/>
    </row>
    <row r="377" ht="15.75" customHeight="1">
      <c r="O377" s="50"/>
    </row>
    <row r="378" ht="15.75" customHeight="1">
      <c r="O378" s="50"/>
    </row>
    <row r="379" ht="15.75" customHeight="1">
      <c r="O379" s="50"/>
    </row>
    <row r="380" ht="15.75" customHeight="1">
      <c r="O380" s="50"/>
    </row>
    <row r="381" ht="15.75" customHeight="1">
      <c r="O381" s="50"/>
    </row>
    <row r="382" ht="15.75" customHeight="1">
      <c r="O382" s="50"/>
    </row>
    <row r="383" ht="15.75" customHeight="1">
      <c r="O383" s="50"/>
    </row>
    <row r="384" ht="15.75" customHeight="1">
      <c r="O384" s="50"/>
    </row>
    <row r="385" ht="15.75" customHeight="1">
      <c r="O385" s="50"/>
    </row>
    <row r="386" ht="15.75" customHeight="1">
      <c r="O386" s="50"/>
    </row>
    <row r="387" ht="15.75" customHeight="1">
      <c r="O387" s="50"/>
    </row>
    <row r="388" ht="15.75" customHeight="1">
      <c r="O388" s="50"/>
    </row>
    <row r="389" ht="15.75" customHeight="1">
      <c r="O389" s="50"/>
    </row>
    <row r="390" ht="15.75" customHeight="1">
      <c r="O390" s="50"/>
    </row>
    <row r="391" ht="15.75" customHeight="1">
      <c r="O391" s="50"/>
    </row>
    <row r="392" ht="15.75" customHeight="1">
      <c r="O392" s="50"/>
    </row>
    <row r="393" ht="15.75" customHeight="1">
      <c r="O393" s="50"/>
    </row>
    <row r="394" ht="15.75" customHeight="1">
      <c r="O394" s="50"/>
    </row>
    <row r="395" ht="15.75" customHeight="1">
      <c r="O395" s="50"/>
    </row>
    <row r="396" ht="15.75" customHeight="1">
      <c r="O396" s="50"/>
    </row>
    <row r="397" ht="15.75" customHeight="1">
      <c r="O397" s="50"/>
    </row>
    <row r="398" ht="15.75" customHeight="1">
      <c r="O398" s="50"/>
    </row>
    <row r="399" ht="15.75" customHeight="1">
      <c r="O399" s="50"/>
    </row>
    <row r="400" ht="15.75" customHeight="1">
      <c r="O400" s="50"/>
    </row>
    <row r="401" ht="15.75" customHeight="1">
      <c r="O401" s="50"/>
    </row>
    <row r="402" ht="15.75" customHeight="1">
      <c r="O402" s="50"/>
    </row>
    <row r="403" ht="15.75" customHeight="1">
      <c r="O403" s="50"/>
    </row>
    <row r="404" ht="15.75" customHeight="1">
      <c r="O404" s="50"/>
    </row>
    <row r="405" ht="15.75" customHeight="1">
      <c r="O405" s="50"/>
    </row>
    <row r="406" ht="15.75" customHeight="1">
      <c r="O406" s="50"/>
    </row>
    <row r="407" ht="15.75" customHeight="1">
      <c r="O407" s="50"/>
    </row>
    <row r="408" ht="15.75" customHeight="1">
      <c r="O408" s="50"/>
    </row>
    <row r="409" ht="15.75" customHeight="1">
      <c r="O409" s="50"/>
    </row>
    <row r="410" ht="15.75" customHeight="1">
      <c r="O410" s="50"/>
    </row>
    <row r="411" ht="15.75" customHeight="1">
      <c r="O411" s="50"/>
    </row>
    <row r="412" ht="15.75" customHeight="1">
      <c r="O412" s="50"/>
    </row>
    <row r="413" ht="15.75" customHeight="1">
      <c r="O413" s="50"/>
    </row>
    <row r="414" ht="15.75" customHeight="1">
      <c r="O414" s="50"/>
    </row>
    <row r="415" ht="15.75" customHeight="1">
      <c r="O415" s="50"/>
    </row>
    <row r="416" ht="15.75" customHeight="1">
      <c r="O416" s="50"/>
    </row>
    <row r="417" ht="15.75" customHeight="1">
      <c r="O417" s="50"/>
    </row>
    <row r="418" ht="15.75" customHeight="1">
      <c r="O418" s="50"/>
    </row>
    <row r="419" ht="15.75" customHeight="1">
      <c r="O419" s="50"/>
    </row>
    <row r="420" ht="15.75" customHeight="1">
      <c r="O420" s="50"/>
    </row>
    <row r="421" ht="15.75" customHeight="1">
      <c r="O421" s="50"/>
    </row>
    <row r="422" ht="15.75" customHeight="1">
      <c r="O422" s="50"/>
    </row>
    <row r="423" ht="15.75" customHeight="1">
      <c r="O423" s="50"/>
    </row>
    <row r="424" ht="15.75" customHeight="1">
      <c r="O424" s="50"/>
    </row>
    <row r="425" ht="15.75" customHeight="1">
      <c r="O425" s="50"/>
    </row>
    <row r="426" ht="15.75" customHeight="1">
      <c r="O426" s="50"/>
    </row>
    <row r="427" ht="15.75" customHeight="1">
      <c r="O427" s="50"/>
    </row>
    <row r="428" ht="15.75" customHeight="1">
      <c r="O428" s="50"/>
    </row>
    <row r="429" ht="15.75" customHeight="1">
      <c r="O429" s="50"/>
    </row>
    <row r="430" ht="15.75" customHeight="1">
      <c r="O430" s="50"/>
    </row>
    <row r="431" ht="15.75" customHeight="1">
      <c r="O431" s="50"/>
    </row>
    <row r="432" ht="15.75" customHeight="1">
      <c r="O432" s="50"/>
    </row>
    <row r="433" ht="15.75" customHeight="1">
      <c r="O433" s="50"/>
    </row>
    <row r="434" ht="15.75" customHeight="1">
      <c r="O434" s="50"/>
    </row>
    <row r="435" ht="15.75" customHeight="1">
      <c r="O435" s="50"/>
    </row>
    <row r="436" ht="15.75" customHeight="1">
      <c r="O436" s="50"/>
    </row>
    <row r="437" ht="15.75" customHeight="1">
      <c r="O437" s="50"/>
    </row>
    <row r="438" ht="15.75" customHeight="1">
      <c r="O438" s="50"/>
    </row>
    <row r="439" ht="15.75" customHeight="1">
      <c r="O439" s="50"/>
    </row>
    <row r="440" ht="15.75" customHeight="1">
      <c r="O440" s="50"/>
    </row>
    <row r="441" ht="15.75" customHeight="1">
      <c r="O441" s="50"/>
    </row>
    <row r="442" ht="15.75" customHeight="1">
      <c r="O442" s="50"/>
    </row>
    <row r="443" ht="15.75" customHeight="1">
      <c r="O443" s="50"/>
    </row>
    <row r="444" ht="15.75" customHeight="1">
      <c r="O444" s="50"/>
    </row>
    <row r="445" ht="15.75" customHeight="1">
      <c r="O445" s="50"/>
    </row>
    <row r="446" ht="15.75" customHeight="1">
      <c r="O446" s="50"/>
    </row>
    <row r="447" ht="15.75" customHeight="1">
      <c r="O447" s="50"/>
    </row>
    <row r="448" ht="15.75" customHeight="1">
      <c r="O448" s="50"/>
    </row>
    <row r="449" ht="15.75" customHeight="1">
      <c r="O449" s="50"/>
    </row>
    <row r="450" ht="15.75" customHeight="1">
      <c r="O450" s="50"/>
    </row>
    <row r="451" ht="15.75" customHeight="1">
      <c r="O451" s="50"/>
    </row>
    <row r="452" ht="15.75" customHeight="1">
      <c r="O452" s="50"/>
    </row>
    <row r="453" ht="15.75" customHeight="1">
      <c r="O453" s="50"/>
    </row>
    <row r="454" ht="15.75" customHeight="1">
      <c r="O454" s="50"/>
    </row>
    <row r="455" ht="15.75" customHeight="1">
      <c r="O455" s="50"/>
    </row>
    <row r="456" ht="15.75" customHeight="1">
      <c r="O456" s="50"/>
    </row>
    <row r="457" ht="15.75" customHeight="1">
      <c r="O457" s="50"/>
    </row>
    <row r="458" ht="15.75" customHeight="1">
      <c r="O458" s="50"/>
    </row>
    <row r="459" ht="15.75" customHeight="1">
      <c r="O459" s="50"/>
    </row>
    <row r="460" ht="15.75" customHeight="1">
      <c r="O460" s="50"/>
    </row>
    <row r="461" ht="15.75" customHeight="1">
      <c r="O461" s="50"/>
    </row>
    <row r="462" ht="15.75" customHeight="1">
      <c r="O462" s="50"/>
    </row>
    <row r="463" ht="15.75" customHeight="1">
      <c r="O463" s="50"/>
    </row>
    <row r="464" ht="15.75" customHeight="1">
      <c r="O464" s="50"/>
    </row>
    <row r="465" ht="15.75" customHeight="1">
      <c r="O465" s="50"/>
    </row>
    <row r="466" ht="15.75" customHeight="1">
      <c r="O466" s="50"/>
    </row>
    <row r="467" ht="15.75" customHeight="1">
      <c r="O467" s="50"/>
    </row>
    <row r="468" ht="15.75" customHeight="1">
      <c r="O468" s="50"/>
    </row>
    <row r="469" ht="15.75" customHeight="1">
      <c r="O469" s="50"/>
    </row>
    <row r="470" ht="15.75" customHeight="1">
      <c r="O470" s="50"/>
    </row>
    <row r="471" ht="15.75" customHeight="1">
      <c r="O471" s="50"/>
    </row>
    <row r="472" ht="15.75" customHeight="1">
      <c r="O472" s="50"/>
    </row>
    <row r="473" ht="15.75" customHeight="1">
      <c r="O473" s="50"/>
    </row>
    <row r="474" ht="15.75" customHeight="1">
      <c r="O474" s="50"/>
    </row>
    <row r="475" ht="15.75" customHeight="1">
      <c r="O475" s="50"/>
    </row>
    <row r="476" ht="15.75" customHeight="1">
      <c r="O476" s="50"/>
    </row>
    <row r="477" ht="15.75" customHeight="1">
      <c r="O477" s="50"/>
    </row>
    <row r="478" ht="15.75" customHeight="1">
      <c r="O478" s="50"/>
    </row>
    <row r="479" ht="15.75" customHeight="1">
      <c r="O479" s="50"/>
    </row>
    <row r="480" ht="15.75" customHeight="1">
      <c r="O480" s="50"/>
    </row>
    <row r="481" ht="15.75" customHeight="1">
      <c r="O481" s="50"/>
    </row>
    <row r="482" ht="15.75" customHeight="1">
      <c r="O482" s="50"/>
    </row>
    <row r="483" ht="15.75" customHeight="1">
      <c r="O483" s="50"/>
    </row>
    <row r="484" ht="15.75" customHeight="1">
      <c r="O484" s="50"/>
    </row>
    <row r="485" ht="15.75" customHeight="1">
      <c r="O485" s="50"/>
    </row>
    <row r="486" ht="15.75" customHeight="1">
      <c r="O486" s="50"/>
    </row>
    <row r="487" ht="15.75" customHeight="1">
      <c r="O487" s="50"/>
    </row>
    <row r="488" ht="15.75" customHeight="1">
      <c r="O488" s="50"/>
    </row>
    <row r="489" ht="15.75" customHeight="1">
      <c r="O489" s="50"/>
    </row>
    <row r="490" ht="15.75" customHeight="1">
      <c r="O490" s="50"/>
    </row>
    <row r="491" ht="15.75" customHeight="1">
      <c r="O491" s="50"/>
    </row>
    <row r="492" ht="15.75" customHeight="1">
      <c r="O492" s="50"/>
    </row>
    <row r="493" ht="15.75" customHeight="1">
      <c r="O493" s="50"/>
    </row>
    <row r="494" ht="15.75" customHeight="1">
      <c r="O494" s="50"/>
    </row>
    <row r="495" ht="15.75" customHeight="1">
      <c r="O495" s="50"/>
    </row>
    <row r="496" ht="15.75" customHeight="1">
      <c r="O496" s="50"/>
    </row>
    <row r="497" ht="15.75" customHeight="1">
      <c r="O497" s="50"/>
    </row>
    <row r="498" ht="15.75" customHeight="1">
      <c r="O498" s="50"/>
    </row>
    <row r="499" ht="15.75" customHeight="1">
      <c r="O499" s="50"/>
    </row>
    <row r="500" ht="15.75" customHeight="1">
      <c r="O500" s="50"/>
    </row>
    <row r="501" ht="15.75" customHeight="1">
      <c r="O501" s="50"/>
    </row>
    <row r="502" ht="15.75" customHeight="1">
      <c r="O502" s="50"/>
    </row>
    <row r="503" ht="15.75" customHeight="1">
      <c r="O503" s="50"/>
    </row>
    <row r="504" ht="15.75" customHeight="1">
      <c r="O504" s="50"/>
    </row>
    <row r="505" ht="15.75" customHeight="1">
      <c r="O505" s="50"/>
    </row>
    <row r="506" ht="15.75" customHeight="1">
      <c r="O506" s="50"/>
    </row>
    <row r="507" ht="15.75" customHeight="1">
      <c r="O507" s="50"/>
    </row>
    <row r="508" ht="15.75" customHeight="1">
      <c r="O508" s="50"/>
    </row>
    <row r="509" ht="15.75" customHeight="1">
      <c r="O509" s="50"/>
    </row>
    <row r="510" ht="15.75" customHeight="1">
      <c r="O510" s="50"/>
    </row>
    <row r="511" ht="15.75" customHeight="1">
      <c r="O511" s="50"/>
    </row>
    <row r="512" ht="15.75" customHeight="1">
      <c r="O512" s="50"/>
    </row>
    <row r="513" ht="15.75" customHeight="1">
      <c r="O513" s="50"/>
    </row>
    <row r="514" ht="15.75" customHeight="1">
      <c r="O514" s="50"/>
    </row>
    <row r="515" ht="15.75" customHeight="1">
      <c r="O515" s="50"/>
    </row>
    <row r="516" ht="15.75" customHeight="1">
      <c r="O516" s="50"/>
    </row>
    <row r="517" ht="15.75" customHeight="1">
      <c r="O517" s="50"/>
    </row>
    <row r="518" ht="15.75" customHeight="1">
      <c r="O518" s="50"/>
    </row>
    <row r="519" ht="15.75" customHeight="1">
      <c r="O519" s="50"/>
    </row>
    <row r="520" ht="15.75" customHeight="1">
      <c r="O520" s="50"/>
    </row>
    <row r="521" ht="15.75" customHeight="1">
      <c r="O521" s="50"/>
    </row>
    <row r="522" ht="15.75" customHeight="1">
      <c r="O522" s="50"/>
    </row>
    <row r="523" ht="15.75" customHeight="1">
      <c r="O523" s="50"/>
    </row>
    <row r="524" ht="15.75" customHeight="1">
      <c r="O524" s="50"/>
    </row>
    <row r="525" ht="15.75" customHeight="1">
      <c r="O525" s="50"/>
    </row>
    <row r="526" ht="15.75" customHeight="1">
      <c r="O526" s="50"/>
    </row>
    <row r="527" ht="15.75" customHeight="1">
      <c r="O527" s="50"/>
    </row>
    <row r="528" ht="15.75" customHeight="1">
      <c r="O528" s="50"/>
    </row>
    <row r="529" ht="15.75" customHeight="1">
      <c r="O529" s="50"/>
    </row>
    <row r="530" ht="15.75" customHeight="1">
      <c r="O530" s="50"/>
    </row>
    <row r="531" ht="15.75" customHeight="1">
      <c r="O531" s="50"/>
    </row>
    <row r="532" ht="15.75" customHeight="1">
      <c r="O532" s="50"/>
    </row>
    <row r="533" ht="15.75" customHeight="1">
      <c r="O533" s="50"/>
    </row>
    <row r="534" ht="15.75" customHeight="1">
      <c r="O534" s="50"/>
    </row>
    <row r="535" ht="15.75" customHeight="1">
      <c r="O535" s="50"/>
    </row>
    <row r="536" ht="15.75" customHeight="1">
      <c r="O536" s="50"/>
    </row>
    <row r="537" ht="15.75" customHeight="1">
      <c r="O537" s="50"/>
    </row>
    <row r="538" ht="15.75" customHeight="1">
      <c r="O538" s="50"/>
    </row>
    <row r="539" ht="15.75" customHeight="1">
      <c r="O539" s="50"/>
    </row>
    <row r="540" ht="15.75" customHeight="1">
      <c r="O540" s="50"/>
    </row>
    <row r="541" ht="15.75" customHeight="1">
      <c r="O541" s="50"/>
    </row>
    <row r="542" ht="15.75" customHeight="1">
      <c r="O542" s="50"/>
    </row>
    <row r="543" ht="15.75" customHeight="1">
      <c r="O543" s="50"/>
    </row>
    <row r="544" ht="15.75" customHeight="1">
      <c r="O544" s="50"/>
    </row>
    <row r="545" ht="15.75" customHeight="1">
      <c r="O545" s="50"/>
    </row>
    <row r="546" ht="15.75" customHeight="1">
      <c r="O546" s="50"/>
    </row>
    <row r="547" ht="15.75" customHeight="1">
      <c r="O547" s="50"/>
    </row>
    <row r="548" ht="15.75" customHeight="1">
      <c r="O548" s="50"/>
    </row>
    <row r="549" ht="15.75" customHeight="1">
      <c r="O549" s="50"/>
    </row>
    <row r="550" ht="15.75" customHeight="1">
      <c r="O550" s="50"/>
    </row>
    <row r="551" ht="15.75" customHeight="1">
      <c r="O551" s="50"/>
    </row>
    <row r="552" ht="15.75" customHeight="1">
      <c r="O552" s="50"/>
    </row>
    <row r="553" ht="15.75" customHeight="1">
      <c r="O553" s="50"/>
    </row>
    <row r="554" ht="15.75" customHeight="1">
      <c r="O554" s="50"/>
    </row>
    <row r="555" ht="15.75" customHeight="1">
      <c r="O555" s="50"/>
    </row>
    <row r="556" ht="15.75" customHeight="1">
      <c r="O556" s="50"/>
    </row>
    <row r="557" ht="15.75" customHeight="1">
      <c r="O557" s="50"/>
    </row>
    <row r="558" ht="15.75" customHeight="1">
      <c r="O558" s="50"/>
    </row>
    <row r="559" ht="15.75" customHeight="1">
      <c r="O559" s="50"/>
    </row>
    <row r="560" ht="15.75" customHeight="1">
      <c r="O560" s="50"/>
    </row>
    <row r="561" ht="15.75" customHeight="1">
      <c r="O561" s="50"/>
    </row>
    <row r="562" ht="15.75" customHeight="1">
      <c r="O562" s="50"/>
    </row>
    <row r="563" ht="15.75" customHeight="1">
      <c r="O563" s="50"/>
    </row>
    <row r="564" ht="15.75" customHeight="1">
      <c r="O564" s="50"/>
    </row>
    <row r="565" ht="15.75" customHeight="1">
      <c r="O565" s="50"/>
    </row>
    <row r="566" ht="15.75" customHeight="1">
      <c r="O566" s="50"/>
    </row>
    <row r="567" ht="15.75" customHeight="1">
      <c r="O567" s="50"/>
    </row>
    <row r="568" ht="15.75" customHeight="1">
      <c r="O568" s="50"/>
    </row>
    <row r="569" ht="15.75" customHeight="1">
      <c r="O569" s="50"/>
    </row>
    <row r="570" ht="15.75" customHeight="1">
      <c r="O570" s="50"/>
    </row>
    <row r="571" ht="15.75" customHeight="1">
      <c r="O571" s="50"/>
    </row>
    <row r="572" ht="15.75" customHeight="1">
      <c r="O572" s="50"/>
    </row>
    <row r="573" ht="15.75" customHeight="1">
      <c r="O573" s="50"/>
    </row>
    <row r="574" ht="15.75" customHeight="1">
      <c r="O574" s="50"/>
    </row>
    <row r="575" ht="15.75" customHeight="1">
      <c r="O575" s="50"/>
    </row>
    <row r="576" ht="15.75" customHeight="1">
      <c r="O576" s="50"/>
    </row>
    <row r="577" ht="15.75" customHeight="1">
      <c r="O577" s="50"/>
    </row>
    <row r="578" ht="15.75" customHeight="1">
      <c r="O578" s="50"/>
    </row>
    <row r="579" ht="15.75" customHeight="1">
      <c r="O579" s="50"/>
    </row>
    <row r="580" ht="15.75" customHeight="1">
      <c r="O580" s="50"/>
    </row>
    <row r="581" ht="15.75" customHeight="1">
      <c r="O581" s="50"/>
    </row>
    <row r="582" ht="15.75" customHeight="1">
      <c r="O582" s="50"/>
    </row>
    <row r="583" ht="15.75" customHeight="1">
      <c r="O583" s="50"/>
    </row>
    <row r="584" ht="15.75" customHeight="1">
      <c r="O584" s="50"/>
    </row>
    <row r="585" ht="15.75" customHeight="1">
      <c r="O585" s="50"/>
    </row>
    <row r="586" ht="15.75" customHeight="1">
      <c r="O586" s="50"/>
    </row>
    <row r="587" ht="15.75" customHeight="1">
      <c r="O587" s="50"/>
    </row>
    <row r="588" ht="15.75" customHeight="1">
      <c r="O588" s="50"/>
    </row>
    <row r="589" ht="15.75" customHeight="1">
      <c r="O589" s="50"/>
    </row>
    <row r="590" ht="15.75" customHeight="1">
      <c r="O590" s="50"/>
    </row>
    <row r="591" ht="15.75" customHeight="1">
      <c r="O591" s="50"/>
    </row>
    <row r="592" ht="15.75" customHeight="1">
      <c r="O592" s="50"/>
    </row>
    <row r="593" ht="15.75" customHeight="1">
      <c r="O593" s="50"/>
    </row>
    <row r="594" ht="15.75" customHeight="1">
      <c r="O594" s="50"/>
    </row>
    <row r="595" ht="15.75" customHeight="1">
      <c r="O595" s="50"/>
    </row>
    <row r="596" ht="15.75" customHeight="1">
      <c r="O596" s="50"/>
    </row>
    <row r="597" ht="15.75" customHeight="1">
      <c r="O597" s="50"/>
    </row>
    <row r="598" ht="15.75" customHeight="1">
      <c r="O598" s="50"/>
    </row>
    <row r="599" ht="15.75" customHeight="1">
      <c r="O599" s="50"/>
    </row>
    <row r="600" ht="15.75" customHeight="1">
      <c r="O600" s="50"/>
    </row>
    <row r="601" ht="15.75" customHeight="1">
      <c r="O601" s="50"/>
    </row>
    <row r="602" ht="15.75" customHeight="1">
      <c r="O602" s="50"/>
    </row>
    <row r="603" ht="15.75" customHeight="1">
      <c r="O603" s="50"/>
    </row>
    <row r="604" ht="15.75" customHeight="1">
      <c r="O604" s="50"/>
    </row>
    <row r="605" ht="15.75" customHeight="1">
      <c r="O605" s="50"/>
    </row>
    <row r="606" ht="15.75" customHeight="1">
      <c r="O606" s="50"/>
    </row>
    <row r="607" ht="15.75" customHeight="1">
      <c r="O607" s="50"/>
    </row>
    <row r="608" ht="15.75" customHeight="1">
      <c r="O608" s="50"/>
    </row>
    <row r="609" ht="15.75" customHeight="1">
      <c r="O609" s="50"/>
    </row>
    <row r="610" ht="15.75" customHeight="1">
      <c r="O610" s="50"/>
    </row>
    <row r="611" ht="15.75" customHeight="1">
      <c r="O611" s="50"/>
    </row>
    <row r="612" ht="15.75" customHeight="1">
      <c r="O612" s="50"/>
    </row>
    <row r="613" ht="15.75" customHeight="1">
      <c r="O613" s="50"/>
    </row>
    <row r="614" ht="15.75" customHeight="1">
      <c r="O614" s="50"/>
    </row>
    <row r="615" ht="15.75" customHeight="1">
      <c r="O615" s="50"/>
    </row>
    <row r="616" ht="15.75" customHeight="1">
      <c r="O616" s="50"/>
    </row>
    <row r="617" ht="15.75" customHeight="1">
      <c r="O617" s="50"/>
    </row>
    <row r="618" ht="15.75" customHeight="1">
      <c r="O618" s="50"/>
    </row>
    <row r="619" ht="15.75" customHeight="1">
      <c r="O619" s="50"/>
    </row>
    <row r="620" ht="15.75" customHeight="1">
      <c r="O620" s="50"/>
    </row>
    <row r="621" ht="15.75" customHeight="1">
      <c r="O621" s="50"/>
    </row>
    <row r="622" ht="15.75" customHeight="1">
      <c r="O622" s="50"/>
    </row>
    <row r="623" ht="15.75" customHeight="1">
      <c r="O623" s="50"/>
    </row>
    <row r="624" ht="15.75" customHeight="1">
      <c r="O624" s="50"/>
    </row>
    <row r="625" ht="15.75" customHeight="1">
      <c r="O625" s="50"/>
    </row>
    <row r="626" ht="15.75" customHeight="1">
      <c r="O626" s="50"/>
    </row>
    <row r="627" ht="15.75" customHeight="1">
      <c r="O627" s="50"/>
    </row>
    <row r="628" ht="15.75" customHeight="1">
      <c r="O628" s="50"/>
    </row>
    <row r="629" ht="15.75" customHeight="1">
      <c r="O629" s="50"/>
    </row>
    <row r="630" ht="15.75" customHeight="1">
      <c r="O630" s="50"/>
    </row>
    <row r="631" ht="15.75" customHeight="1">
      <c r="O631" s="50"/>
    </row>
    <row r="632" ht="15.75" customHeight="1">
      <c r="O632" s="50"/>
    </row>
    <row r="633" ht="15.75" customHeight="1">
      <c r="O633" s="50"/>
    </row>
    <row r="634" ht="15.75" customHeight="1">
      <c r="O634" s="50"/>
    </row>
    <row r="635" ht="15.75" customHeight="1">
      <c r="O635" s="50"/>
    </row>
    <row r="636" ht="15.75" customHeight="1">
      <c r="O636" s="50"/>
    </row>
    <row r="637" ht="15.75" customHeight="1">
      <c r="O637" s="50"/>
    </row>
    <row r="638" ht="15.75" customHeight="1">
      <c r="O638" s="50"/>
    </row>
    <row r="639" ht="15.75" customHeight="1">
      <c r="O639" s="50"/>
    </row>
    <row r="640" ht="15.75" customHeight="1">
      <c r="O640" s="50"/>
    </row>
    <row r="641" ht="15.75" customHeight="1">
      <c r="O641" s="50"/>
    </row>
    <row r="642" ht="15.75" customHeight="1">
      <c r="O642" s="50"/>
    </row>
    <row r="643" ht="15.75" customHeight="1">
      <c r="O643" s="50"/>
    </row>
    <row r="644" ht="15.75" customHeight="1">
      <c r="O644" s="50"/>
    </row>
    <row r="645" ht="15.75" customHeight="1">
      <c r="O645" s="50"/>
    </row>
    <row r="646" ht="15.75" customHeight="1">
      <c r="O646" s="50"/>
    </row>
    <row r="647" ht="15.75" customHeight="1">
      <c r="O647" s="50"/>
    </row>
    <row r="648" ht="15.75" customHeight="1">
      <c r="O648" s="50"/>
    </row>
    <row r="649" ht="15.75" customHeight="1">
      <c r="O649" s="50"/>
    </row>
    <row r="650" ht="15.75" customHeight="1">
      <c r="O650" s="50"/>
    </row>
    <row r="651" ht="15.75" customHeight="1">
      <c r="O651" s="50"/>
    </row>
    <row r="652" ht="15.75" customHeight="1">
      <c r="O652" s="50"/>
    </row>
    <row r="653" ht="15.75" customHeight="1">
      <c r="O653" s="50"/>
    </row>
    <row r="654" ht="15.75" customHeight="1">
      <c r="O654" s="50"/>
    </row>
    <row r="655" ht="15.75" customHeight="1">
      <c r="O655" s="50"/>
    </row>
    <row r="656" ht="15.75" customHeight="1">
      <c r="O656" s="50"/>
    </row>
    <row r="657" ht="15.75" customHeight="1">
      <c r="O657" s="50"/>
    </row>
    <row r="658" ht="15.75" customHeight="1">
      <c r="O658" s="50"/>
    </row>
    <row r="659" ht="15.75" customHeight="1">
      <c r="O659" s="50"/>
    </row>
    <row r="660" ht="15.75" customHeight="1">
      <c r="O660" s="50"/>
    </row>
    <row r="661" ht="15.75" customHeight="1">
      <c r="O661" s="50"/>
    </row>
    <row r="662" ht="15.75" customHeight="1">
      <c r="O662" s="50"/>
    </row>
    <row r="663" ht="15.75" customHeight="1">
      <c r="O663" s="50"/>
    </row>
    <row r="664" ht="15.75" customHeight="1">
      <c r="O664" s="50"/>
    </row>
    <row r="665" ht="15.75" customHeight="1">
      <c r="O665" s="50"/>
    </row>
    <row r="666" ht="15.75" customHeight="1">
      <c r="O666" s="50"/>
    </row>
    <row r="667" ht="15.75" customHeight="1">
      <c r="O667" s="50"/>
    </row>
    <row r="668" ht="15.75" customHeight="1">
      <c r="O668" s="50"/>
    </row>
    <row r="669" ht="15.75" customHeight="1">
      <c r="O669" s="50"/>
    </row>
    <row r="670" ht="15.75" customHeight="1">
      <c r="O670" s="50"/>
    </row>
    <row r="671" ht="15.75" customHeight="1">
      <c r="O671" s="50"/>
    </row>
    <row r="672" ht="15.75" customHeight="1">
      <c r="O672" s="50"/>
    </row>
    <row r="673" ht="15.75" customHeight="1">
      <c r="O673" s="50"/>
    </row>
    <row r="674" ht="15.75" customHeight="1">
      <c r="O674" s="50"/>
    </row>
    <row r="675" ht="15.75" customHeight="1">
      <c r="O675" s="50"/>
    </row>
    <row r="676" ht="15.75" customHeight="1">
      <c r="O676" s="50"/>
    </row>
    <row r="677" ht="15.75" customHeight="1">
      <c r="O677" s="50"/>
    </row>
    <row r="678" ht="15.75" customHeight="1">
      <c r="O678" s="50"/>
    </row>
    <row r="679" ht="15.75" customHeight="1">
      <c r="O679" s="50"/>
    </row>
    <row r="680" ht="15.75" customHeight="1">
      <c r="O680" s="50"/>
    </row>
    <row r="681" ht="15.75" customHeight="1">
      <c r="O681" s="50"/>
    </row>
    <row r="682" ht="15.75" customHeight="1">
      <c r="O682" s="50"/>
    </row>
    <row r="683" ht="15.75" customHeight="1">
      <c r="O683" s="50"/>
    </row>
    <row r="684" ht="15.75" customHeight="1">
      <c r="O684" s="50"/>
    </row>
    <row r="685" ht="15.75" customHeight="1">
      <c r="O685" s="50"/>
    </row>
    <row r="686" ht="15.75" customHeight="1">
      <c r="O686" s="50"/>
    </row>
    <row r="687" ht="15.75" customHeight="1">
      <c r="O687" s="50"/>
    </row>
    <row r="688" ht="15.75" customHeight="1">
      <c r="O688" s="50"/>
    </row>
    <row r="689" ht="15.75" customHeight="1">
      <c r="O689" s="50"/>
    </row>
    <row r="690" ht="15.75" customHeight="1">
      <c r="O690" s="50"/>
    </row>
    <row r="691" ht="15.75" customHeight="1">
      <c r="O691" s="50"/>
    </row>
    <row r="692" ht="15.75" customHeight="1">
      <c r="O692" s="50"/>
    </row>
    <row r="693" ht="15.75" customHeight="1">
      <c r="O693" s="50"/>
    </row>
    <row r="694" ht="15.75" customHeight="1">
      <c r="O694" s="50"/>
    </row>
    <row r="695" ht="15.75" customHeight="1">
      <c r="O695" s="50"/>
    </row>
    <row r="696" ht="15.75" customHeight="1">
      <c r="O696" s="50"/>
    </row>
    <row r="697" ht="15.75" customHeight="1">
      <c r="O697" s="50"/>
    </row>
    <row r="698" ht="15.75" customHeight="1">
      <c r="O698" s="50"/>
    </row>
    <row r="699" ht="15.75" customHeight="1">
      <c r="O699" s="50"/>
    </row>
    <row r="700" ht="15.75" customHeight="1">
      <c r="O700" s="50"/>
    </row>
    <row r="701" ht="15.75" customHeight="1">
      <c r="O701" s="50"/>
    </row>
    <row r="702" ht="15.75" customHeight="1">
      <c r="O702" s="50"/>
    </row>
    <row r="703" ht="15.75" customHeight="1">
      <c r="O703" s="50"/>
    </row>
    <row r="704" ht="15.75" customHeight="1">
      <c r="O704" s="50"/>
    </row>
    <row r="705" ht="15.75" customHeight="1">
      <c r="O705" s="50"/>
    </row>
    <row r="706" ht="15.75" customHeight="1">
      <c r="O706" s="50"/>
    </row>
    <row r="707" ht="15.75" customHeight="1">
      <c r="O707" s="50"/>
    </row>
    <row r="708" ht="15.75" customHeight="1">
      <c r="O708" s="50"/>
    </row>
    <row r="709" ht="15.75" customHeight="1">
      <c r="O709" s="50"/>
    </row>
    <row r="710" ht="15.75" customHeight="1">
      <c r="O710" s="50"/>
    </row>
    <row r="711" ht="15.75" customHeight="1">
      <c r="O711" s="50"/>
    </row>
    <row r="712" ht="15.75" customHeight="1">
      <c r="O712" s="50"/>
    </row>
    <row r="713" ht="15.75" customHeight="1">
      <c r="O713" s="50"/>
    </row>
    <row r="714" ht="15.75" customHeight="1">
      <c r="O714" s="50"/>
    </row>
    <row r="715" ht="15.75" customHeight="1">
      <c r="O715" s="50"/>
    </row>
    <row r="716" ht="15.75" customHeight="1">
      <c r="O716" s="50"/>
    </row>
    <row r="717" ht="15.75" customHeight="1">
      <c r="O717" s="50"/>
    </row>
    <row r="718" ht="15.75" customHeight="1">
      <c r="O718" s="50"/>
    </row>
    <row r="719" ht="15.75" customHeight="1">
      <c r="O719" s="50"/>
    </row>
    <row r="720" ht="15.75" customHeight="1">
      <c r="O720" s="50"/>
    </row>
    <row r="721" ht="15.75" customHeight="1">
      <c r="O721" s="50"/>
    </row>
    <row r="722" ht="15.75" customHeight="1">
      <c r="O722" s="50"/>
    </row>
    <row r="723" ht="15.75" customHeight="1">
      <c r="O723" s="50"/>
    </row>
    <row r="724" ht="15.75" customHeight="1">
      <c r="O724" s="50"/>
    </row>
    <row r="725" ht="15.75" customHeight="1">
      <c r="O725" s="50"/>
    </row>
    <row r="726" ht="15.75" customHeight="1">
      <c r="O726" s="50"/>
    </row>
    <row r="727" ht="15.75" customHeight="1">
      <c r="O727" s="50"/>
    </row>
    <row r="728" ht="15.75" customHeight="1">
      <c r="O728" s="50"/>
    </row>
    <row r="729" ht="15.75" customHeight="1">
      <c r="O729" s="50"/>
    </row>
    <row r="730" ht="15.75" customHeight="1">
      <c r="O730" s="50"/>
    </row>
    <row r="731" ht="15.75" customHeight="1">
      <c r="O731" s="50"/>
    </row>
    <row r="732" ht="15.75" customHeight="1">
      <c r="O732" s="50"/>
    </row>
    <row r="733" ht="15.75" customHeight="1">
      <c r="O733" s="50"/>
    </row>
    <row r="734" ht="15.75" customHeight="1">
      <c r="O734" s="50"/>
    </row>
    <row r="735" ht="15.75" customHeight="1">
      <c r="O735" s="50"/>
    </row>
    <row r="736" ht="15.75" customHeight="1">
      <c r="O736" s="50"/>
    </row>
    <row r="737" ht="15.75" customHeight="1">
      <c r="O737" s="50"/>
    </row>
    <row r="738" ht="15.75" customHeight="1">
      <c r="O738" s="50"/>
    </row>
    <row r="739" ht="15.75" customHeight="1">
      <c r="O739" s="50"/>
    </row>
    <row r="740" ht="15.75" customHeight="1">
      <c r="O740" s="50"/>
    </row>
    <row r="741" ht="15.75" customHeight="1">
      <c r="O741" s="50"/>
    </row>
    <row r="742" ht="15.75" customHeight="1">
      <c r="O742" s="50"/>
    </row>
    <row r="743" ht="15.75" customHeight="1">
      <c r="O743" s="50"/>
    </row>
    <row r="744" ht="15.75" customHeight="1">
      <c r="O744" s="50"/>
    </row>
    <row r="745" ht="15.75" customHeight="1">
      <c r="O745" s="50"/>
    </row>
    <row r="746" ht="15.75" customHeight="1">
      <c r="O746" s="50"/>
    </row>
    <row r="747" ht="15.75" customHeight="1">
      <c r="O747" s="50"/>
    </row>
    <row r="748" ht="15.75" customHeight="1">
      <c r="O748" s="50"/>
    </row>
    <row r="749" ht="15.75" customHeight="1">
      <c r="O749" s="50"/>
    </row>
    <row r="750" ht="15.75" customHeight="1">
      <c r="O750" s="50"/>
    </row>
    <row r="751" ht="15.75" customHeight="1">
      <c r="O751" s="50"/>
    </row>
    <row r="752" ht="15.75" customHeight="1">
      <c r="O752" s="50"/>
    </row>
    <row r="753" ht="15.75" customHeight="1">
      <c r="O753" s="50"/>
    </row>
    <row r="754" ht="15.75" customHeight="1">
      <c r="O754" s="50"/>
    </row>
    <row r="755" ht="15.75" customHeight="1">
      <c r="O755" s="50"/>
    </row>
    <row r="756" ht="15.75" customHeight="1">
      <c r="O756" s="50"/>
    </row>
    <row r="757" ht="15.75" customHeight="1">
      <c r="O757" s="50"/>
    </row>
    <row r="758" ht="15.75" customHeight="1">
      <c r="O758" s="50"/>
    </row>
    <row r="759" ht="15.75" customHeight="1">
      <c r="O759" s="50"/>
    </row>
    <row r="760" ht="15.75" customHeight="1">
      <c r="O760" s="50"/>
    </row>
    <row r="761" ht="15.75" customHeight="1">
      <c r="O761" s="50"/>
    </row>
    <row r="762" ht="15.75" customHeight="1">
      <c r="O762" s="50"/>
    </row>
    <row r="763" ht="15.75" customHeight="1">
      <c r="O763" s="50"/>
    </row>
    <row r="764" ht="15.75" customHeight="1">
      <c r="O764" s="50"/>
    </row>
    <row r="765" ht="15.75" customHeight="1">
      <c r="O765" s="50"/>
    </row>
    <row r="766" ht="15.75" customHeight="1">
      <c r="O766" s="50"/>
    </row>
    <row r="767" ht="15.75" customHeight="1">
      <c r="O767" s="50"/>
    </row>
    <row r="768" ht="15.75" customHeight="1">
      <c r="O768" s="50"/>
    </row>
    <row r="769" ht="15.75" customHeight="1">
      <c r="O769" s="50"/>
    </row>
    <row r="770" ht="15.75" customHeight="1">
      <c r="O770" s="50"/>
    </row>
    <row r="771" ht="15.75" customHeight="1">
      <c r="O771" s="50"/>
    </row>
    <row r="772" ht="15.75" customHeight="1">
      <c r="O772" s="50"/>
    </row>
    <row r="773" ht="15.75" customHeight="1">
      <c r="O773" s="50"/>
    </row>
    <row r="774" ht="15.75" customHeight="1">
      <c r="O774" s="50"/>
    </row>
    <row r="775" ht="15.75" customHeight="1">
      <c r="O775" s="50"/>
    </row>
    <row r="776" ht="15.75" customHeight="1">
      <c r="O776" s="50"/>
    </row>
    <row r="777" ht="15.75" customHeight="1">
      <c r="O777" s="50"/>
    </row>
    <row r="778" ht="15.75" customHeight="1">
      <c r="O778" s="50"/>
    </row>
    <row r="779" ht="15.75" customHeight="1">
      <c r="O779" s="50"/>
    </row>
    <row r="780" ht="15.75" customHeight="1">
      <c r="O780" s="50"/>
    </row>
    <row r="781" ht="15.75" customHeight="1">
      <c r="O781" s="50"/>
    </row>
    <row r="782" ht="15.75" customHeight="1">
      <c r="O782" s="50"/>
    </row>
    <row r="783" ht="15.75" customHeight="1">
      <c r="O783" s="50"/>
    </row>
    <row r="784" ht="15.75" customHeight="1">
      <c r="O784" s="50"/>
    </row>
    <row r="785" ht="15.75" customHeight="1">
      <c r="O785" s="50"/>
    </row>
    <row r="786" ht="15.75" customHeight="1">
      <c r="O786" s="50"/>
    </row>
    <row r="787" ht="15.75" customHeight="1">
      <c r="O787" s="50"/>
    </row>
    <row r="788" ht="15.75" customHeight="1">
      <c r="O788" s="50"/>
    </row>
    <row r="789" ht="15.75" customHeight="1">
      <c r="O789" s="50"/>
    </row>
    <row r="790" ht="15.75" customHeight="1">
      <c r="O790" s="50"/>
    </row>
    <row r="791" ht="15.75" customHeight="1">
      <c r="O791" s="50"/>
    </row>
    <row r="792" ht="15.75" customHeight="1">
      <c r="O792" s="50"/>
    </row>
    <row r="793" ht="15.75" customHeight="1">
      <c r="O793" s="50"/>
    </row>
    <row r="794" ht="15.75" customHeight="1">
      <c r="O794" s="50"/>
    </row>
    <row r="795" ht="15.75" customHeight="1">
      <c r="O795" s="50"/>
    </row>
    <row r="796" ht="15.75" customHeight="1">
      <c r="O796" s="50"/>
    </row>
    <row r="797" ht="15.75" customHeight="1">
      <c r="O797" s="50"/>
    </row>
    <row r="798" ht="15.75" customHeight="1">
      <c r="O798" s="50"/>
    </row>
    <row r="799" ht="15.75" customHeight="1">
      <c r="O799" s="50"/>
    </row>
    <row r="800" ht="15.75" customHeight="1">
      <c r="O800" s="50"/>
    </row>
    <row r="801" ht="15.75" customHeight="1">
      <c r="O801" s="50"/>
    </row>
    <row r="802" ht="15.75" customHeight="1">
      <c r="O802" s="50"/>
    </row>
    <row r="803" ht="15.75" customHeight="1">
      <c r="O803" s="50"/>
    </row>
    <row r="804" ht="15.75" customHeight="1">
      <c r="O804" s="50"/>
    </row>
    <row r="805" ht="15.75" customHeight="1">
      <c r="O805" s="50"/>
    </row>
    <row r="806" ht="15.75" customHeight="1">
      <c r="O806" s="50"/>
    </row>
    <row r="807" ht="15.75" customHeight="1">
      <c r="O807" s="50"/>
    </row>
    <row r="808" ht="15.75" customHeight="1">
      <c r="O808" s="50"/>
    </row>
    <row r="809" ht="15.75" customHeight="1">
      <c r="O809" s="50"/>
    </row>
    <row r="810" ht="15.75" customHeight="1">
      <c r="O810" s="50"/>
    </row>
    <row r="811" ht="15.75" customHeight="1">
      <c r="O811" s="50"/>
    </row>
    <row r="812" ht="15.75" customHeight="1">
      <c r="O812" s="50"/>
    </row>
    <row r="813" ht="15.75" customHeight="1">
      <c r="O813" s="50"/>
    </row>
    <row r="814" ht="15.75" customHeight="1">
      <c r="O814" s="50"/>
    </row>
    <row r="815" ht="15.75" customHeight="1">
      <c r="O815" s="50"/>
    </row>
    <row r="816" ht="15.75" customHeight="1">
      <c r="O816" s="50"/>
    </row>
    <row r="817" ht="15.75" customHeight="1">
      <c r="O817" s="50"/>
    </row>
    <row r="818" ht="15.75" customHeight="1">
      <c r="O818" s="50"/>
    </row>
    <row r="819" ht="15.75" customHeight="1">
      <c r="O819" s="50"/>
    </row>
    <row r="820" ht="15.75" customHeight="1">
      <c r="O820" s="50"/>
    </row>
    <row r="821" ht="15.75" customHeight="1">
      <c r="O821" s="50"/>
    </row>
    <row r="822" ht="15.75" customHeight="1">
      <c r="O822" s="50"/>
    </row>
    <row r="823" ht="15.75" customHeight="1">
      <c r="O823" s="50"/>
    </row>
    <row r="824" ht="15.75" customHeight="1">
      <c r="O824" s="50"/>
    </row>
    <row r="825" ht="15.75" customHeight="1">
      <c r="O825" s="50"/>
    </row>
    <row r="826" ht="15.75" customHeight="1">
      <c r="O826" s="50"/>
    </row>
    <row r="827" ht="15.75" customHeight="1">
      <c r="O827" s="50"/>
    </row>
    <row r="828" ht="15.75" customHeight="1">
      <c r="O828" s="50"/>
    </row>
    <row r="829" ht="15.75" customHeight="1">
      <c r="O829" s="50"/>
    </row>
    <row r="830" ht="15.75" customHeight="1">
      <c r="O830" s="50"/>
    </row>
    <row r="831" ht="15.75" customHeight="1">
      <c r="O831" s="50"/>
    </row>
    <row r="832" ht="15.75" customHeight="1">
      <c r="O832" s="50"/>
    </row>
    <row r="833" ht="15.75" customHeight="1">
      <c r="O833" s="50"/>
    </row>
    <row r="834" ht="15.75" customHeight="1">
      <c r="O834" s="50"/>
    </row>
    <row r="835" ht="15.75" customHeight="1">
      <c r="O835" s="50"/>
    </row>
    <row r="836" ht="15.75" customHeight="1">
      <c r="O836" s="50"/>
    </row>
    <row r="837" ht="15.75" customHeight="1">
      <c r="O837" s="50"/>
    </row>
    <row r="838" ht="15.75" customHeight="1">
      <c r="O838" s="50"/>
    </row>
    <row r="839" ht="15.75" customHeight="1">
      <c r="O839" s="50"/>
    </row>
    <row r="840" ht="15.75" customHeight="1">
      <c r="O840" s="50"/>
    </row>
    <row r="841" ht="15.75" customHeight="1">
      <c r="O841" s="50"/>
    </row>
    <row r="842" ht="15.75" customHeight="1">
      <c r="O842" s="50"/>
    </row>
    <row r="843" ht="15.75" customHeight="1">
      <c r="O843" s="50"/>
    </row>
    <row r="844" ht="15.75" customHeight="1">
      <c r="O844" s="50"/>
    </row>
    <row r="845" ht="15.75" customHeight="1">
      <c r="O845" s="50"/>
    </row>
    <row r="846" ht="15.75" customHeight="1">
      <c r="O846" s="50"/>
    </row>
    <row r="847" ht="15.75" customHeight="1">
      <c r="O847" s="50"/>
    </row>
    <row r="848" ht="15.75" customHeight="1">
      <c r="O848" s="50"/>
    </row>
    <row r="849" ht="15.75" customHeight="1">
      <c r="O849" s="50"/>
    </row>
    <row r="850" ht="15.75" customHeight="1">
      <c r="O850" s="50"/>
    </row>
    <row r="851" ht="15.75" customHeight="1">
      <c r="O851" s="50"/>
    </row>
    <row r="852" ht="15.75" customHeight="1">
      <c r="O852" s="50"/>
    </row>
    <row r="853" ht="15.75" customHeight="1">
      <c r="O853" s="50"/>
    </row>
    <row r="854" ht="15.75" customHeight="1">
      <c r="O854" s="50"/>
    </row>
    <row r="855" ht="15.75" customHeight="1">
      <c r="O855" s="50"/>
    </row>
    <row r="856" ht="15.75" customHeight="1">
      <c r="O856" s="50"/>
    </row>
    <row r="857" ht="15.75" customHeight="1">
      <c r="O857" s="50"/>
    </row>
    <row r="858" ht="15.75" customHeight="1">
      <c r="O858" s="50"/>
    </row>
    <row r="859" ht="15.75" customHeight="1">
      <c r="O859" s="50"/>
    </row>
    <row r="860" ht="15.75" customHeight="1">
      <c r="O860" s="50"/>
    </row>
    <row r="861" ht="15.75" customHeight="1">
      <c r="O861" s="50"/>
    </row>
    <row r="862" ht="15.75" customHeight="1">
      <c r="O862" s="50"/>
    </row>
    <row r="863" ht="15.75" customHeight="1">
      <c r="O863" s="50"/>
    </row>
    <row r="864" ht="15.75" customHeight="1">
      <c r="O864" s="50"/>
    </row>
    <row r="865" ht="15.75" customHeight="1">
      <c r="O865" s="50"/>
    </row>
    <row r="866" ht="15.75" customHeight="1">
      <c r="O866" s="50"/>
    </row>
    <row r="867" ht="15.75" customHeight="1">
      <c r="O867" s="50"/>
    </row>
    <row r="868" ht="15.75" customHeight="1">
      <c r="O868" s="50"/>
    </row>
    <row r="869" ht="15.75" customHeight="1">
      <c r="O869" s="50"/>
    </row>
    <row r="870" ht="15.75" customHeight="1">
      <c r="O870" s="50"/>
    </row>
    <row r="871" ht="15.75" customHeight="1">
      <c r="O871" s="50"/>
    </row>
    <row r="872" ht="15.75" customHeight="1">
      <c r="O872" s="50"/>
    </row>
    <row r="873" ht="15.75" customHeight="1">
      <c r="O873" s="50"/>
    </row>
    <row r="874" ht="15.75" customHeight="1">
      <c r="O874" s="50"/>
    </row>
    <row r="875" ht="15.75" customHeight="1">
      <c r="O875" s="50"/>
    </row>
    <row r="876" ht="15.75" customHeight="1">
      <c r="O876" s="50"/>
    </row>
    <row r="877" ht="15.75" customHeight="1">
      <c r="O877" s="50"/>
    </row>
    <row r="878" ht="15.75" customHeight="1">
      <c r="O878" s="50"/>
    </row>
    <row r="879" ht="15.75" customHeight="1">
      <c r="O879" s="50"/>
    </row>
    <row r="880" ht="15.75" customHeight="1">
      <c r="O880" s="50"/>
    </row>
    <row r="881" ht="15.75" customHeight="1">
      <c r="O881" s="50"/>
    </row>
    <row r="882" ht="15.75" customHeight="1">
      <c r="O882" s="50"/>
    </row>
    <row r="883" ht="15.75" customHeight="1">
      <c r="O883" s="50"/>
    </row>
    <row r="884" ht="15.75" customHeight="1">
      <c r="O884" s="50"/>
    </row>
    <row r="885" ht="15.75" customHeight="1">
      <c r="O885" s="50"/>
    </row>
    <row r="886" ht="15.75" customHeight="1">
      <c r="O886" s="50"/>
    </row>
    <row r="887" ht="15.75" customHeight="1">
      <c r="O887" s="50"/>
    </row>
    <row r="888" ht="15.75" customHeight="1">
      <c r="O888" s="50"/>
    </row>
    <row r="889" ht="15.75" customHeight="1">
      <c r="O889" s="50"/>
    </row>
    <row r="890" ht="15.75" customHeight="1">
      <c r="O890" s="50"/>
    </row>
    <row r="891" ht="15.75" customHeight="1">
      <c r="O891" s="50"/>
    </row>
    <row r="892" ht="15.75" customHeight="1">
      <c r="O892" s="50"/>
    </row>
    <row r="893" ht="15.75" customHeight="1">
      <c r="O893" s="50"/>
    </row>
    <row r="894" ht="15.75" customHeight="1">
      <c r="O894" s="50"/>
    </row>
    <row r="895" ht="15.75" customHeight="1">
      <c r="O895" s="50"/>
    </row>
    <row r="896" ht="15.75" customHeight="1">
      <c r="O896" s="50"/>
    </row>
    <row r="897" ht="15.75" customHeight="1">
      <c r="O897" s="50"/>
    </row>
    <row r="898" ht="15.75" customHeight="1">
      <c r="O898" s="50"/>
    </row>
    <row r="899" ht="15.75" customHeight="1">
      <c r="O899" s="50"/>
    </row>
    <row r="900" ht="15.75" customHeight="1">
      <c r="O900" s="50"/>
    </row>
    <row r="901" ht="15.75" customHeight="1">
      <c r="O901" s="50"/>
    </row>
    <row r="902" ht="15.75" customHeight="1">
      <c r="O902" s="50"/>
    </row>
    <row r="903" ht="15.75" customHeight="1">
      <c r="O903" s="50"/>
    </row>
    <row r="904" ht="15.75" customHeight="1">
      <c r="O904" s="50"/>
    </row>
    <row r="905" ht="15.75" customHeight="1">
      <c r="O905" s="50"/>
    </row>
    <row r="906" ht="15.75" customHeight="1">
      <c r="O906" s="50"/>
    </row>
    <row r="907" ht="15.75" customHeight="1">
      <c r="O907" s="50"/>
    </row>
    <row r="908" ht="15.75" customHeight="1">
      <c r="O908" s="50"/>
    </row>
    <row r="909" ht="15.75" customHeight="1">
      <c r="O909" s="50"/>
    </row>
    <row r="910" ht="15.75" customHeight="1">
      <c r="O910" s="50"/>
    </row>
    <row r="911" ht="15.75" customHeight="1">
      <c r="O911" s="50"/>
    </row>
    <row r="912" ht="15.75" customHeight="1">
      <c r="O912" s="50"/>
    </row>
    <row r="913" ht="15.75" customHeight="1">
      <c r="O913" s="50"/>
    </row>
    <row r="914" ht="15.75" customHeight="1">
      <c r="O914" s="50"/>
    </row>
    <row r="915" ht="15.75" customHeight="1">
      <c r="O915" s="50"/>
    </row>
    <row r="916" ht="15.75" customHeight="1">
      <c r="O916" s="50"/>
    </row>
    <row r="917" ht="15.75" customHeight="1">
      <c r="O917" s="50"/>
    </row>
    <row r="918" ht="15.75" customHeight="1">
      <c r="O918" s="50"/>
    </row>
    <row r="919" ht="15.75" customHeight="1">
      <c r="O919" s="50"/>
    </row>
    <row r="920" ht="15.75" customHeight="1">
      <c r="O920" s="50"/>
    </row>
    <row r="921" ht="15.75" customHeight="1">
      <c r="O921" s="50"/>
    </row>
    <row r="922" ht="15.75" customHeight="1">
      <c r="O922" s="50"/>
    </row>
    <row r="923" ht="15.75" customHeight="1">
      <c r="O923" s="50"/>
    </row>
    <row r="924" ht="15.75" customHeight="1">
      <c r="O924" s="50"/>
    </row>
    <row r="925" ht="15.75" customHeight="1">
      <c r="O925" s="50"/>
    </row>
    <row r="926" ht="15.75" customHeight="1">
      <c r="O926" s="50"/>
    </row>
    <row r="927" ht="15.75" customHeight="1">
      <c r="O927" s="50"/>
    </row>
    <row r="928" ht="15.75" customHeight="1">
      <c r="O928" s="50"/>
    </row>
    <row r="929" ht="15.75" customHeight="1">
      <c r="O929" s="50"/>
    </row>
    <row r="930" ht="15.75" customHeight="1">
      <c r="O930" s="50"/>
    </row>
    <row r="931" ht="15.75" customHeight="1">
      <c r="O931" s="50"/>
    </row>
    <row r="932" ht="15.75" customHeight="1">
      <c r="O932" s="50"/>
    </row>
    <row r="933" ht="15.75" customHeight="1">
      <c r="O933" s="50"/>
    </row>
    <row r="934" ht="15.75" customHeight="1">
      <c r="O934" s="50"/>
    </row>
    <row r="935" ht="15.75" customHeight="1">
      <c r="O935" s="50"/>
    </row>
    <row r="936" ht="15.75" customHeight="1">
      <c r="O936" s="50"/>
    </row>
    <row r="937" ht="15.75" customHeight="1">
      <c r="O937" s="50"/>
    </row>
    <row r="938" ht="15.75" customHeight="1">
      <c r="O938" s="50"/>
    </row>
    <row r="939" ht="15.75" customHeight="1">
      <c r="O939" s="50"/>
    </row>
    <row r="940" ht="15.75" customHeight="1">
      <c r="O940" s="50"/>
    </row>
    <row r="941" ht="15.75" customHeight="1">
      <c r="O941" s="50"/>
    </row>
    <row r="942" ht="15.75" customHeight="1">
      <c r="O942" s="50"/>
    </row>
    <row r="943" ht="15.75" customHeight="1">
      <c r="O943" s="50"/>
    </row>
    <row r="944" ht="15.75" customHeight="1">
      <c r="O944" s="50"/>
    </row>
    <row r="945" ht="15.75" customHeight="1">
      <c r="O945" s="50"/>
    </row>
    <row r="946" ht="15.75" customHeight="1">
      <c r="O946" s="50"/>
    </row>
    <row r="947" ht="15.75" customHeight="1">
      <c r="O947" s="50"/>
    </row>
    <row r="948" ht="15.75" customHeight="1">
      <c r="O948" s="50"/>
    </row>
    <row r="949" ht="15.75" customHeight="1">
      <c r="O949" s="50"/>
    </row>
    <row r="950" ht="15.75" customHeight="1">
      <c r="O950" s="50"/>
    </row>
    <row r="951" ht="15.75" customHeight="1">
      <c r="O951" s="50"/>
    </row>
    <row r="952" ht="15.75" customHeight="1">
      <c r="O952" s="50"/>
    </row>
    <row r="953" ht="15.75" customHeight="1">
      <c r="O953" s="50"/>
    </row>
    <row r="954" ht="15.75" customHeight="1">
      <c r="O954" s="50"/>
    </row>
    <row r="955" ht="15.75" customHeight="1">
      <c r="O955" s="50"/>
    </row>
    <row r="956" ht="15.75" customHeight="1">
      <c r="O956" s="50"/>
    </row>
    <row r="957" ht="15.75" customHeight="1">
      <c r="O957" s="50"/>
    </row>
    <row r="958" ht="15.75" customHeight="1">
      <c r="O958" s="50"/>
    </row>
    <row r="959" ht="15.75" customHeight="1">
      <c r="O959" s="50"/>
    </row>
    <row r="960" ht="15.75" customHeight="1">
      <c r="O960" s="50"/>
    </row>
    <row r="961" ht="15.75" customHeight="1">
      <c r="O961" s="50"/>
    </row>
    <row r="962" ht="15.75" customHeight="1">
      <c r="O962" s="50"/>
    </row>
    <row r="963" ht="15.75" customHeight="1">
      <c r="O963" s="50"/>
    </row>
    <row r="964" ht="15.75" customHeight="1">
      <c r="O964" s="50"/>
    </row>
    <row r="965" ht="15.75" customHeight="1">
      <c r="O965" s="50"/>
    </row>
    <row r="966" ht="15.75" customHeight="1">
      <c r="O966" s="50"/>
    </row>
    <row r="967" ht="15.75" customHeight="1">
      <c r="O967" s="50"/>
    </row>
    <row r="968" ht="15.75" customHeight="1">
      <c r="O968" s="50"/>
    </row>
    <row r="969" ht="15.75" customHeight="1">
      <c r="O969" s="50"/>
    </row>
    <row r="970" ht="15.75" customHeight="1">
      <c r="O970" s="50"/>
    </row>
    <row r="971" ht="15.75" customHeight="1">
      <c r="O971" s="50"/>
    </row>
    <row r="972" ht="15.75" customHeight="1">
      <c r="O972" s="50"/>
    </row>
    <row r="973" ht="15.75" customHeight="1">
      <c r="O973" s="50"/>
    </row>
    <row r="974" ht="15.75" customHeight="1">
      <c r="O974" s="50"/>
    </row>
    <row r="975" ht="15.75" customHeight="1">
      <c r="O975" s="50"/>
    </row>
    <row r="976" ht="15.75" customHeight="1">
      <c r="O976" s="50"/>
    </row>
    <row r="977" ht="15.75" customHeight="1">
      <c r="O977" s="50"/>
    </row>
    <row r="978" ht="15.75" customHeight="1">
      <c r="O978" s="50"/>
    </row>
    <row r="979" ht="15.75" customHeight="1">
      <c r="O979" s="50"/>
    </row>
    <row r="980" ht="15.75" customHeight="1">
      <c r="O980" s="50"/>
    </row>
    <row r="981" ht="15.75" customHeight="1">
      <c r="O981" s="50"/>
    </row>
    <row r="982" ht="15.75" customHeight="1">
      <c r="O982" s="50"/>
    </row>
    <row r="983" ht="15.75" customHeight="1">
      <c r="O983" s="50"/>
    </row>
    <row r="984" ht="15.75" customHeight="1">
      <c r="O984" s="50"/>
    </row>
    <row r="985" ht="15.75" customHeight="1">
      <c r="O985" s="50"/>
    </row>
    <row r="986" ht="15.75" customHeight="1">
      <c r="O986" s="50"/>
    </row>
    <row r="987" ht="15.75" customHeight="1">
      <c r="O987" s="50"/>
    </row>
    <row r="988" ht="15.75" customHeight="1">
      <c r="O988" s="50"/>
    </row>
    <row r="989" ht="15.75" customHeight="1">
      <c r="O989" s="50"/>
    </row>
    <row r="990" ht="15.75" customHeight="1">
      <c r="O990" s="50"/>
    </row>
    <row r="991" ht="15.75" customHeight="1">
      <c r="O991" s="50"/>
    </row>
    <row r="992" ht="15.75" customHeight="1">
      <c r="O992" s="50"/>
    </row>
    <row r="993" ht="15.75" customHeight="1">
      <c r="O993" s="50"/>
    </row>
    <row r="994" ht="15.75" customHeight="1">
      <c r="O994" s="50"/>
    </row>
    <row r="995" ht="15.75" customHeight="1">
      <c r="O995" s="50"/>
    </row>
    <row r="996" ht="15.75" customHeight="1">
      <c r="O996" s="50"/>
    </row>
    <row r="997" ht="15.75" customHeight="1">
      <c r="O997" s="50"/>
    </row>
    <row r="998" ht="15.75" customHeight="1">
      <c r="O998" s="50"/>
    </row>
    <row r="999" ht="15.75" customHeight="1">
      <c r="O999" s="50"/>
    </row>
    <row r="1000" ht="15.75" customHeight="1">
      <c r="O1000" s="50"/>
    </row>
  </sheetData>
  <autoFilter ref="$A$1:$W$144">
    <sortState ref="A1:W144">
      <sortCondition descending="1" ref="B1:B144"/>
      <sortCondition ref="A1:A144"/>
      <sortCondition ref="G1:G144"/>
    </sortState>
  </autoFilter>
  <hyperlinks>
    <hyperlink r:id="rId1" ref="P7"/>
    <hyperlink r:id="rId2" ref="P26"/>
    <hyperlink r:id="rId3" ref="P59"/>
    <hyperlink r:id="rId4" ref="P96"/>
    <hyperlink r:id="rId5" ref="P131"/>
    <hyperlink r:id="rId6" ref="P133"/>
    <hyperlink r:id="rId7" ref="P138"/>
  </hyperlinks>
  <printOptions/>
  <pageMargins bottom="0.75" footer="0.0" header="0.0" left="0.7" right="0.7" top="0.75"/>
  <pageSetup orientation="landscape"/>
  <drawing r:id="rId8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50.88"/>
    <col customWidth="1" min="2" max="2" width="23.25"/>
    <col customWidth="1" min="4" max="4" width="13.63"/>
  </cols>
  <sheetData>
    <row r="1">
      <c r="D1" s="42" t="s">
        <v>2762</v>
      </c>
      <c r="E1" s="30" t="str">
        <f t="shared" ref="E1:E16" si="1">SUBSTITUTE(D1,"."," ")</f>
        <v>Dhaka-1229</v>
      </c>
      <c r="F1" s="30" t="str">
        <f t="shared" ref="F1:F142" si="2">Trim(D1)</f>
        <v>Dhaka-1229</v>
      </c>
    </row>
    <row r="2">
      <c r="D2" s="42" t="s">
        <v>2341</v>
      </c>
      <c r="E2" s="30" t="str">
        <f t="shared" si="1"/>
        <v>Dhaka 1230</v>
      </c>
      <c r="F2" s="30" t="str">
        <f t="shared" si="2"/>
        <v>Dhaka 1230</v>
      </c>
      <c r="H2" s="29"/>
    </row>
    <row r="3">
      <c r="D3" s="44" t="s">
        <v>2796</v>
      </c>
      <c r="E3" s="30" t="str">
        <f t="shared" si="1"/>
        <v>Dhaka-1207</v>
      </c>
      <c r="F3" s="30" t="str">
        <f t="shared" si="2"/>
        <v>Dhaka-1207</v>
      </c>
    </row>
    <row r="4">
      <c r="D4" s="42" t="s">
        <v>2859</v>
      </c>
      <c r="E4" s="30" t="str">
        <f t="shared" si="1"/>
        <v>Dhaka 1206 </v>
      </c>
      <c r="F4" s="30" t="str">
        <f t="shared" si="2"/>
        <v>Dhaka 1206.</v>
      </c>
    </row>
    <row r="5">
      <c r="D5" s="42" t="s">
        <v>2175</v>
      </c>
      <c r="E5" s="30" t="str">
        <f t="shared" si="1"/>
        <v>Dhaka-1209</v>
      </c>
      <c r="F5" s="30" t="str">
        <f t="shared" si="2"/>
        <v>Dhaka-1209</v>
      </c>
    </row>
    <row r="6">
      <c r="D6" s="42" t="s">
        <v>2175</v>
      </c>
      <c r="E6" s="30" t="str">
        <f t="shared" si="1"/>
        <v>Dhaka-1209</v>
      </c>
      <c r="F6" s="30" t="str">
        <f t="shared" si="2"/>
        <v>Dhaka-1209</v>
      </c>
    </row>
    <row r="7">
      <c r="D7" s="42" t="s">
        <v>2344</v>
      </c>
      <c r="E7" s="30" t="str">
        <f t="shared" si="1"/>
        <v>Dhaka-1205</v>
      </c>
      <c r="F7" s="30" t="str">
        <f t="shared" si="2"/>
        <v>Dhaka-1205</v>
      </c>
    </row>
    <row r="8">
      <c r="D8" s="44" t="s">
        <v>2403</v>
      </c>
      <c r="E8" s="30" t="str">
        <f t="shared" si="1"/>
        <v>Dhaka-1213</v>
      </c>
      <c r="F8" s="30" t="str">
        <f t="shared" si="2"/>
        <v>Dhaka-1213</v>
      </c>
    </row>
    <row r="9">
      <c r="D9" s="42" t="s">
        <v>2796</v>
      </c>
      <c r="E9" s="30" t="str">
        <f t="shared" si="1"/>
        <v>Dhaka-1207</v>
      </c>
      <c r="F9" s="30" t="str">
        <f t="shared" si="2"/>
        <v>Dhaka-1207</v>
      </c>
    </row>
    <row r="10">
      <c r="D10" s="44" t="s">
        <v>2796</v>
      </c>
      <c r="E10" s="30" t="str">
        <f t="shared" si="1"/>
        <v>Dhaka-1207</v>
      </c>
      <c r="F10" s="30" t="str">
        <f t="shared" si="2"/>
        <v>Dhaka-1207</v>
      </c>
    </row>
    <row r="11">
      <c r="D11" s="42" t="s">
        <v>2387</v>
      </c>
      <c r="E11" s="30" t="str">
        <f t="shared" si="1"/>
        <v>Dhaka-1212</v>
      </c>
      <c r="F11" s="30" t="str">
        <f t="shared" si="2"/>
        <v>Dhaka-1212</v>
      </c>
    </row>
    <row r="12">
      <c r="D12" s="42" t="s">
        <v>2796</v>
      </c>
      <c r="E12" s="30" t="str">
        <f t="shared" si="1"/>
        <v>Dhaka-1207</v>
      </c>
      <c r="F12" s="30" t="str">
        <f t="shared" si="2"/>
        <v>Dhaka-1207</v>
      </c>
    </row>
    <row r="13">
      <c r="D13" s="42" t="s">
        <v>2344</v>
      </c>
      <c r="E13" s="30" t="str">
        <f t="shared" si="1"/>
        <v>Dhaka-1205</v>
      </c>
      <c r="F13" s="30" t="str">
        <f t="shared" si="2"/>
        <v>Dhaka-1205</v>
      </c>
    </row>
    <row r="14">
      <c r="D14" s="42" t="s">
        <v>2399</v>
      </c>
      <c r="E14" s="30" t="str">
        <f t="shared" si="1"/>
        <v>Dhaka-1206</v>
      </c>
      <c r="F14" s="30" t="str">
        <f t="shared" si="2"/>
        <v>Dhaka-1206</v>
      </c>
    </row>
    <row r="15">
      <c r="D15" s="44" t="s">
        <v>2451</v>
      </c>
      <c r="E15" s="30" t="str">
        <f t="shared" si="1"/>
        <v>Chittagong-4000</v>
      </c>
      <c r="F15" s="30" t="str">
        <f t="shared" si="2"/>
        <v>Chittagong-4000</v>
      </c>
    </row>
    <row r="16">
      <c r="D16" s="42" t="s">
        <v>2861</v>
      </c>
      <c r="E16" s="30" t="str">
        <f t="shared" si="1"/>
        <v>Dhaka 1230 </v>
      </c>
      <c r="F16" s="30" t="str">
        <f t="shared" si="2"/>
        <v>Dhaka 1230.</v>
      </c>
    </row>
    <row r="17">
      <c r="D17" s="42" t="s">
        <v>2202</v>
      </c>
      <c r="E17" s="25" t="s">
        <v>2862</v>
      </c>
      <c r="F17" s="30" t="str">
        <f t="shared" si="2"/>
        <v/>
      </c>
    </row>
    <row r="18">
      <c r="D18" s="42" t="s">
        <v>2387</v>
      </c>
      <c r="E18" s="30" t="str">
        <f t="shared" ref="E18:E142" si="3">SUBSTITUTE(D18,"."," ")</f>
        <v>Dhaka-1212</v>
      </c>
      <c r="F18" s="30" t="str">
        <f t="shared" si="2"/>
        <v>Dhaka-1212</v>
      </c>
    </row>
    <row r="19">
      <c r="D19" s="42" t="s">
        <v>2387</v>
      </c>
      <c r="E19" s="30" t="str">
        <f t="shared" si="3"/>
        <v>Dhaka-1212</v>
      </c>
      <c r="F19" s="30" t="str">
        <f t="shared" si="2"/>
        <v>Dhaka-1212</v>
      </c>
    </row>
    <row r="20">
      <c r="D20" s="44" t="s">
        <v>2796</v>
      </c>
      <c r="E20" s="30" t="str">
        <f t="shared" si="3"/>
        <v>Dhaka-1207</v>
      </c>
      <c r="F20" s="30" t="str">
        <f t="shared" si="2"/>
        <v>Dhaka-1207</v>
      </c>
    </row>
    <row r="21">
      <c r="D21" s="42" t="s">
        <v>2344</v>
      </c>
      <c r="E21" s="30" t="str">
        <f t="shared" si="3"/>
        <v>Dhaka-1205</v>
      </c>
      <c r="F21" s="30" t="str">
        <f t="shared" si="2"/>
        <v>Dhaka-1205</v>
      </c>
    </row>
    <row r="22">
      <c r="D22" s="42" t="s">
        <v>2403</v>
      </c>
      <c r="E22" s="30" t="str">
        <f t="shared" si="3"/>
        <v>Dhaka-1213</v>
      </c>
      <c r="F22" s="30" t="str">
        <f t="shared" si="2"/>
        <v>Dhaka-1213</v>
      </c>
    </row>
    <row r="23">
      <c r="D23" s="40" t="s">
        <v>2175</v>
      </c>
      <c r="E23" s="30" t="str">
        <f t="shared" si="3"/>
        <v>Dhaka-1209</v>
      </c>
      <c r="F23" s="30" t="str">
        <f t="shared" si="2"/>
        <v>Dhaka-1209</v>
      </c>
    </row>
    <row r="24">
      <c r="D24" s="42" t="s">
        <v>2863</v>
      </c>
      <c r="E24" s="30" t="str">
        <f t="shared" si="3"/>
        <v>Dhaka 1212 </v>
      </c>
      <c r="F24" s="30" t="str">
        <f t="shared" si="2"/>
        <v>Dhaka 1212.</v>
      </c>
    </row>
    <row r="25">
      <c r="D25" s="42" t="s">
        <v>2864</v>
      </c>
      <c r="E25" s="30" t="str">
        <f t="shared" si="3"/>
        <v>Dhaka 1209</v>
      </c>
      <c r="F25" s="30" t="str">
        <f t="shared" si="2"/>
        <v>Dhaka 1209</v>
      </c>
    </row>
    <row r="26">
      <c r="D26" s="42" t="s">
        <v>2864</v>
      </c>
      <c r="E26" s="30" t="str">
        <f t="shared" si="3"/>
        <v>Dhaka 1209</v>
      </c>
      <c r="F26" s="30" t="str">
        <f t="shared" si="2"/>
        <v>Dhaka 1209</v>
      </c>
    </row>
    <row r="27">
      <c r="D27" s="42" t="s">
        <v>2865</v>
      </c>
      <c r="E27" s="30" t="str">
        <f t="shared" si="3"/>
        <v>Dhaka 1206</v>
      </c>
      <c r="F27" s="30" t="str">
        <f t="shared" si="2"/>
        <v>Dhaka 1206</v>
      </c>
    </row>
    <row r="28">
      <c r="D28" s="44" t="s">
        <v>2724</v>
      </c>
      <c r="E28" s="30" t="str">
        <f t="shared" si="3"/>
        <v>Dhaka-1216</v>
      </c>
      <c r="F28" s="30" t="str">
        <f t="shared" si="2"/>
        <v>Dhaka-1216</v>
      </c>
    </row>
    <row r="29">
      <c r="D29" s="42" t="s">
        <v>2344</v>
      </c>
      <c r="E29" s="30" t="str">
        <f t="shared" si="3"/>
        <v>Dhaka-1205</v>
      </c>
      <c r="F29" s="30" t="str">
        <f t="shared" si="2"/>
        <v>Dhaka-1205</v>
      </c>
    </row>
    <row r="30">
      <c r="D30" s="42" t="s">
        <v>2762</v>
      </c>
      <c r="E30" s="30" t="str">
        <f t="shared" si="3"/>
        <v>Dhaka-1229</v>
      </c>
      <c r="F30" s="30" t="str">
        <f t="shared" si="2"/>
        <v>Dhaka-1229</v>
      </c>
    </row>
    <row r="31">
      <c r="D31" s="42" t="s">
        <v>2724</v>
      </c>
      <c r="E31" s="30" t="str">
        <f t="shared" si="3"/>
        <v>Dhaka-1216</v>
      </c>
      <c r="F31" s="30" t="str">
        <f t="shared" si="2"/>
        <v>Dhaka-1216</v>
      </c>
    </row>
    <row r="32">
      <c r="D32" s="42" t="s">
        <v>2175</v>
      </c>
      <c r="E32" s="30" t="str">
        <f t="shared" si="3"/>
        <v>Dhaka-1209</v>
      </c>
      <c r="F32" s="30" t="str">
        <f t="shared" si="2"/>
        <v>Dhaka-1209</v>
      </c>
    </row>
    <row r="33">
      <c r="D33" s="44" t="s">
        <v>2752</v>
      </c>
      <c r="E33" s="30" t="str">
        <f t="shared" si="3"/>
        <v>Dhaka-1219</v>
      </c>
      <c r="F33" s="30" t="str">
        <f t="shared" si="2"/>
        <v>Dhaka-1219</v>
      </c>
    </row>
    <row r="34">
      <c r="D34" s="42" t="s">
        <v>2387</v>
      </c>
      <c r="E34" s="30" t="str">
        <f t="shared" si="3"/>
        <v>Dhaka-1212</v>
      </c>
      <c r="F34" s="30" t="str">
        <f t="shared" si="2"/>
        <v>Dhaka-1212</v>
      </c>
    </row>
    <row r="35">
      <c r="D35" s="42" t="s">
        <v>2724</v>
      </c>
      <c r="E35" s="30" t="str">
        <f t="shared" si="3"/>
        <v>Dhaka-1216</v>
      </c>
      <c r="F35" s="30" t="str">
        <f t="shared" si="2"/>
        <v>Dhaka-1216</v>
      </c>
    </row>
    <row r="36">
      <c r="D36" s="42" t="s">
        <v>2724</v>
      </c>
      <c r="E36" s="30" t="str">
        <f t="shared" si="3"/>
        <v>Dhaka-1216</v>
      </c>
      <c r="F36" s="30" t="str">
        <f t="shared" si="2"/>
        <v>Dhaka-1216</v>
      </c>
    </row>
    <row r="37">
      <c r="D37" s="42" t="s">
        <v>2529</v>
      </c>
      <c r="E37" s="30" t="str">
        <f t="shared" si="3"/>
        <v>Dhaka‐1000</v>
      </c>
      <c r="F37" s="30" t="str">
        <f t="shared" si="2"/>
        <v>Dhaka‐1000</v>
      </c>
    </row>
    <row r="38">
      <c r="D38" s="42" t="s">
        <v>2416</v>
      </c>
      <c r="E38" s="30" t="str">
        <f t="shared" si="3"/>
        <v>Dhaka‐1230</v>
      </c>
      <c r="F38" s="30" t="str">
        <f t="shared" si="2"/>
        <v>Dhaka‐1230</v>
      </c>
    </row>
    <row r="39">
      <c r="D39" s="42" t="s">
        <v>2424</v>
      </c>
      <c r="E39" s="30" t="str">
        <f t="shared" si="3"/>
        <v>Dhaka‐1206</v>
      </c>
      <c r="F39" s="30" t="str">
        <f t="shared" si="2"/>
        <v>Dhaka‐1206</v>
      </c>
    </row>
    <row r="40">
      <c r="D40" s="42" t="s">
        <v>2866</v>
      </c>
      <c r="E40" s="30" t="str">
        <f t="shared" si="3"/>
        <v>Dkaka‐1213</v>
      </c>
      <c r="F40" s="30" t="str">
        <f t="shared" si="2"/>
        <v>Dkaka‐1213</v>
      </c>
    </row>
    <row r="41">
      <c r="D41" s="42" t="s">
        <v>2476</v>
      </c>
      <c r="E41" s="30" t="str">
        <f t="shared" si="3"/>
        <v>Dhaka‐1207</v>
      </c>
      <c r="F41" s="30" t="str">
        <f t="shared" si="2"/>
        <v>Dhaka‐1207</v>
      </c>
    </row>
    <row r="42">
      <c r="D42" s="44" t="s">
        <v>2724</v>
      </c>
      <c r="E42" s="30" t="str">
        <f t="shared" si="3"/>
        <v>Dhaka-1216</v>
      </c>
      <c r="F42" s="30" t="str">
        <f t="shared" si="2"/>
        <v>Dhaka-1216</v>
      </c>
    </row>
    <row r="43">
      <c r="D43" s="42" t="s">
        <v>2412</v>
      </c>
      <c r="E43" s="30" t="str">
        <f t="shared" si="3"/>
        <v>Dhaka‐1205</v>
      </c>
      <c r="F43" s="30" t="str">
        <f t="shared" si="2"/>
        <v>Dhaka‐1205</v>
      </c>
    </row>
    <row r="44">
      <c r="D44" s="42" t="s">
        <v>2407</v>
      </c>
      <c r="E44" s="30" t="str">
        <f t="shared" si="3"/>
        <v>Dhaka‐1212</v>
      </c>
      <c r="F44" s="30" t="str">
        <f t="shared" si="2"/>
        <v>Dhaka‐1212</v>
      </c>
    </row>
    <row r="45">
      <c r="D45" s="42" t="s">
        <v>2407</v>
      </c>
      <c r="E45" s="30" t="str">
        <f t="shared" si="3"/>
        <v>Dhaka‐1212</v>
      </c>
      <c r="F45" s="30" t="str">
        <f t="shared" si="2"/>
        <v>Dhaka‐1212</v>
      </c>
    </row>
    <row r="46">
      <c r="D46" s="42" t="s">
        <v>2431</v>
      </c>
      <c r="E46" s="30" t="str">
        <f t="shared" si="3"/>
        <v>Dhaka‐1213</v>
      </c>
      <c r="F46" s="30" t="str">
        <f t="shared" si="2"/>
        <v>Dhaka‐1213</v>
      </c>
    </row>
    <row r="47">
      <c r="D47" s="42" t="s">
        <v>2476</v>
      </c>
      <c r="E47" s="30" t="str">
        <f t="shared" si="3"/>
        <v>Dhaka‐1207</v>
      </c>
      <c r="F47" s="30" t="str">
        <f t="shared" si="2"/>
        <v>Dhaka‐1207</v>
      </c>
    </row>
    <row r="48">
      <c r="D48" s="42" t="s">
        <v>2391</v>
      </c>
      <c r="E48" s="30" t="str">
        <f t="shared" si="3"/>
        <v>Dhaka‐1215</v>
      </c>
      <c r="F48" s="30" t="str">
        <f t="shared" si="2"/>
        <v>Dhaka‐1215</v>
      </c>
    </row>
    <row r="49">
      <c r="D49" s="44" t="s">
        <v>2504</v>
      </c>
      <c r="E49" s="30" t="str">
        <f t="shared" si="3"/>
        <v>Dhaka-1230</v>
      </c>
      <c r="F49" s="30" t="str">
        <f t="shared" si="2"/>
        <v>Dhaka-1230</v>
      </c>
    </row>
    <row r="50">
      <c r="D50" s="42" t="s">
        <v>2407</v>
      </c>
      <c r="E50" s="30" t="str">
        <f t="shared" si="3"/>
        <v>Dhaka‐1212</v>
      </c>
      <c r="F50" s="30" t="str">
        <f t="shared" si="2"/>
        <v>Dhaka‐1212</v>
      </c>
    </row>
    <row r="51">
      <c r="D51" s="42" t="s">
        <v>2267</v>
      </c>
      <c r="E51" s="30" t="str">
        <f t="shared" si="3"/>
        <v>Dhaka 1213</v>
      </c>
      <c r="F51" s="30" t="str">
        <f t="shared" si="2"/>
        <v>Dhaka 1213</v>
      </c>
    </row>
    <row r="52">
      <c r="D52" s="44" t="s">
        <v>2344</v>
      </c>
      <c r="E52" s="30" t="str">
        <f t="shared" si="3"/>
        <v>Dhaka-1205</v>
      </c>
      <c r="F52" s="30" t="str">
        <f t="shared" si="2"/>
        <v>Dhaka-1205</v>
      </c>
    </row>
    <row r="53">
      <c r="D53" s="42" t="s">
        <v>2306</v>
      </c>
      <c r="E53" s="30" t="str">
        <f t="shared" si="3"/>
        <v>Dhaka‐1209</v>
      </c>
      <c r="F53" s="30" t="str">
        <f t="shared" si="2"/>
        <v>Dhaka‐1209</v>
      </c>
    </row>
    <row r="54">
      <c r="D54" s="42" t="s">
        <v>2867</v>
      </c>
      <c r="E54" s="30" t="str">
        <f t="shared" si="3"/>
        <v>Dhaka‐1207 </v>
      </c>
      <c r="F54" s="30" t="str">
        <f t="shared" si="2"/>
        <v>Dhaka‐1207.</v>
      </c>
    </row>
    <row r="55">
      <c r="D55" s="42" t="s">
        <v>2476</v>
      </c>
      <c r="E55" s="30" t="str">
        <f t="shared" si="3"/>
        <v>Dhaka‐1207</v>
      </c>
      <c r="F55" s="30" t="str">
        <f t="shared" si="2"/>
        <v>Dhaka‐1207</v>
      </c>
    </row>
    <row r="56">
      <c r="D56" s="42" t="s">
        <v>2306</v>
      </c>
      <c r="E56" s="30" t="str">
        <f t="shared" si="3"/>
        <v>Dhaka‐1209</v>
      </c>
      <c r="F56" s="30" t="str">
        <f t="shared" si="2"/>
        <v>Dhaka‐1209</v>
      </c>
    </row>
    <row r="57">
      <c r="D57" s="42" t="s">
        <v>2868</v>
      </c>
      <c r="E57" s="30" t="str">
        <f t="shared" si="3"/>
        <v>Dhaka‐1209 </v>
      </c>
      <c r="F57" s="30" t="str">
        <f t="shared" si="2"/>
        <v>Dhaka‐1209.</v>
      </c>
    </row>
    <row r="58">
      <c r="D58" s="42" t="s">
        <v>2869</v>
      </c>
      <c r="E58" s="30" t="str">
        <f t="shared" si="3"/>
        <v>Dhaka ‐1206</v>
      </c>
      <c r="F58" s="30" t="str">
        <f t="shared" si="2"/>
        <v>Dhaka ‐1206</v>
      </c>
    </row>
    <row r="59">
      <c r="D59" s="42" t="s">
        <v>2424</v>
      </c>
      <c r="E59" s="30" t="str">
        <f t="shared" si="3"/>
        <v>Dhaka‐1206</v>
      </c>
      <c r="F59" s="30" t="str">
        <f t="shared" si="2"/>
        <v>Dhaka‐1206</v>
      </c>
    </row>
    <row r="60">
      <c r="D60" s="42" t="s">
        <v>2412</v>
      </c>
      <c r="E60" s="30" t="str">
        <f t="shared" si="3"/>
        <v>Dhaka‐1205</v>
      </c>
      <c r="F60" s="30" t="str">
        <f t="shared" si="2"/>
        <v>Dhaka‐1205</v>
      </c>
    </row>
    <row r="61">
      <c r="D61" s="42" t="s">
        <v>2391</v>
      </c>
      <c r="E61" s="30" t="str">
        <f t="shared" si="3"/>
        <v>Dhaka‐1215</v>
      </c>
      <c r="F61" s="30" t="str">
        <f t="shared" si="2"/>
        <v>Dhaka‐1215</v>
      </c>
    </row>
    <row r="62">
      <c r="D62" s="42" t="s">
        <v>2407</v>
      </c>
      <c r="E62" s="30" t="str">
        <f t="shared" si="3"/>
        <v>Dhaka‐1212</v>
      </c>
      <c r="F62" s="30" t="str">
        <f t="shared" si="2"/>
        <v>Dhaka‐1212</v>
      </c>
    </row>
    <row r="63">
      <c r="D63" s="42" t="s">
        <v>2476</v>
      </c>
      <c r="E63" s="30" t="str">
        <f t="shared" si="3"/>
        <v>Dhaka‐1207</v>
      </c>
      <c r="F63" s="30" t="str">
        <f t="shared" si="2"/>
        <v>Dhaka‐1207</v>
      </c>
    </row>
    <row r="64">
      <c r="D64" s="42" t="s">
        <v>2416</v>
      </c>
      <c r="E64" s="30" t="str">
        <f t="shared" si="3"/>
        <v>Dhaka‐1230</v>
      </c>
      <c r="F64" s="30" t="str">
        <f t="shared" si="2"/>
        <v>Dhaka‐1230</v>
      </c>
    </row>
    <row r="65">
      <c r="D65" s="42" t="s">
        <v>2416</v>
      </c>
      <c r="E65" s="30" t="str">
        <f t="shared" si="3"/>
        <v>Dhaka‐1230</v>
      </c>
      <c r="F65" s="30" t="str">
        <f t="shared" si="2"/>
        <v>Dhaka‐1230</v>
      </c>
    </row>
    <row r="66">
      <c r="D66" s="44" t="s">
        <v>2451</v>
      </c>
      <c r="E66" s="30" t="str">
        <f t="shared" si="3"/>
        <v>Chittagong-4000</v>
      </c>
      <c r="F66" s="30" t="str">
        <f t="shared" si="2"/>
        <v>Chittagong-4000</v>
      </c>
    </row>
    <row r="67">
      <c r="D67" s="42" t="s">
        <v>2306</v>
      </c>
      <c r="E67" s="30" t="str">
        <f t="shared" si="3"/>
        <v>Dhaka‐1209</v>
      </c>
      <c r="F67" s="30" t="str">
        <f t="shared" si="2"/>
        <v>Dhaka‐1209</v>
      </c>
    </row>
    <row r="68">
      <c r="D68" s="42" t="s">
        <v>2641</v>
      </c>
      <c r="E68" s="30" t="str">
        <f t="shared" si="3"/>
        <v>Gazipur‐1700</v>
      </c>
      <c r="F68" s="30" t="str">
        <f t="shared" si="2"/>
        <v>Gazipur‐1700</v>
      </c>
    </row>
    <row r="69">
      <c r="D69" s="42" t="s">
        <v>2865</v>
      </c>
      <c r="E69" s="30" t="str">
        <f t="shared" si="3"/>
        <v>Dhaka 1206</v>
      </c>
      <c r="F69" s="30" t="str">
        <f t="shared" si="2"/>
        <v>Dhaka 1206</v>
      </c>
    </row>
    <row r="70">
      <c r="D70" s="44" t="s">
        <v>2407</v>
      </c>
      <c r="E70" s="30" t="str">
        <f t="shared" si="3"/>
        <v>Dhaka‐1212</v>
      </c>
      <c r="F70" s="30" t="str">
        <f t="shared" si="2"/>
        <v>Dhaka‐1212</v>
      </c>
    </row>
    <row r="71">
      <c r="D71" s="42" t="s">
        <v>2306</v>
      </c>
      <c r="E71" s="30" t="str">
        <f t="shared" si="3"/>
        <v>Dhaka‐1209</v>
      </c>
      <c r="F71" s="30" t="str">
        <f t="shared" si="2"/>
        <v>Dhaka‐1209</v>
      </c>
    </row>
    <row r="72">
      <c r="D72" s="42" t="s">
        <v>2476</v>
      </c>
      <c r="E72" s="30" t="str">
        <f t="shared" si="3"/>
        <v>Dhaka‐1207</v>
      </c>
      <c r="F72" s="30" t="str">
        <f t="shared" si="2"/>
        <v>Dhaka‐1207</v>
      </c>
    </row>
    <row r="73">
      <c r="D73" s="42" t="s">
        <v>2865</v>
      </c>
      <c r="E73" s="30" t="str">
        <f t="shared" si="3"/>
        <v>Dhaka 1206</v>
      </c>
      <c r="F73" s="30" t="str">
        <f t="shared" si="2"/>
        <v>Dhaka 1206</v>
      </c>
    </row>
    <row r="74">
      <c r="D74" s="42" t="s">
        <v>2412</v>
      </c>
      <c r="E74" s="30" t="str">
        <f t="shared" si="3"/>
        <v>Dhaka‐1205</v>
      </c>
      <c r="F74" s="30" t="str">
        <f t="shared" si="2"/>
        <v>Dhaka‐1205</v>
      </c>
    </row>
    <row r="75">
      <c r="D75" s="42" t="s">
        <v>2424</v>
      </c>
      <c r="E75" s="30" t="str">
        <f t="shared" si="3"/>
        <v>Dhaka‐1206</v>
      </c>
      <c r="F75" s="30" t="str">
        <f t="shared" si="2"/>
        <v>Dhaka‐1206</v>
      </c>
    </row>
    <row r="76">
      <c r="D76" s="42" t="s">
        <v>2476</v>
      </c>
      <c r="E76" s="30" t="str">
        <f t="shared" si="3"/>
        <v>Dhaka‐1207</v>
      </c>
      <c r="F76" s="30" t="str">
        <f t="shared" si="2"/>
        <v>Dhaka‐1207</v>
      </c>
    </row>
    <row r="77">
      <c r="D77" s="42" t="s">
        <v>2306</v>
      </c>
      <c r="E77" s="30" t="str">
        <f t="shared" si="3"/>
        <v>Dhaka‐1209</v>
      </c>
      <c r="F77" s="30" t="str">
        <f t="shared" si="2"/>
        <v>Dhaka‐1209</v>
      </c>
    </row>
    <row r="78">
      <c r="D78" s="42" t="s">
        <v>2609</v>
      </c>
      <c r="E78" s="30" t="str">
        <f t="shared" si="3"/>
        <v>Dhaka‐1216</v>
      </c>
      <c r="F78" s="30" t="str">
        <f t="shared" si="2"/>
        <v>Dhaka‐1216</v>
      </c>
    </row>
    <row r="79">
      <c r="D79" s="42" t="s">
        <v>2407</v>
      </c>
      <c r="E79" s="30" t="str">
        <f t="shared" si="3"/>
        <v>Dhaka‐1212</v>
      </c>
      <c r="F79" s="30" t="str">
        <f t="shared" si="2"/>
        <v>Dhaka‐1212</v>
      </c>
    </row>
    <row r="80">
      <c r="D80" s="44" t="s">
        <v>2399</v>
      </c>
      <c r="E80" s="30" t="str">
        <f t="shared" si="3"/>
        <v>Dhaka-1206</v>
      </c>
      <c r="F80" s="30" t="str">
        <f t="shared" si="2"/>
        <v>Dhaka-1206</v>
      </c>
    </row>
    <row r="81">
      <c r="D81" s="42" t="s">
        <v>2424</v>
      </c>
      <c r="E81" s="30" t="str">
        <f t="shared" si="3"/>
        <v>Dhaka‐1206</v>
      </c>
      <c r="F81" s="30" t="str">
        <f t="shared" si="2"/>
        <v>Dhaka‐1206</v>
      </c>
    </row>
    <row r="82">
      <c r="D82" s="42" t="s">
        <v>2306</v>
      </c>
      <c r="E82" s="30" t="str">
        <f t="shared" si="3"/>
        <v>Dhaka‐1209</v>
      </c>
      <c r="F82" s="30" t="str">
        <f t="shared" si="2"/>
        <v>Dhaka‐1209</v>
      </c>
    </row>
    <row r="83">
      <c r="D83" s="42" t="s">
        <v>2306</v>
      </c>
      <c r="E83" s="30" t="str">
        <f t="shared" si="3"/>
        <v>Dhaka‐1209</v>
      </c>
      <c r="F83" s="30" t="str">
        <f t="shared" si="2"/>
        <v>Dhaka‐1209</v>
      </c>
    </row>
    <row r="84">
      <c r="D84" s="42" t="s">
        <v>2424</v>
      </c>
      <c r="E84" s="30" t="str">
        <f t="shared" si="3"/>
        <v>Dhaka‐1206</v>
      </c>
      <c r="F84" s="30" t="str">
        <f t="shared" si="2"/>
        <v>Dhaka‐1206</v>
      </c>
    </row>
    <row r="85">
      <c r="D85" s="44" t="s">
        <v>2403</v>
      </c>
      <c r="E85" s="30" t="str">
        <f t="shared" si="3"/>
        <v>Dhaka-1213</v>
      </c>
      <c r="F85" s="30" t="str">
        <f t="shared" si="2"/>
        <v>Dhaka-1213</v>
      </c>
    </row>
    <row r="86">
      <c r="D86" s="42" t="s">
        <v>2424</v>
      </c>
      <c r="E86" s="30" t="str">
        <f t="shared" si="3"/>
        <v>Dhaka‐1206</v>
      </c>
      <c r="F86" s="30" t="str">
        <f t="shared" si="2"/>
        <v>Dhaka‐1206</v>
      </c>
    </row>
    <row r="87">
      <c r="D87" s="42" t="s">
        <v>2412</v>
      </c>
      <c r="E87" s="30" t="str">
        <f t="shared" si="3"/>
        <v>Dhaka‐1205</v>
      </c>
      <c r="F87" s="30" t="str">
        <f t="shared" si="2"/>
        <v>Dhaka‐1205</v>
      </c>
    </row>
    <row r="88">
      <c r="D88" s="42" t="s">
        <v>2407</v>
      </c>
      <c r="E88" s="30" t="str">
        <f t="shared" si="3"/>
        <v>Dhaka‐1212</v>
      </c>
      <c r="F88" s="30" t="str">
        <f t="shared" si="2"/>
        <v>Dhaka‐1212</v>
      </c>
    </row>
    <row r="89">
      <c r="D89" s="42" t="s">
        <v>2431</v>
      </c>
      <c r="E89" s="30" t="str">
        <f t="shared" si="3"/>
        <v>Dhaka‐1213</v>
      </c>
      <c r="F89" s="30" t="str">
        <f t="shared" si="2"/>
        <v>Dhaka‐1213</v>
      </c>
    </row>
    <row r="90">
      <c r="D90" s="42" t="s">
        <v>2476</v>
      </c>
      <c r="E90" s="30" t="str">
        <f t="shared" si="3"/>
        <v>Dhaka‐1207</v>
      </c>
      <c r="F90" s="30" t="str">
        <f t="shared" si="2"/>
        <v>Dhaka‐1207</v>
      </c>
    </row>
    <row r="91">
      <c r="D91" s="42" t="s">
        <v>2870</v>
      </c>
      <c r="E91" s="30" t="str">
        <f t="shared" si="3"/>
        <v>Dhaka‐1213 </v>
      </c>
      <c r="F91" s="30" t="str">
        <f t="shared" si="2"/>
        <v>Dhaka‐1213.</v>
      </c>
    </row>
    <row r="92">
      <c r="D92" s="42" t="s">
        <v>2315</v>
      </c>
      <c r="E92" s="30" t="str">
        <f t="shared" si="3"/>
        <v>Dhaka 1205</v>
      </c>
      <c r="F92" s="30" t="str">
        <f t="shared" si="2"/>
        <v>Dhaka 1205</v>
      </c>
    </row>
    <row r="93">
      <c r="D93" s="42" t="s">
        <v>2412</v>
      </c>
      <c r="E93" s="30" t="str">
        <f t="shared" si="3"/>
        <v>Dhaka‐1205</v>
      </c>
      <c r="F93" s="30" t="str">
        <f t="shared" si="2"/>
        <v>Dhaka‐1205</v>
      </c>
    </row>
    <row r="94">
      <c r="D94" s="42" t="s">
        <v>2871</v>
      </c>
      <c r="E94" s="30" t="str">
        <f t="shared" si="3"/>
        <v>Dhaka 1213 </v>
      </c>
      <c r="F94" s="30" t="str">
        <f t="shared" si="2"/>
        <v>Dhaka 1213.</v>
      </c>
    </row>
    <row r="95">
      <c r="D95" s="42" t="s">
        <v>2867</v>
      </c>
      <c r="E95" s="30" t="str">
        <f t="shared" si="3"/>
        <v>Dhaka‐1207 </v>
      </c>
      <c r="F95" s="30" t="str">
        <f t="shared" si="2"/>
        <v>Dhaka‐1207.</v>
      </c>
    </row>
    <row r="96">
      <c r="D96" s="44" t="s">
        <v>2551</v>
      </c>
      <c r="E96" s="30" t="str">
        <f t="shared" si="3"/>
        <v>Chittagong-4100</v>
      </c>
      <c r="F96" s="30" t="str">
        <f t="shared" si="2"/>
        <v>Chittagong-4100</v>
      </c>
    </row>
    <row r="97">
      <c r="D97" s="42" t="s">
        <v>2424</v>
      </c>
      <c r="E97" s="30" t="str">
        <f t="shared" si="3"/>
        <v>Dhaka‐1206</v>
      </c>
      <c r="F97" s="30" t="str">
        <f t="shared" si="2"/>
        <v>Dhaka‐1206</v>
      </c>
    </row>
    <row r="98">
      <c r="D98" s="42" t="s">
        <v>2412</v>
      </c>
      <c r="E98" s="30" t="str">
        <f t="shared" si="3"/>
        <v>Dhaka‐1205</v>
      </c>
      <c r="F98" s="30" t="str">
        <f t="shared" si="2"/>
        <v>Dhaka‐1205</v>
      </c>
    </row>
    <row r="99">
      <c r="D99" s="42" t="s">
        <v>2412</v>
      </c>
      <c r="E99" s="30" t="str">
        <f t="shared" si="3"/>
        <v>Dhaka‐1205</v>
      </c>
      <c r="F99" s="30" t="str">
        <f t="shared" si="2"/>
        <v>Dhaka‐1205</v>
      </c>
    </row>
    <row r="100">
      <c r="D100" s="42" t="s">
        <v>2431</v>
      </c>
      <c r="E100" s="30" t="str">
        <f t="shared" si="3"/>
        <v>Dhaka‐1213</v>
      </c>
      <c r="F100" s="30" t="str">
        <f t="shared" si="2"/>
        <v>Dhaka‐1213</v>
      </c>
    </row>
    <row r="101">
      <c r="D101" s="42" t="s">
        <v>2407</v>
      </c>
      <c r="E101" s="30" t="str">
        <f t="shared" si="3"/>
        <v>Dhaka‐1212</v>
      </c>
      <c r="F101" s="30" t="str">
        <f t="shared" si="2"/>
        <v>Dhaka‐1212</v>
      </c>
    </row>
    <row r="102">
      <c r="D102" s="42" t="s">
        <v>2476</v>
      </c>
      <c r="E102" s="30" t="str">
        <f t="shared" si="3"/>
        <v>Dhaka‐1207</v>
      </c>
      <c r="F102" s="30" t="str">
        <f t="shared" si="2"/>
        <v>Dhaka‐1207</v>
      </c>
    </row>
    <row r="103">
      <c r="D103" s="42" t="s">
        <v>2529</v>
      </c>
      <c r="E103" s="30" t="str">
        <f t="shared" si="3"/>
        <v>Dhaka‐1000</v>
      </c>
      <c r="F103" s="30" t="str">
        <f t="shared" si="2"/>
        <v>Dhaka‐1000</v>
      </c>
    </row>
    <row r="104">
      <c r="D104" s="42" t="s">
        <v>2424</v>
      </c>
      <c r="E104" s="30" t="str">
        <f t="shared" si="3"/>
        <v>Dhaka‐1206</v>
      </c>
      <c r="F104" s="30" t="str">
        <f t="shared" si="2"/>
        <v>Dhaka‐1206</v>
      </c>
    </row>
    <row r="105">
      <c r="D105" s="42" t="s">
        <v>2476</v>
      </c>
      <c r="E105" s="30" t="str">
        <f t="shared" si="3"/>
        <v>Dhaka‐1207</v>
      </c>
      <c r="F105" s="30" t="str">
        <f t="shared" si="2"/>
        <v>Dhaka‐1207</v>
      </c>
    </row>
    <row r="106">
      <c r="D106" s="42" t="s">
        <v>2412</v>
      </c>
      <c r="E106" s="30" t="str">
        <f t="shared" si="3"/>
        <v>Dhaka‐1205</v>
      </c>
      <c r="F106" s="30" t="str">
        <f t="shared" si="2"/>
        <v>Dhaka‐1205</v>
      </c>
    </row>
    <row r="107">
      <c r="D107" s="42" t="s">
        <v>2516</v>
      </c>
      <c r="E107" s="30" t="str">
        <f t="shared" si="3"/>
        <v>Dhaka‐1217</v>
      </c>
      <c r="F107" s="30" t="str">
        <f t="shared" si="2"/>
        <v>Dhaka‐1217</v>
      </c>
    </row>
    <row r="108">
      <c r="D108" s="44" t="s">
        <v>2344</v>
      </c>
      <c r="E108" s="30" t="str">
        <f t="shared" si="3"/>
        <v>Dhaka-1205</v>
      </c>
      <c r="F108" s="30" t="str">
        <f t="shared" si="2"/>
        <v>Dhaka-1205</v>
      </c>
    </row>
    <row r="109">
      <c r="D109" s="42" t="s">
        <v>2424</v>
      </c>
      <c r="E109" s="30" t="str">
        <f t="shared" si="3"/>
        <v>Dhaka‐1206</v>
      </c>
      <c r="F109" s="30" t="str">
        <f t="shared" si="2"/>
        <v>Dhaka‐1206</v>
      </c>
    </row>
    <row r="110">
      <c r="D110" s="42" t="s">
        <v>2341</v>
      </c>
      <c r="E110" s="30" t="str">
        <f t="shared" si="3"/>
        <v>Dhaka 1230</v>
      </c>
      <c r="F110" s="30" t="str">
        <f t="shared" si="2"/>
        <v>Dhaka 1230</v>
      </c>
    </row>
    <row r="111">
      <c r="D111" s="42" t="s">
        <v>2424</v>
      </c>
      <c r="E111" s="30" t="str">
        <f t="shared" si="3"/>
        <v>Dhaka‐1206</v>
      </c>
      <c r="F111" s="30" t="str">
        <f t="shared" si="2"/>
        <v>Dhaka‐1206</v>
      </c>
    </row>
    <row r="112">
      <c r="D112" s="42" t="s">
        <v>2344</v>
      </c>
      <c r="E112" s="30" t="str">
        <f t="shared" si="3"/>
        <v>Dhaka-1205</v>
      </c>
      <c r="F112" s="30" t="str">
        <f t="shared" si="2"/>
        <v>Dhaka-1205</v>
      </c>
    </row>
    <row r="113">
      <c r="D113" s="42" t="s">
        <v>2412</v>
      </c>
      <c r="E113" s="30" t="str">
        <f t="shared" si="3"/>
        <v>Dhaka‐1205</v>
      </c>
      <c r="F113" s="30" t="str">
        <f t="shared" si="2"/>
        <v>Dhaka‐1205</v>
      </c>
    </row>
    <row r="114">
      <c r="D114" s="42" t="s">
        <v>2872</v>
      </c>
      <c r="E114" s="30" t="str">
        <f t="shared" si="3"/>
        <v>Dhaka‐1205 </v>
      </c>
      <c r="F114" s="30" t="str">
        <f t="shared" si="2"/>
        <v>Dhaka‐1205.</v>
      </c>
    </row>
    <row r="115">
      <c r="D115" s="44" t="s">
        <v>2403</v>
      </c>
      <c r="E115" s="30" t="str">
        <f t="shared" si="3"/>
        <v>Dhaka-1213</v>
      </c>
      <c r="F115" s="30" t="str">
        <f t="shared" si="2"/>
        <v>Dhaka-1213</v>
      </c>
    </row>
    <row r="116">
      <c r="D116" s="44" t="s">
        <v>2451</v>
      </c>
      <c r="E116" s="30" t="str">
        <f t="shared" si="3"/>
        <v>Chittagong-4000</v>
      </c>
      <c r="F116" s="30" t="str">
        <f t="shared" si="2"/>
        <v>Chittagong-4000</v>
      </c>
    </row>
    <row r="117">
      <c r="D117" s="42" t="s">
        <v>2416</v>
      </c>
      <c r="E117" s="30" t="str">
        <f t="shared" si="3"/>
        <v>Dhaka‐1230</v>
      </c>
      <c r="F117" s="30" t="str">
        <f t="shared" si="2"/>
        <v>Dhaka‐1230</v>
      </c>
    </row>
    <row r="118">
      <c r="D118" s="42" t="s">
        <v>2476</v>
      </c>
      <c r="E118" s="30" t="str">
        <f t="shared" si="3"/>
        <v>Dhaka‐1207</v>
      </c>
      <c r="F118" s="30" t="str">
        <f t="shared" si="2"/>
        <v>Dhaka‐1207</v>
      </c>
    </row>
    <row r="119">
      <c r="D119" s="44" t="s">
        <v>2344</v>
      </c>
      <c r="E119" s="30" t="str">
        <f t="shared" si="3"/>
        <v>Dhaka-1205</v>
      </c>
      <c r="F119" s="30" t="str">
        <f t="shared" si="2"/>
        <v>Dhaka-1205</v>
      </c>
    </row>
    <row r="120">
      <c r="D120" s="42" t="s">
        <v>2306</v>
      </c>
      <c r="E120" s="30" t="str">
        <f t="shared" si="3"/>
        <v>Dhaka‐1209</v>
      </c>
      <c r="F120" s="30" t="str">
        <f t="shared" si="2"/>
        <v>Dhaka‐1209</v>
      </c>
    </row>
    <row r="121">
      <c r="D121" s="42" t="s">
        <v>2865</v>
      </c>
      <c r="E121" s="30" t="str">
        <f t="shared" si="3"/>
        <v>Dhaka 1206</v>
      </c>
      <c r="F121" s="30" t="str">
        <f t="shared" si="2"/>
        <v>Dhaka 1206</v>
      </c>
    </row>
    <row r="122">
      <c r="D122" s="44" t="s">
        <v>2344</v>
      </c>
      <c r="E122" s="30" t="str">
        <f t="shared" si="3"/>
        <v>Dhaka-1205</v>
      </c>
      <c r="F122" s="30" t="str">
        <f t="shared" si="2"/>
        <v>Dhaka-1205</v>
      </c>
    </row>
    <row r="123">
      <c r="D123" s="42" t="s">
        <v>2416</v>
      </c>
      <c r="E123" s="30" t="str">
        <f t="shared" si="3"/>
        <v>Dhaka‐1230</v>
      </c>
      <c r="F123" s="30" t="str">
        <f t="shared" si="2"/>
        <v>Dhaka‐1230</v>
      </c>
    </row>
    <row r="124">
      <c r="D124" s="42" t="s">
        <v>2412</v>
      </c>
      <c r="E124" s="30" t="str">
        <f t="shared" si="3"/>
        <v>Dhaka‐1205</v>
      </c>
      <c r="F124" s="30" t="str">
        <f t="shared" si="2"/>
        <v>Dhaka‐1205</v>
      </c>
    </row>
    <row r="125">
      <c r="D125" s="42" t="s">
        <v>2431</v>
      </c>
      <c r="E125" s="30" t="str">
        <f t="shared" si="3"/>
        <v>Dhaka‐1213</v>
      </c>
      <c r="F125" s="30" t="str">
        <f t="shared" si="2"/>
        <v>Dhaka‐1213</v>
      </c>
    </row>
    <row r="126">
      <c r="D126" s="44" t="s">
        <v>2451</v>
      </c>
      <c r="E126" s="30" t="str">
        <f t="shared" si="3"/>
        <v>Chittagong-4000</v>
      </c>
      <c r="F126" s="30" t="str">
        <f t="shared" si="2"/>
        <v>Chittagong-4000</v>
      </c>
    </row>
    <row r="127">
      <c r="D127" s="42" t="s">
        <v>2407</v>
      </c>
      <c r="E127" s="30" t="str">
        <f t="shared" si="3"/>
        <v>Dhaka‐1212</v>
      </c>
      <c r="F127" s="30" t="str">
        <f t="shared" si="2"/>
        <v>Dhaka‐1212</v>
      </c>
    </row>
    <row r="128">
      <c r="D128" s="42" t="s">
        <v>2424</v>
      </c>
      <c r="E128" s="30" t="str">
        <f t="shared" si="3"/>
        <v>Dhaka‐1206</v>
      </c>
      <c r="F128" s="30" t="str">
        <f t="shared" si="2"/>
        <v>Dhaka‐1206</v>
      </c>
    </row>
    <row r="129">
      <c r="D129" s="42" t="s">
        <v>2431</v>
      </c>
      <c r="E129" s="30" t="str">
        <f t="shared" si="3"/>
        <v>Dhaka‐1213</v>
      </c>
      <c r="F129" s="30" t="str">
        <f t="shared" si="2"/>
        <v>Dhaka‐1213</v>
      </c>
    </row>
    <row r="130">
      <c r="D130" s="42" t="s">
        <v>2306</v>
      </c>
      <c r="E130" s="30" t="str">
        <f t="shared" si="3"/>
        <v>Dhaka‐1209</v>
      </c>
      <c r="F130" s="30" t="str">
        <f t="shared" si="2"/>
        <v>Dhaka‐1209</v>
      </c>
    </row>
    <row r="131">
      <c r="D131" s="42" t="s">
        <v>2431</v>
      </c>
      <c r="E131" s="30" t="str">
        <f t="shared" si="3"/>
        <v>Dhaka‐1213</v>
      </c>
      <c r="F131" s="30" t="str">
        <f t="shared" si="2"/>
        <v>Dhaka‐1213</v>
      </c>
    </row>
    <row r="132">
      <c r="D132" s="42" t="s">
        <v>2412</v>
      </c>
      <c r="E132" s="30" t="str">
        <f t="shared" si="3"/>
        <v>Dhaka‐1205</v>
      </c>
      <c r="F132" s="30" t="str">
        <f t="shared" si="2"/>
        <v>Dhaka‐1205</v>
      </c>
    </row>
    <row r="133">
      <c r="D133" s="42" t="s">
        <v>2424</v>
      </c>
      <c r="E133" s="30" t="str">
        <f t="shared" si="3"/>
        <v>Dhaka‐1206</v>
      </c>
      <c r="F133" s="30" t="str">
        <f t="shared" si="2"/>
        <v>Dhaka‐1206</v>
      </c>
    </row>
    <row r="134">
      <c r="D134" s="42" t="s">
        <v>2306</v>
      </c>
      <c r="E134" s="30" t="str">
        <f t="shared" si="3"/>
        <v>Dhaka‐1209</v>
      </c>
      <c r="F134" s="30" t="str">
        <f t="shared" si="2"/>
        <v>Dhaka‐1209</v>
      </c>
    </row>
    <row r="135">
      <c r="D135" s="42" t="s">
        <v>2416</v>
      </c>
      <c r="E135" s="30" t="str">
        <f t="shared" si="3"/>
        <v>Dhaka‐1230</v>
      </c>
      <c r="F135" s="30" t="str">
        <f t="shared" si="2"/>
        <v>Dhaka‐1230</v>
      </c>
    </row>
    <row r="136">
      <c r="D136" s="42" t="s">
        <v>2412</v>
      </c>
      <c r="E136" s="30" t="str">
        <f t="shared" si="3"/>
        <v>Dhaka‐1205</v>
      </c>
      <c r="F136" s="30" t="str">
        <f t="shared" si="2"/>
        <v>Dhaka‐1205</v>
      </c>
    </row>
    <row r="137">
      <c r="D137" s="42" t="s">
        <v>2873</v>
      </c>
      <c r="E137" s="30" t="str">
        <f t="shared" si="3"/>
        <v>Dhaka‐1212 </v>
      </c>
      <c r="F137" s="30" t="str">
        <f t="shared" si="2"/>
        <v>Dhaka‐1212.</v>
      </c>
    </row>
    <row r="138">
      <c r="D138" s="42" t="s">
        <v>2871</v>
      </c>
      <c r="E138" s="30" t="str">
        <f t="shared" si="3"/>
        <v>Dhaka 1213 </v>
      </c>
      <c r="F138" s="30" t="str">
        <f t="shared" si="2"/>
        <v>Dhaka 1213.</v>
      </c>
    </row>
    <row r="139">
      <c r="D139" s="42" t="s">
        <v>2859</v>
      </c>
      <c r="E139" s="30" t="str">
        <f t="shared" si="3"/>
        <v>Dhaka 1206 </v>
      </c>
      <c r="F139" s="30" t="str">
        <f t="shared" si="2"/>
        <v>Dhaka 1206.</v>
      </c>
    </row>
    <row r="140">
      <c r="D140" s="42" t="s">
        <v>2306</v>
      </c>
      <c r="E140" s="30" t="str">
        <f t="shared" si="3"/>
        <v>Dhaka‐1209</v>
      </c>
      <c r="F140" s="30" t="str">
        <f t="shared" si="2"/>
        <v>Dhaka‐1209</v>
      </c>
    </row>
    <row r="141">
      <c r="D141" s="42" t="s">
        <v>2391</v>
      </c>
      <c r="E141" s="30" t="str">
        <f t="shared" si="3"/>
        <v>Dhaka‐1215</v>
      </c>
      <c r="F141" s="30" t="str">
        <f t="shared" si="2"/>
        <v>Dhaka‐1215</v>
      </c>
    </row>
    <row r="142">
      <c r="D142" s="44" t="s">
        <v>2387</v>
      </c>
      <c r="E142" s="30" t="str">
        <f t="shared" si="3"/>
        <v>Dhaka-1212</v>
      </c>
      <c r="F142" s="30" t="str">
        <f t="shared" si="2"/>
        <v>Dhaka-1212</v>
      </c>
    </row>
  </sheetData>
  <drawing r:id="rId2"/>
</worksheet>
</file>